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6" sheetId="1" r:id="rId1"/>
  </sheets>
  <definedNames>
    <definedName name="_xlfn.AGGREGATE" hidden="1">#NAME?</definedName>
    <definedName name="_xlnm.Print_Titles" localSheetId="0">'дод. 6'!$15:$15</definedName>
    <definedName name="_xlnm.Print_Area" localSheetId="0">'дод. 6'!$B$2:$I$254</definedName>
  </definedNames>
  <calcPr fullCalcOnLoad="1"/>
</workbook>
</file>

<file path=xl/sharedStrings.xml><?xml version="1.0" encoding="utf-8"?>
<sst xmlns="http://schemas.openxmlformats.org/spreadsheetml/2006/main" count="889" uniqueCount="514">
  <si>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</si>
  <si>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</si>
  <si>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</si>
  <si>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</si>
  <si>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</si>
  <si>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</si>
  <si>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</si>
  <si>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</si>
  <si>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</si>
  <si>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</si>
  <si>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</si>
  <si>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</si>
  <si>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</si>
  <si>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</si>
  <si>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</si>
  <si>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</si>
  <si>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</si>
  <si>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</si>
  <si>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</si>
  <si>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</si>
  <si>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</si>
  <si>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</si>
  <si>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</si>
  <si>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</si>
  <si>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</si>
  <si>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</si>
  <si>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</si>
  <si>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</si>
  <si>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</si>
  <si>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</si>
  <si>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</si>
  <si>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</si>
  <si>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</si>
  <si>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</si>
  <si>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</si>
  <si>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</si>
  <si>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</si>
  <si>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</si>
  <si>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</si>
  <si>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</si>
  <si>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</si>
  <si>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</si>
  <si>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</si>
  <si>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</si>
  <si>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</si>
  <si>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</si>
  <si>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</si>
  <si>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</si>
  <si>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</si>
  <si>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</si>
  <si>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</si>
  <si>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</si>
  <si>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</si>
  <si>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</si>
  <si>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</si>
  <si>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</si>
  <si>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</si>
  <si>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</si>
  <si>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</si>
  <si>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</si>
  <si>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</si>
  <si>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</si>
  <si>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</si>
  <si>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</si>
  <si>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</si>
  <si>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</si>
  <si>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</si>
  <si>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</si>
  <si>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</si>
  <si>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</si>
  <si>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</si>
  <si>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</si>
  <si>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</si>
  <si>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</si>
  <si>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</si>
  <si>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</si>
  <si>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</si>
  <si>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</si>
  <si>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</si>
  <si>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</si>
  <si>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</si>
  <si>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</si>
  <si>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</si>
  <si>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</si>
  <si>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</si>
  <si>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</si>
  <si>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</si>
  <si>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</si>
  <si>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</si>
  <si>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</si>
  <si>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</si>
  <si>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</si>
  <si>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</si>
  <si>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</si>
  <si>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</si>
  <si>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</si>
  <si>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</si>
  <si>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</si>
  <si>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</si>
  <si>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</si>
  <si>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</si>
  <si>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</si>
  <si>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</si>
  <si>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</si>
  <si>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</si>
  <si>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</si>
  <si>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</si>
  <si>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</si>
  <si>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</si>
  <si>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</si>
  <si>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</si>
  <si>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</si>
  <si>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</si>
  <si>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</si>
  <si>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</si>
  <si>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</si>
  <si>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</si>
  <si>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</si>
  <si>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</si>
  <si>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</si>
  <si>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</si>
  <si>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</si>
  <si>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</si>
  <si>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</si>
  <si>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</si>
  <si>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</si>
  <si>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</si>
  <si>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</si>
  <si>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</si>
  <si>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</si>
  <si>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</si>
  <si>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</si>
  <si>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</si>
  <si>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</si>
  <si>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</si>
  <si>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</si>
  <si>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</si>
  <si>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</si>
  <si>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</si>
  <si>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</si>
  <si>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</si>
  <si>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</si>
  <si>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</si>
  <si>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</si>
  <si>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</si>
  <si>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</si>
  <si>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</si>
  <si>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</si>
  <si>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</si>
  <si>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</si>
  <si>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</si>
  <si>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</si>
  <si>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</si>
  <si>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</si>
  <si>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</si>
  <si>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</si>
  <si>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</si>
  <si>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</si>
  <si>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</si>
  <si>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</si>
  <si>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</si>
  <si>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</si>
  <si>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</si>
  <si>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</si>
  <si>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</si>
  <si>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</si>
  <si>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</si>
  <si>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</si>
  <si>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</si>
  <si>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</si>
  <si>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</si>
  <si>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</si>
  <si>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</si>
  <si>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</si>
  <si>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</si>
  <si>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</si>
  <si>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</si>
  <si>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</si>
  <si>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</si>
  <si>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</si>
  <si>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</si>
  <si>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</si>
  <si>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</si>
  <si>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</si>
  <si>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</si>
  <si>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</si>
  <si>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</si>
  <si>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</si>
  <si>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</si>
  <si>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</si>
  <si>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</si>
  <si>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</si>
  <si>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</si>
  <si>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</si>
  <si>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</si>
  <si>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</si>
  <si>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</si>
  <si>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</si>
  <si>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</si>
  <si>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</si>
  <si>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</si>
  <si>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</si>
  <si>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</si>
  <si>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</si>
  <si>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</si>
  <si>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</si>
  <si>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</si>
  <si>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</si>
  <si>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</si>
  <si>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</si>
  <si>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</si>
  <si>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</si>
  <si>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</si>
  <si>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</si>
  <si>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</si>
  <si>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</si>
  <si>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</si>
  <si>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</si>
  <si>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</si>
  <si>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</si>
  <si>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</si>
  <si>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</si>
  <si>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</si>
  <si>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</si>
  <si>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</si>
  <si>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</si>
  <si>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</si>
  <si>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</si>
  <si>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</si>
  <si>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</si>
  <si>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</si>
  <si>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</si>
  <si>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</si>
  <si>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</si>
  <si>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</si>
  <si>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</si>
  <si>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</si>
  <si>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</si>
  <si>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</si>
  <si>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</si>
  <si>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</si>
  <si>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</si>
  <si>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</si>
  <si>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</si>
  <si>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</si>
  <si>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</si>
  <si>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</si>
  <si>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</si>
  <si>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</si>
  <si>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</si>
  <si>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</si>
  <si>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</si>
  <si>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</si>
  <si>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</si>
  <si>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</si>
  <si>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</si>
  <si>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</si>
  <si>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</si>
  <si>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</si>
  <si>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</si>
  <si>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</si>
  <si>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</si>
  <si>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</si>
  <si>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</si>
  <si>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</si>
  <si>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</si>
  <si>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</si>
  <si>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</si>
  <si>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</si>
  <si>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</si>
  <si>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</si>
  <si>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</si>
  <si>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</si>
  <si>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</si>
  <si>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</si>
  <si>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</si>
  <si>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</si>
  <si>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</si>
  <si>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</si>
  <si>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</si>
  <si>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</si>
  <si>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</si>
  <si>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</si>
  <si>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</si>
  <si>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</si>
  <si>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</si>
  <si>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</si>
  <si>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</si>
  <si>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</si>
  <si>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</si>
  <si>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</si>
  <si>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</si>
  <si>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</si>
  <si>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</si>
  <si>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</si>
  <si>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</si>
  <si>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</si>
  <si>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</si>
  <si>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</si>
  <si>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</si>
  <si>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</si>
  <si>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</si>
  <si>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</si>
  <si>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</si>
  <si>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</si>
  <si>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</si>
  <si>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</si>
  <si>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</si>
  <si>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</si>
  <si>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</si>
  <si>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</si>
  <si>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</si>
  <si>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</si>
  <si>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</si>
  <si>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</si>
  <si>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</si>
  <si>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</si>
  <si>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</si>
  <si>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</si>
  <si>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</si>
  <si>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</si>
  <si>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</si>
  <si>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</si>
  <si>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</si>
  <si>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</si>
  <si>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</si>
  <si>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</si>
  <si>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</si>
  <si>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</si>
  <si>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</si>
  <si>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</si>
  <si>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</si>
  <si>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</si>
  <si>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</si>
  <si>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</si>
  <si>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</si>
  <si>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</si>
  <si>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</si>
  <si>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</si>
  <si>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</si>
  <si>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</si>
  <si>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</si>
  <si>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</si>
  <si>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</si>
  <si>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</si>
  <si>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</si>
  <si>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</si>
  <si>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</si>
  <si>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</si>
  <si>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</si>
  <si>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</si>
  <si>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</si>
  <si>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</si>
  <si>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</si>
  <si>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</si>
  <si>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</si>
  <si>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</si>
  <si>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</si>
  <si>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</si>
  <si>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</si>
  <si>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</si>
  <si>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</si>
  <si>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</si>
  <si>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</si>
  <si>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</si>
  <si>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</si>
  <si>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</si>
  <si>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</si>
  <si>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</si>
  <si>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</si>
  <si>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</si>
  <si>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</si>
  <si>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</si>
  <si>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</si>
  <si>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</si>
  <si>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</si>
  <si>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</si>
  <si>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</si>
  <si>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</si>
  <si>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</si>
  <si>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</si>
  <si>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</si>
  <si>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</si>
  <si>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</si>
  <si>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</si>
  <si>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</si>
  <si>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</si>
  <si>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</si>
  <si>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</si>
  <si>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</si>
  <si>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</si>
  <si>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</si>
  <si>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</si>
  <si>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</si>
  <si>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</si>
  <si>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</si>
  <si>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</si>
  <si>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</si>
  <si>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</si>
  <si>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</si>
  <si>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</si>
  <si>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</si>
  <si>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</si>
  <si>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</si>
  <si>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</si>
  <si>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</si>
  <si>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</si>
  <si>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</si>
  <si>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</si>
  <si>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</si>
  <si>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</si>
  <si>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</si>
  <si>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</si>
  <si>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</si>
  <si>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</si>
  <si>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</si>
  <si>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</si>
  <si>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</si>
  <si>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</si>
  <si>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</si>
  <si>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</si>
  <si>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</si>
  <si>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</si>
  <si>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</si>
  <si>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</si>
  <si>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</si>
  <si>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</si>
  <si>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</si>
  <si>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</si>
  <si>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</si>
  <si>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</si>
  <si>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</si>
  <si>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</si>
  <si>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</si>
  <si>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</si>
  <si>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</si>
  <si>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</si>
  <si>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</si>
  <si>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</si>
  <si>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</si>
  <si>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</si>
  <si>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</si>
  <si>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</si>
  <si>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</si>
  <si>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</si>
  <si>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</si>
  <si>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</si>
  <si>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</si>
  <si>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</si>
  <si>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</si>
  <si>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</si>
  <si>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</si>
  <si>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</si>
  <si>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</si>
  <si>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</si>
  <si>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</si>
  <si>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</si>
  <si>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</si>
  <si>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</si>
  <si>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</si>
  <si>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</si>
  <si>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</si>
  <si>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</si>
  <si>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</si>
  <si>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</si>
  <si>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0219770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</si>
  <si>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</si>
  <si>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</si>
  <si>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</si>
  <si>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</si>
  <si>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</si>
  <si>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</si>
  <si>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</si>
  <si>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</si>
  <si>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</si>
  <si>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</si>
  <si>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</si>
  <si>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</si>
  <si>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</si>
  <si>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</si>
  <si>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</si>
  <si>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1017360</t>
  </si>
  <si>
    <t>1017363</t>
  </si>
  <si>
    <t>Міська комплексна Програма «Охорона здоров’я на 2017-2020 роки» (Підпрограма  VІIІ «Розвиток та підтримка комунальних некомерційних підприємств, що надають первинну медико-санітарну допомогу»)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</si>
  <si>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</si>
  <si>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</si>
  <si>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</si>
  <si>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</si>
  <si>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</si>
  <si>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</si>
  <si>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</si>
  <si>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</si>
  <si>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</si>
  <si>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</si>
  <si>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</si>
  <si>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</si>
  <si>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</si>
  <si>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</si>
  <si>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</si>
  <si>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1517690</t>
  </si>
  <si>
    <t>3117370</t>
  </si>
  <si>
    <t>1217670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</si>
  <si>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</si>
  <si>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</si>
  <si>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</si>
  <si>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                Додаток № 6</t>
  </si>
  <si>
    <t>Сумський міський голова</t>
  </si>
  <si>
    <t>О.М. Лисенко</t>
  </si>
  <si>
    <t>Виконавець: Липова С.А.</t>
  </si>
  <si>
    <t>0613240</t>
  </si>
  <si>
    <t>0613242</t>
  </si>
  <si>
    <t>0817360</t>
  </si>
  <si>
    <t>0817363</t>
  </si>
  <si>
    <t>від 27 грудня 2018 року № 4421 - МР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</si>
</sst>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50"/>
      <color indexed="10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  <font>
      <sz val="4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2" fillId="0" borderId="7" applyNumberFormat="0" applyFill="0" applyAlignment="0" applyProtection="0"/>
    <xf numFmtId="0" fontId="11" fillId="0" borderId="8" applyNumberFormat="0" applyFill="0" applyAlignment="0" applyProtection="0"/>
    <xf numFmtId="0" fontId="63" fillId="47" borderId="9" applyNumberFormat="0" applyAlignment="0" applyProtection="0"/>
    <xf numFmtId="0" fontId="9" fillId="48" borderId="10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5" fillId="3" borderId="0" applyNumberFormat="0" applyBorder="0" applyAlignment="0" applyProtection="0"/>
    <xf numFmtId="0" fontId="6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8" fillId="50" borderId="14" applyNumberFormat="0" applyAlignment="0" applyProtection="0"/>
    <xf numFmtId="0" fontId="17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0" fontId="27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0" fillId="0" borderId="16" xfId="0" applyNumberFormat="1" applyFont="1" applyFill="1" applyBorder="1" applyAlignment="1" applyProtection="1">
      <alignment/>
      <protection/>
    </xf>
    <xf numFmtId="0" fontId="36" fillId="0" borderId="16" xfId="0" applyFont="1" applyFill="1" applyBorder="1" applyAlignment="1">
      <alignment horizontal="left" vertical="center" wrapText="1"/>
    </xf>
    <xf numFmtId="0" fontId="37" fillId="0" borderId="0" xfId="0" applyNumberFormat="1" applyFont="1" applyFill="1" applyAlignment="1" applyProtection="1">
      <alignment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4" fontId="36" fillId="0" borderId="16" xfId="0" applyNumberFormat="1" applyFont="1" applyFill="1" applyBorder="1" applyAlignment="1">
      <alignment vertical="center" wrapText="1"/>
    </xf>
    <xf numFmtId="4" fontId="36" fillId="0" borderId="16" xfId="95" applyNumberFormat="1" applyFont="1" applyFill="1" applyBorder="1" applyAlignment="1">
      <alignment vertical="center"/>
      <protection/>
    </xf>
    <xf numFmtId="49" fontId="36" fillId="0" borderId="16" xfId="0" applyNumberFormat="1" applyFont="1" applyFill="1" applyBorder="1" applyAlignment="1">
      <alignment horizontal="center" vertical="center"/>
    </xf>
    <xf numFmtId="4" fontId="36" fillId="0" borderId="16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 applyProtection="1">
      <alignment vertical="center" textRotation="180"/>
      <protection locked="0"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31" fillId="0" borderId="16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" fontId="36" fillId="0" borderId="18" xfId="95" applyNumberFormat="1" applyFont="1" applyFill="1" applyBorder="1" applyAlignment="1">
      <alignment horizontal="right" vertical="center"/>
      <protection/>
    </xf>
    <xf numFmtId="49" fontId="36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NumberFormat="1" applyFont="1" applyFill="1" applyAlignment="1" applyProtection="1">
      <alignment/>
      <protection/>
    </xf>
    <xf numFmtId="49" fontId="36" fillId="0" borderId="18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4" fontId="36" fillId="0" borderId="16" xfId="95" applyNumberFormat="1" applyFont="1" applyFill="1" applyBorder="1" applyAlignment="1">
      <alignment horizontal="right" vertical="center"/>
      <protection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vertical="center"/>
      <protection/>
    </xf>
    <xf numFmtId="0" fontId="27" fillId="0" borderId="21" xfId="0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1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" fontId="40" fillId="0" borderId="16" xfId="95" applyNumberFormat="1" applyFont="1" applyFill="1" applyBorder="1" applyAlignment="1">
      <alignment vertical="center"/>
      <protection/>
    </xf>
    <xf numFmtId="0" fontId="41" fillId="0" borderId="0" xfId="0" applyFont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justify" vertical="top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72" fillId="0" borderId="16" xfId="95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200" fontId="28" fillId="0" borderId="0" xfId="0" applyNumberFormat="1" applyFont="1" applyFill="1" applyBorder="1" applyAlignment="1">
      <alignment vertical="justify"/>
    </xf>
    <xf numFmtId="3" fontId="34" fillId="0" borderId="17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200" fontId="34" fillId="0" borderId="0" xfId="0" applyNumberFormat="1" applyFont="1" applyFill="1" applyBorder="1" applyAlignment="1">
      <alignment vertical="justify"/>
    </xf>
    <xf numFmtId="4" fontId="35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4" fontId="3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3" fontId="27" fillId="0" borderId="26" xfId="0" applyNumberFormat="1" applyFont="1" applyFill="1" applyBorder="1" applyAlignment="1">
      <alignment horizontal="center" vertical="center" textRotation="180"/>
    </xf>
    <xf numFmtId="3" fontId="27" fillId="0" borderId="0" xfId="0" applyNumberFormat="1" applyFont="1" applyFill="1" applyBorder="1" applyAlignment="1">
      <alignment horizontal="center" vertical="center" textRotation="180"/>
    </xf>
    <xf numFmtId="3" fontId="36" fillId="0" borderId="26" xfId="0" applyNumberFormat="1" applyFont="1" applyFill="1" applyBorder="1" applyAlignment="1">
      <alignment horizontal="center" vertical="center" textRotation="180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6" fillId="0" borderId="18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wrapText="1"/>
    </xf>
    <xf numFmtId="0" fontId="27" fillId="0" borderId="21" xfId="0" applyFont="1" applyFill="1" applyBorder="1" applyAlignment="1">
      <alignment horizontal="left" wrapText="1"/>
    </xf>
    <xf numFmtId="49" fontId="36" fillId="0" borderId="21" xfId="0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 applyProtection="1">
      <alignment horizontal="left" vertical="center"/>
      <protection/>
    </xf>
    <xf numFmtId="49" fontId="43" fillId="0" borderId="0" xfId="0" applyNumberFormat="1" applyFont="1" applyFill="1" applyBorder="1" applyAlignment="1" applyProtection="1">
      <alignment horizontal="left" vertical="center"/>
      <protection/>
    </xf>
    <xf numFmtId="49" fontId="46" fillId="0" borderId="0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showZeros="0" tabSelected="1" view="pageBreakPreview" zoomScale="25" zoomScaleNormal="40" zoomScaleSheetLayoutView="25" zoomScalePageLayoutView="0" workbookViewId="0" topLeftCell="B111">
      <selection activeCell="G115" sqref="G115"/>
    </sheetView>
  </sheetViews>
  <sheetFormatPr defaultColWidth="9.16015625" defaultRowHeight="12.75"/>
  <cols>
    <col min="1" max="1" width="3.83203125" style="3" hidden="1" customWidth="1"/>
    <col min="2" max="2" width="70.5" style="17" customWidth="1"/>
    <col min="3" max="3" width="46.5" style="17" customWidth="1"/>
    <col min="4" max="4" width="37.16015625" style="17" customWidth="1"/>
    <col min="5" max="5" width="210.16015625" style="16" customWidth="1"/>
    <col min="6" max="6" width="176.5" style="17" customWidth="1"/>
    <col min="7" max="7" width="70.5" style="50" customWidth="1"/>
    <col min="8" max="8" width="66.66015625" style="50" customWidth="1"/>
    <col min="9" max="9" width="68.5" style="103" customWidth="1"/>
    <col min="10" max="10" width="18.16015625" style="128" customWidth="1"/>
    <col min="11" max="16384" width="9.16015625" style="2" customWidth="1"/>
  </cols>
  <sheetData>
    <row r="1" spans="2:15" ht="60" customHeight="1" hidden="1">
      <c r="B1" s="25"/>
      <c r="C1" s="25"/>
      <c r="D1" s="25"/>
      <c r="G1" s="166" t="s">
        <v>488</v>
      </c>
      <c r="H1" s="166"/>
      <c r="I1" s="166"/>
      <c r="K1" s="4"/>
      <c r="L1" s="4"/>
      <c r="M1" s="4"/>
      <c r="N1" s="4"/>
      <c r="O1" s="4"/>
    </row>
    <row r="2" spans="2:15" ht="75" customHeight="1" hidden="1">
      <c r="B2" s="25"/>
      <c r="C2" s="25"/>
      <c r="D2" s="25"/>
      <c r="G2" s="166" t="s">
        <v>489</v>
      </c>
      <c r="H2" s="166"/>
      <c r="I2" s="166"/>
      <c r="K2" s="4"/>
      <c r="L2" s="4"/>
      <c r="M2" s="4"/>
      <c r="N2" s="4"/>
      <c r="O2" s="4"/>
    </row>
    <row r="3" spans="2:15" ht="75" customHeight="1" hidden="1">
      <c r="B3" s="25"/>
      <c r="C3" s="25"/>
      <c r="D3" s="25"/>
      <c r="G3" s="166" t="s">
        <v>490</v>
      </c>
      <c r="H3" s="166"/>
      <c r="I3" s="166"/>
      <c r="K3" s="4"/>
      <c r="L3" s="4"/>
      <c r="M3" s="4"/>
      <c r="N3" s="4"/>
      <c r="O3" s="4"/>
    </row>
    <row r="4" spans="2:15" ht="75" customHeight="1" hidden="1">
      <c r="B4" s="25"/>
      <c r="C4" s="25"/>
      <c r="D4" s="25"/>
      <c r="G4" s="166" t="s">
        <v>491</v>
      </c>
      <c r="H4" s="166"/>
      <c r="I4" s="166"/>
      <c r="K4" s="4"/>
      <c r="L4" s="4"/>
      <c r="M4" s="4"/>
      <c r="N4" s="4"/>
      <c r="O4" s="4"/>
    </row>
    <row r="5" spans="2:15" ht="75" customHeight="1" hidden="1">
      <c r="B5" s="25"/>
      <c r="C5" s="25"/>
      <c r="D5" s="25"/>
      <c r="G5" s="166" t="s">
        <v>492</v>
      </c>
      <c r="H5" s="166"/>
      <c r="I5" s="166"/>
      <c r="K5" s="4"/>
      <c r="L5" s="4"/>
      <c r="M5" s="4"/>
      <c r="N5" s="4"/>
      <c r="O5" s="4"/>
    </row>
    <row r="6" spans="2:15" ht="84" customHeight="1" hidden="1">
      <c r="B6" s="25"/>
      <c r="C6" s="25"/>
      <c r="D6" s="25"/>
      <c r="G6" s="166"/>
      <c r="H6" s="166"/>
      <c r="I6" s="166"/>
      <c r="K6" s="4"/>
      <c r="L6" s="4"/>
      <c r="M6" s="4"/>
      <c r="N6" s="4"/>
      <c r="O6" s="4"/>
    </row>
    <row r="7" spans="2:15" ht="69" customHeight="1">
      <c r="B7" s="25"/>
      <c r="C7" s="25"/>
      <c r="D7" s="25"/>
      <c r="G7" s="166" t="s">
        <v>505</v>
      </c>
      <c r="H7" s="166"/>
      <c r="I7" s="166"/>
      <c r="K7" s="4"/>
      <c r="L7" s="4"/>
      <c r="M7" s="4"/>
      <c r="N7" s="4"/>
      <c r="O7" s="4"/>
    </row>
    <row r="8" spans="2:15" ht="66.75" customHeight="1">
      <c r="B8" s="25"/>
      <c r="C8" s="25"/>
      <c r="D8" s="25"/>
      <c r="G8" s="166" t="s">
        <v>489</v>
      </c>
      <c r="H8" s="166"/>
      <c r="I8" s="166"/>
      <c r="J8" s="144"/>
      <c r="K8" s="4"/>
      <c r="L8" s="4"/>
      <c r="M8" s="4"/>
      <c r="N8" s="4"/>
      <c r="O8" s="4"/>
    </row>
    <row r="9" spans="2:15" ht="66.75" customHeight="1">
      <c r="B9" s="25"/>
      <c r="C9" s="25"/>
      <c r="D9" s="25"/>
      <c r="G9" s="166" t="s">
        <v>490</v>
      </c>
      <c r="H9" s="166"/>
      <c r="I9" s="166"/>
      <c r="J9" s="144"/>
      <c r="K9" s="4"/>
      <c r="L9" s="4"/>
      <c r="M9" s="4"/>
      <c r="N9" s="4"/>
      <c r="O9" s="4"/>
    </row>
    <row r="10" spans="2:15" ht="66.75" customHeight="1">
      <c r="B10" s="25"/>
      <c r="C10" s="25"/>
      <c r="D10" s="25"/>
      <c r="G10" s="166" t="s">
        <v>491</v>
      </c>
      <c r="H10" s="166"/>
      <c r="I10" s="166"/>
      <c r="J10" s="144"/>
      <c r="K10" s="4"/>
      <c r="L10" s="4"/>
      <c r="M10" s="4"/>
      <c r="N10" s="4"/>
      <c r="O10" s="4"/>
    </row>
    <row r="11" spans="2:15" ht="66.75" customHeight="1">
      <c r="B11" s="25"/>
      <c r="C11" s="25"/>
      <c r="D11" s="25"/>
      <c r="G11" s="166" t="s">
        <v>513</v>
      </c>
      <c r="H11" s="166"/>
      <c r="I11" s="166"/>
      <c r="J11" s="144"/>
      <c r="K11" s="4"/>
      <c r="L11" s="4"/>
      <c r="M11" s="4"/>
      <c r="N11" s="4"/>
      <c r="O11" s="4"/>
    </row>
    <row r="12" spans="2:15" ht="99" customHeight="1">
      <c r="B12" s="25"/>
      <c r="C12" s="25"/>
      <c r="D12" s="25"/>
      <c r="G12" s="123"/>
      <c r="H12" s="123"/>
      <c r="I12" s="123"/>
      <c r="J12" s="144"/>
      <c r="K12" s="4"/>
      <c r="L12" s="4"/>
      <c r="M12" s="4"/>
      <c r="N12" s="4"/>
      <c r="O12" s="4"/>
    </row>
    <row r="13" spans="1:14" ht="127.5" customHeight="1">
      <c r="A13" s="1"/>
      <c r="B13" s="167" t="s">
        <v>118</v>
      </c>
      <c r="C13" s="167"/>
      <c r="D13" s="167"/>
      <c r="E13" s="167"/>
      <c r="F13" s="167"/>
      <c r="G13" s="167"/>
      <c r="H13" s="167"/>
      <c r="I13" s="167"/>
      <c r="J13" s="144"/>
      <c r="K13" s="46"/>
      <c r="L13" s="54"/>
      <c r="M13" s="26"/>
      <c r="N13" s="26"/>
    </row>
    <row r="14" spans="2:14" ht="46.5" customHeight="1">
      <c r="B14" s="10"/>
      <c r="C14" s="10"/>
      <c r="D14" s="10"/>
      <c r="E14" s="11"/>
      <c r="F14" s="12"/>
      <c r="G14" s="99"/>
      <c r="H14" s="100"/>
      <c r="I14" s="101" t="s">
        <v>32</v>
      </c>
      <c r="J14" s="144"/>
      <c r="K14" s="46"/>
      <c r="L14" s="54"/>
      <c r="M14" s="26"/>
      <c r="N14" s="26"/>
    </row>
    <row r="15" spans="1:12" ht="286.5" customHeight="1">
      <c r="A15" s="5"/>
      <c r="B15" s="24" t="s">
        <v>54</v>
      </c>
      <c r="C15" s="24" t="s">
        <v>55</v>
      </c>
      <c r="D15" s="24" t="s">
        <v>96</v>
      </c>
      <c r="E15" s="24" t="s">
        <v>94</v>
      </c>
      <c r="F15" s="24" t="s">
        <v>95</v>
      </c>
      <c r="G15" s="102" t="s">
        <v>0</v>
      </c>
      <c r="H15" s="102" t="s">
        <v>1</v>
      </c>
      <c r="I15" s="102" t="s">
        <v>4</v>
      </c>
      <c r="J15" s="144"/>
      <c r="K15" s="49"/>
      <c r="L15" s="54"/>
    </row>
    <row r="16" spans="1:10" s="45" customFormat="1" ht="93" customHeight="1">
      <c r="A16" s="43"/>
      <c r="B16" s="40"/>
      <c r="C16" s="40"/>
      <c r="D16" s="40"/>
      <c r="E16" s="41" t="s">
        <v>195</v>
      </c>
      <c r="F16" s="44"/>
      <c r="G16" s="51">
        <f>G17+G18+G19+G20+G24+G26+G28+G29+G33+G34+G37+G40+G43+G46+G48+G51+G52+G53+G54+G55+G56+G57+G58+G60+G61+G62+G63+G64+G65+G66+G67+G68</f>
        <v>70401440</v>
      </c>
      <c r="H16" s="51">
        <f>H17+H18+H19+H20+H24+H26+H28+H29+H33+H34+H37+H40+H43+H46+H48+H51+H52+H53+H54+H55+H56+H57+H58+H60+H61+H62+H63+H64+H65+H66+H67+H68</f>
        <v>46952292</v>
      </c>
      <c r="I16" s="51">
        <f>I17+I18+I19+I20+I24+I26+I28+I29+I33+I34+I37+I40+I43+I46+I48+I51+I52+I53+I54+I55+I56+I57+I58+I60+I61+I62+I63+I64+I65+I66+I67+I68</f>
        <v>117353732</v>
      </c>
      <c r="J16" s="144"/>
    </row>
    <row r="17" spans="2:10" ht="108.75" customHeight="1">
      <c r="B17" s="150" t="s">
        <v>196</v>
      </c>
      <c r="C17" s="150" t="s">
        <v>119</v>
      </c>
      <c r="D17" s="150" t="s">
        <v>2</v>
      </c>
      <c r="E17" s="155" t="s">
        <v>120</v>
      </c>
      <c r="F17" s="18" t="s">
        <v>53</v>
      </c>
      <c r="G17" s="9">
        <f>805000+40000+150000+150000+265200+171000+100000+135800</f>
        <v>1817000</v>
      </c>
      <c r="H17" s="9"/>
      <c r="I17" s="9">
        <f>G17+H17</f>
        <v>1817000</v>
      </c>
      <c r="J17" s="144"/>
    </row>
    <row r="18" spans="2:10" ht="155.25" customHeight="1">
      <c r="B18" s="151"/>
      <c r="C18" s="151"/>
      <c r="D18" s="151"/>
      <c r="E18" s="156"/>
      <c r="F18" s="18" t="s">
        <v>109</v>
      </c>
      <c r="G18" s="9">
        <f>526200-526200+190000+210000-52000</f>
        <v>348000</v>
      </c>
      <c r="H18" s="9">
        <f>1000000-1000000</f>
        <v>0</v>
      </c>
      <c r="I18" s="9">
        <f>G18+H18</f>
        <v>348000</v>
      </c>
      <c r="J18" s="144"/>
    </row>
    <row r="19" spans="2:10" ht="200.25" customHeight="1">
      <c r="B19" s="71" t="s">
        <v>298</v>
      </c>
      <c r="C19" s="72" t="s">
        <v>31</v>
      </c>
      <c r="D19" s="87" t="s">
        <v>15</v>
      </c>
      <c r="E19" s="74" t="s">
        <v>297</v>
      </c>
      <c r="F19" s="85" t="s">
        <v>299</v>
      </c>
      <c r="G19" s="86">
        <f>100000+27500+10140+4900+13000</f>
        <v>155540</v>
      </c>
      <c r="H19" s="86"/>
      <c r="I19" s="9">
        <f>G19+H19</f>
        <v>155540</v>
      </c>
      <c r="J19" s="144"/>
    </row>
    <row r="20" spans="1:10" s="8" customFormat="1" ht="175.5" customHeight="1">
      <c r="A20" s="1"/>
      <c r="B20" s="71" t="s">
        <v>197</v>
      </c>
      <c r="C20" s="72" t="s">
        <v>83</v>
      </c>
      <c r="D20" s="73"/>
      <c r="E20" s="74" t="s">
        <v>121</v>
      </c>
      <c r="F20" s="61"/>
      <c r="G20" s="60">
        <f>G21+G22+G23</f>
        <v>190000</v>
      </c>
      <c r="H20" s="60">
        <f>H21+H22+H23</f>
        <v>0</v>
      </c>
      <c r="I20" s="60">
        <f>I21+I22+I23</f>
        <v>190000</v>
      </c>
      <c r="J20" s="144"/>
    </row>
    <row r="21" spans="1:10" s="32" customFormat="1" ht="253.5" customHeight="1">
      <c r="A21" s="29"/>
      <c r="B21" s="90" t="s">
        <v>353</v>
      </c>
      <c r="C21" s="65" t="s">
        <v>60</v>
      </c>
      <c r="D21" s="91">
        <v>1070</v>
      </c>
      <c r="E21" s="28" t="s">
        <v>52</v>
      </c>
      <c r="F21" s="77" t="s">
        <v>355</v>
      </c>
      <c r="G21" s="64">
        <f>25000+26700</f>
        <v>51700</v>
      </c>
      <c r="H21" s="64"/>
      <c r="I21" s="34">
        <f>G21+H21</f>
        <v>51700</v>
      </c>
      <c r="J21" s="144"/>
    </row>
    <row r="22" spans="1:10" s="32" customFormat="1" ht="119.25" customHeight="1">
      <c r="A22" s="29"/>
      <c r="B22" s="146" t="s">
        <v>198</v>
      </c>
      <c r="C22" s="153" t="s">
        <v>122</v>
      </c>
      <c r="D22" s="153">
        <v>1070</v>
      </c>
      <c r="E22" s="168" t="s">
        <v>392</v>
      </c>
      <c r="F22" s="31" t="s">
        <v>36</v>
      </c>
      <c r="G22" s="34">
        <v>15000</v>
      </c>
      <c r="H22" s="34"/>
      <c r="I22" s="34">
        <f>G22+H22</f>
        <v>15000</v>
      </c>
      <c r="J22" s="144"/>
    </row>
    <row r="23" spans="1:10" s="32" customFormat="1" ht="239.25" customHeight="1">
      <c r="A23" s="29"/>
      <c r="B23" s="147"/>
      <c r="C23" s="154"/>
      <c r="D23" s="154"/>
      <c r="E23" s="169"/>
      <c r="F23" s="77" t="s">
        <v>355</v>
      </c>
      <c r="G23" s="34">
        <f>50000+73300</f>
        <v>123300</v>
      </c>
      <c r="H23" s="34"/>
      <c r="I23" s="34">
        <f>G23+H23</f>
        <v>123300</v>
      </c>
      <c r="J23" s="144"/>
    </row>
    <row r="24" spans="1:10" s="32" customFormat="1" ht="107.25" customHeight="1">
      <c r="A24" s="29"/>
      <c r="B24" s="19" t="s">
        <v>199</v>
      </c>
      <c r="C24" s="19" t="s">
        <v>123</v>
      </c>
      <c r="D24" s="19"/>
      <c r="E24" s="20" t="s">
        <v>84</v>
      </c>
      <c r="F24" s="18"/>
      <c r="G24" s="9">
        <f>G25</f>
        <v>50000</v>
      </c>
      <c r="H24" s="9">
        <f>H25</f>
        <v>0</v>
      </c>
      <c r="I24" s="9">
        <f>I25</f>
        <v>50000</v>
      </c>
      <c r="J24" s="144"/>
    </row>
    <row r="25" spans="1:10" s="32" customFormat="1" ht="152.25" customHeight="1">
      <c r="A25" s="29"/>
      <c r="B25" s="30" t="s">
        <v>200</v>
      </c>
      <c r="C25" s="30" t="s">
        <v>124</v>
      </c>
      <c r="D25" s="30" t="s">
        <v>9</v>
      </c>
      <c r="E25" s="28" t="s">
        <v>125</v>
      </c>
      <c r="F25" s="31" t="s">
        <v>35</v>
      </c>
      <c r="G25" s="34">
        <f>50000</f>
        <v>50000</v>
      </c>
      <c r="H25" s="34"/>
      <c r="I25" s="9">
        <f>G25+H25</f>
        <v>50000</v>
      </c>
      <c r="J25" s="144"/>
    </row>
    <row r="26" spans="1:10" s="32" customFormat="1" ht="80.25" customHeight="1">
      <c r="A26" s="29"/>
      <c r="B26" s="19" t="s">
        <v>201</v>
      </c>
      <c r="C26" s="19" t="s">
        <v>63</v>
      </c>
      <c r="D26" s="19"/>
      <c r="E26" s="20" t="s">
        <v>99</v>
      </c>
      <c r="F26" s="18"/>
      <c r="G26" s="9">
        <f>G27</f>
        <v>684600</v>
      </c>
      <c r="H26" s="9">
        <f>H27</f>
        <v>0</v>
      </c>
      <c r="I26" s="9">
        <f>I27</f>
        <v>684600</v>
      </c>
      <c r="J26" s="145"/>
    </row>
    <row r="27" spans="1:10" s="32" customFormat="1" ht="125.25" customHeight="1">
      <c r="A27" s="29"/>
      <c r="B27" s="30" t="s">
        <v>202</v>
      </c>
      <c r="C27" s="30" t="s">
        <v>126</v>
      </c>
      <c r="D27" s="30" t="s">
        <v>9</v>
      </c>
      <c r="E27" s="28" t="s">
        <v>127</v>
      </c>
      <c r="F27" s="31" t="s">
        <v>36</v>
      </c>
      <c r="G27" s="34">
        <f>750000-65400</f>
        <v>684600</v>
      </c>
      <c r="H27" s="34"/>
      <c r="I27" s="34">
        <f>G27+H27</f>
        <v>684600</v>
      </c>
      <c r="J27" s="145"/>
    </row>
    <row r="28" spans="1:10" s="32" customFormat="1" ht="201.75" customHeight="1">
      <c r="A28" s="29"/>
      <c r="B28" s="19" t="s">
        <v>203</v>
      </c>
      <c r="C28" s="19" t="s">
        <v>58</v>
      </c>
      <c r="D28" s="19" t="s">
        <v>9</v>
      </c>
      <c r="E28" s="20" t="s">
        <v>64</v>
      </c>
      <c r="F28" s="18" t="s">
        <v>36</v>
      </c>
      <c r="G28" s="9">
        <f>430000+1699665</f>
        <v>2129665</v>
      </c>
      <c r="H28" s="9"/>
      <c r="I28" s="9">
        <f>G28+H28</f>
        <v>2129665</v>
      </c>
      <c r="J28" s="145"/>
    </row>
    <row r="29" spans="1:10" ht="86.25" customHeight="1">
      <c r="A29" s="27"/>
      <c r="B29" s="19" t="s">
        <v>362</v>
      </c>
      <c r="C29" s="19" t="s">
        <v>361</v>
      </c>
      <c r="D29" s="19"/>
      <c r="E29" s="20" t="s">
        <v>169</v>
      </c>
      <c r="F29" s="18"/>
      <c r="G29" s="9">
        <f>G30+G31+G32</f>
        <v>1060329</v>
      </c>
      <c r="H29" s="9">
        <f>H30+H31+H32</f>
        <v>0</v>
      </c>
      <c r="I29" s="9">
        <f>I30+I31+I32</f>
        <v>1060329</v>
      </c>
      <c r="J29" s="145"/>
    </row>
    <row r="30" spans="1:10" s="32" customFormat="1" ht="143.25" customHeight="1">
      <c r="A30" s="95"/>
      <c r="B30" s="30" t="s">
        <v>363</v>
      </c>
      <c r="C30" s="30" t="s">
        <v>365</v>
      </c>
      <c r="D30" s="30" t="s">
        <v>8</v>
      </c>
      <c r="E30" s="92" t="s">
        <v>366</v>
      </c>
      <c r="F30" s="31" t="s">
        <v>35</v>
      </c>
      <c r="G30" s="96">
        <f>818206+27439+1700+4518</f>
        <v>851863</v>
      </c>
      <c r="H30" s="97"/>
      <c r="I30" s="98">
        <f>G30+H30</f>
        <v>851863</v>
      </c>
      <c r="J30" s="145"/>
    </row>
    <row r="31" spans="1:10" s="32" customFormat="1" ht="137.25" customHeight="1">
      <c r="A31" s="95"/>
      <c r="B31" s="153" t="s">
        <v>364</v>
      </c>
      <c r="C31" s="153" t="s">
        <v>367</v>
      </c>
      <c r="D31" s="153" t="s">
        <v>8</v>
      </c>
      <c r="E31" s="160" t="s">
        <v>368</v>
      </c>
      <c r="F31" s="31" t="s">
        <v>34</v>
      </c>
      <c r="G31" s="96">
        <v>155666</v>
      </c>
      <c r="H31" s="97"/>
      <c r="I31" s="98">
        <f>G31+H31</f>
        <v>155666</v>
      </c>
      <c r="J31" s="145"/>
    </row>
    <row r="32" spans="1:10" s="32" customFormat="1" ht="143.25" customHeight="1">
      <c r="A32" s="95"/>
      <c r="B32" s="154"/>
      <c r="C32" s="154"/>
      <c r="D32" s="154"/>
      <c r="E32" s="161"/>
      <c r="F32" s="31" t="s">
        <v>113</v>
      </c>
      <c r="G32" s="34">
        <f>26400+26400</f>
        <v>52800</v>
      </c>
      <c r="H32" s="97"/>
      <c r="I32" s="98">
        <f>G32+H32</f>
        <v>52800</v>
      </c>
      <c r="J32" s="145"/>
    </row>
    <row r="33" spans="1:10" s="8" customFormat="1" ht="143.25" customHeight="1">
      <c r="A33" s="109"/>
      <c r="B33" s="108" t="s">
        <v>418</v>
      </c>
      <c r="C33" s="108" t="s">
        <v>419</v>
      </c>
      <c r="D33" s="108" t="s">
        <v>420</v>
      </c>
      <c r="E33" s="110" t="s">
        <v>421</v>
      </c>
      <c r="F33" s="18" t="s">
        <v>36</v>
      </c>
      <c r="G33" s="9">
        <f>484400+83000+6000+198030+11100+100000+65400</f>
        <v>947930</v>
      </c>
      <c r="H33" s="111"/>
      <c r="I33" s="112">
        <f>G33+H33</f>
        <v>947930</v>
      </c>
      <c r="J33" s="145"/>
    </row>
    <row r="34" spans="1:10" s="32" customFormat="1" ht="84.75" customHeight="1">
      <c r="A34" s="29"/>
      <c r="B34" s="72" t="s">
        <v>204</v>
      </c>
      <c r="C34" s="72" t="s">
        <v>128</v>
      </c>
      <c r="D34" s="72"/>
      <c r="E34" s="74" t="s">
        <v>360</v>
      </c>
      <c r="F34" s="18"/>
      <c r="G34" s="9">
        <f>G35+G36</f>
        <v>1173200</v>
      </c>
      <c r="H34" s="9">
        <f>H35+H36</f>
        <v>0</v>
      </c>
      <c r="I34" s="9">
        <f>I35+I36</f>
        <v>1173200</v>
      </c>
      <c r="J34" s="145"/>
    </row>
    <row r="35" spans="1:10" s="32" customFormat="1" ht="117.75" customHeight="1">
      <c r="A35" s="29"/>
      <c r="B35" s="65" t="s">
        <v>404</v>
      </c>
      <c r="C35" s="65" t="s">
        <v>402</v>
      </c>
      <c r="D35" s="65" t="s">
        <v>11</v>
      </c>
      <c r="E35" s="77" t="s">
        <v>403</v>
      </c>
      <c r="F35" s="31" t="s">
        <v>53</v>
      </c>
      <c r="G35" s="34">
        <f>400000+400000+60000+10000</f>
        <v>870000</v>
      </c>
      <c r="H35" s="34"/>
      <c r="I35" s="34">
        <f>G35+H35</f>
        <v>870000</v>
      </c>
      <c r="J35" s="145"/>
    </row>
    <row r="36" spans="1:10" s="32" customFormat="1" ht="111.75" customHeight="1">
      <c r="A36" s="29"/>
      <c r="B36" s="65" t="s">
        <v>371</v>
      </c>
      <c r="C36" s="65" t="s">
        <v>369</v>
      </c>
      <c r="D36" s="65" t="s">
        <v>11</v>
      </c>
      <c r="E36" s="107" t="s">
        <v>370</v>
      </c>
      <c r="F36" s="28" t="s">
        <v>53</v>
      </c>
      <c r="G36" s="34">
        <f>420200+66300-20000-27500-135800</f>
        <v>303200</v>
      </c>
      <c r="H36" s="34"/>
      <c r="I36" s="98">
        <f>G36+H36</f>
        <v>303200</v>
      </c>
      <c r="J36" s="145"/>
    </row>
    <row r="37" spans="1:10" s="32" customFormat="1" ht="66" customHeight="1">
      <c r="A37" s="29"/>
      <c r="B37" s="19" t="s">
        <v>205</v>
      </c>
      <c r="C37" s="19" t="s">
        <v>86</v>
      </c>
      <c r="D37" s="19"/>
      <c r="E37" s="20" t="s">
        <v>85</v>
      </c>
      <c r="F37" s="18"/>
      <c r="G37" s="9">
        <f>G38+G39</f>
        <v>1777339</v>
      </c>
      <c r="H37" s="9">
        <f>H38+H39</f>
        <v>177000</v>
      </c>
      <c r="I37" s="9">
        <f>I38+I39</f>
        <v>1954339</v>
      </c>
      <c r="J37" s="145"/>
    </row>
    <row r="38" spans="1:10" s="32" customFormat="1" ht="105.75" customHeight="1">
      <c r="A38" s="29"/>
      <c r="B38" s="30" t="s">
        <v>206</v>
      </c>
      <c r="C38" s="30" t="s">
        <v>87</v>
      </c>
      <c r="D38" s="30" t="s">
        <v>12</v>
      </c>
      <c r="E38" s="31" t="s">
        <v>65</v>
      </c>
      <c r="F38" s="31" t="s">
        <v>37</v>
      </c>
      <c r="G38" s="34">
        <f>700000+76070+35000+25000</f>
        <v>836070</v>
      </c>
      <c r="H38" s="34">
        <v>177000</v>
      </c>
      <c r="I38" s="34">
        <f>G38+H38</f>
        <v>1013070</v>
      </c>
      <c r="J38" s="145"/>
    </row>
    <row r="39" spans="1:10" s="32" customFormat="1" ht="126.75" customHeight="1">
      <c r="A39" s="29"/>
      <c r="B39" s="30" t="s">
        <v>207</v>
      </c>
      <c r="C39" s="30" t="s">
        <v>88</v>
      </c>
      <c r="D39" s="30" t="s">
        <v>12</v>
      </c>
      <c r="E39" s="31" t="s">
        <v>13</v>
      </c>
      <c r="F39" s="31" t="s">
        <v>37</v>
      </c>
      <c r="G39" s="34">
        <f>700000+28000+5000+18000+60000+26000+99269+5000</f>
        <v>941269</v>
      </c>
      <c r="H39" s="34"/>
      <c r="I39" s="34">
        <f>G39+H39</f>
        <v>941269</v>
      </c>
      <c r="J39" s="145"/>
    </row>
    <row r="40" spans="1:10" s="8" customFormat="1" ht="65.25" customHeight="1">
      <c r="A40" s="1"/>
      <c r="B40" s="19" t="s">
        <v>208</v>
      </c>
      <c r="C40" s="19" t="s">
        <v>102</v>
      </c>
      <c r="D40" s="19"/>
      <c r="E40" s="20" t="s">
        <v>108</v>
      </c>
      <c r="F40" s="18"/>
      <c r="G40" s="9">
        <f>G41+G42</f>
        <v>17811534</v>
      </c>
      <c r="H40" s="9">
        <f>H41+H42</f>
        <v>370650</v>
      </c>
      <c r="I40" s="9">
        <f>I41+I42</f>
        <v>18182184</v>
      </c>
      <c r="J40" s="145"/>
    </row>
    <row r="41" spans="1:10" s="32" customFormat="1" ht="120.75" customHeight="1">
      <c r="A41" s="29"/>
      <c r="B41" s="30" t="s">
        <v>209</v>
      </c>
      <c r="C41" s="30" t="s">
        <v>103</v>
      </c>
      <c r="D41" s="30" t="s">
        <v>12</v>
      </c>
      <c r="E41" s="31" t="s">
        <v>66</v>
      </c>
      <c r="F41" s="31" t="s">
        <v>37</v>
      </c>
      <c r="G41" s="34">
        <f>8719900+577000+98000+15000+100000+10000+5000+5000+109972+10000+2333+10000+20000</f>
        <v>9682205</v>
      </c>
      <c r="H41" s="34">
        <f>200000+25000+75000</f>
        <v>300000</v>
      </c>
      <c r="I41" s="34">
        <f>G41+H41</f>
        <v>9982205</v>
      </c>
      <c r="J41" s="145"/>
    </row>
    <row r="42" spans="1:10" s="32" customFormat="1" ht="117.75" customHeight="1">
      <c r="A42" s="29"/>
      <c r="B42" s="30" t="s">
        <v>210</v>
      </c>
      <c r="C42" s="30" t="s">
        <v>104</v>
      </c>
      <c r="D42" s="30" t="s">
        <v>12</v>
      </c>
      <c r="E42" s="31" t="s">
        <v>67</v>
      </c>
      <c r="F42" s="31" t="s">
        <v>37</v>
      </c>
      <c r="G42" s="34">
        <f>7321800+300000+95000+301179+65000+10000+20000+20000+15000+7000+9000-34650</f>
        <v>8129329</v>
      </c>
      <c r="H42" s="34">
        <f>10000+11000+34650+15000</f>
        <v>70650</v>
      </c>
      <c r="I42" s="34">
        <f>G42+H42</f>
        <v>8199979</v>
      </c>
      <c r="J42" s="145"/>
    </row>
    <row r="43" spans="1:10" s="32" customFormat="1" ht="66.75" customHeight="1">
      <c r="A43" s="29"/>
      <c r="B43" s="19" t="s">
        <v>211</v>
      </c>
      <c r="C43" s="19" t="s">
        <v>89</v>
      </c>
      <c r="D43" s="19"/>
      <c r="E43" s="20" t="s">
        <v>100</v>
      </c>
      <c r="F43" s="18"/>
      <c r="G43" s="9">
        <f>G44+G45</f>
        <v>9545184</v>
      </c>
      <c r="H43" s="9">
        <f>H44+H45</f>
        <v>3170667</v>
      </c>
      <c r="I43" s="9">
        <f>I44+I45</f>
        <v>12715851</v>
      </c>
      <c r="J43" s="145"/>
    </row>
    <row r="44" spans="1:10" s="32" customFormat="1" ht="141.75" customHeight="1">
      <c r="A44" s="29"/>
      <c r="B44" s="30" t="s">
        <v>212</v>
      </c>
      <c r="C44" s="30" t="s">
        <v>107</v>
      </c>
      <c r="D44" s="19" t="s">
        <v>12</v>
      </c>
      <c r="E44" s="31" t="s">
        <v>105</v>
      </c>
      <c r="F44" s="31" t="s">
        <v>37</v>
      </c>
      <c r="G44" s="34">
        <f>3246540+127835+6186+7000+11000+30000+350000+67943-1700</f>
        <v>3844804</v>
      </c>
      <c r="H44" s="34">
        <f>20000+226687+2900000</f>
        <v>3146687</v>
      </c>
      <c r="I44" s="34">
        <f>G44+H44</f>
        <v>6991491</v>
      </c>
      <c r="J44" s="145"/>
    </row>
    <row r="45" spans="1:10" s="32" customFormat="1" ht="120.75" customHeight="1">
      <c r="A45" s="29"/>
      <c r="B45" s="30" t="s">
        <v>213</v>
      </c>
      <c r="C45" s="30" t="s">
        <v>101</v>
      </c>
      <c r="D45" s="30" t="s">
        <v>12</v>
      </c>
      <c r="E45" s="31" t="s">
        <v>106</v>
      </c>
      <c r="F45" s="31" t="s">
        <v>37</v>
      </c>
      <c r="G45" s="34">
        <f>5143460+50000+50000+50000+300000+100000+10900+100000-3980-100000</f>
        <v>5700380</v>
      </c>
      <c r="H45" s="34">
        <f>20000+3980</f>
        <v>23980</v>
      </c>
      <c r="I45" s="34">
        <f>G45+H45</f>
        <v>5724360</v>
      </c>
      <c r="J45" s="145"/>
    </row>
    <row r="46" spans="1:10" s="8" customFormat="1" ht="105.75" customHeight="1">
      <c r="A46" s="1"/>
      <c r="B46" s="19" t="s">
        <v>214</v>
      </c>
      <c r="C46" s="19" t="s">
        <v>82</v>
      </c>
      <c r="D46" s="19"/>
      <c r="E46" s="18" t="s">
        <v>153</v>
      </c>
      <c r="F46" s="18"/>
      <c r="G46" s="9">
        <f>G47</f>
        <v>7497000</v>
      </c>
      <c r="H46" s="9">
        <f>H47</f>
        <v>0</v>
      </c>
      <c r="I46" s="9">
        <f>I47</f>
        <v>7497000</v>
      </c>
      <c r="J46" s="145"/>
    </row>
    <row r="47" spans="1:10" s="32" customFormat="1" ht="146.25" customHeight="1">
      <c r="A47" s="29"/>
      <c r="B47" s="30" t="s">
        <v>215</v>
      </c>
      <c r="C47" s="30" t="s">
        <v>152</v>
      </c>
      <c r="D47" s="30" t="s">
        <v>41</v>
      </c>
      <c r="E47" s="28" t="s">
        <v>40</v>
      </c>
      <c r="F47" s="31" t="s">
        <v>38</v>
      </c>
      <c r="G47" s="34">
        <f>3000000+2000000+627000+1870000</f>
        <v>7497000</v>
      </c>
      <c r="H47" s="34"/>
      <c r="I47" s="34">
        <f>G47+H47</f>
        <v>7497000</v>
      </c>
      <c r="J47" s="145"/>
    </row>
    <row r="48" spans="2:10" ht="97.5" customHeight="1">
      <c r="B48" s="19" t="s">
        <v>216</v>
      </c>
      <c r="C48" s="19" t="s">
        <v>154</v>
      </c>
      <c r="D48" s="19"/>
      <c r="E48" s="20" t="s">
        <v>155</v>
      </c>
      <c r="F48" s="18"/>
      <c r="G48" s="9">
        <f>G49+G50</f>
        <v>10976000</v>
      </c>
      <c r="H48" s="9">
        <f>H49+H50</f>
        <v>0</v>
      </c>
      <c r="I48" s="9">
        <f>I49+I50</f>
        <v>10976000</v>
      </c>
      <c r="J48" s="145"/>
    </row>
    <row r="49" spans="1:10" s="32" customFormat="1" ht="138" customHeight="1">
      <c r="A49" s="29"/>
      <c r="B49" s="30" t="s">
        <v>217</v>
      </c>
      <c r="C49" s="30" t="s">
        <v>156</v>
      </c>
      <c r="D49" s="30" t="s">
        <v>42</v>
      </c>
      <c r="E49" s="28" t="s">
        <v>157</v>
      </c>
      <c r="F49" s="31" t="s">
        <v>38</v>
      </c>
      <c r="G49" s="34">
        <f>6000000+4000000+976000</f>
        <v>10976000</v>
      </c>
      <c r="H49" s="34"/>
      <c r="I49" s="34">
        <f aca="true" t="shared" si="0" ref="I49:I57">G49+H49</f>
        <v>10976000</v>
      </c>
      <c r="J49" s="145"/>
    </row>
    <row r="50" spans="1:10" s="32" customFormat="1" ht="157.5" customHeight="1" hidden="1">
      <c r="A50" s="29"/>
      <c r="B50" s="30" t="s">
        <v>218</v>
      </c>
      <c r="C50" s="30" t="s">
        <v>158</v>
      </c>
      <c r="D50" s="30" t="s">
        <v>42</v>
      </c>
      <c r="E50" s="28" t="s">
        <v>159</v>
      </c>
      <c r="F50" s="31" t="s">
        <v>38</v>
      </c>
      <c r="G50" s="34">
        <f>12858252-313616-128100-190000-4000000-2000000-723087-41600-70000-198229-80000-3629130-350000-1134490</f>
        <v>0</v>
      </c>
      <c r="H50" s="34">
        <f>810000+680000-1490000</f>
        <v>0</v>
      </c>
      <c r="I50" s="34">
        <f t="shared" si="0"/>
        <v>0</v>
      </c>
      <c r="J50" s="145"/>
    </row>
    <row r="51" spans="1:10" s="32" customFormat="1" ht="169.5" customHeight="1">
      <c r="A51" s="29"/>
      <c r="B51" s="19" t="s">
        <v>387</v>
      </c>
      <c r="C51" s="19" t="s">
        <v>388</v>
      </c>
      <c r="D51" s="19" t="s">
        <v>390</v>
      </c>
      <c r="E51" s="20" t="s">
        <v>389</v>
      </c>
      <c r="F51" s="18" t="s">
        <v>38</v>
      </c>
      <c r="G51" s="9">
        <f>450000+199800-13000-437000</f>
        <v>199800</v>
      </c>
      <c r="H51" s="9"/>
      <c r="I51" s="9">
        <f>G51+H51</f>
        <v>199800</v>
      </c>
      <c r="J51" s="145"/>
    </row>
    <row r="52" spans="1:10" s="8" customFormat="1" ht="169.5" customHeight="1">
      <c r="A52" s="1"/>
      <c r="B52" s="19" t="s">
        <v>309</v>
      </c>
      <c r="C52" s="19" t="s">
        <v>310</v>
      </c>
      <c r="D52" s="19" t="s">
        <v>311</v>
      </c>
      <c r="E52" s="20" t="s">
        <v>312</v>
      </c>
      <c r="F52" s="18" t="s">
        <v>109</v>
      </c>
      <c r="G52" s="9">
        <f>2629000+3067500+1579990+2962430-170430-92200-729000-450000-575000-228000-190210</f>
        <v>7804080</v>
      </c>
      <c r="H52" s="9">
        <f>4897000+3385000-900000+729000+390000</f>
        <v>8501000</v>
      </c>
      <c r="I52" s="9">
        <f>G52+H52</f>
        <v>16305080</v>
      </c>
      <c r="J52" s="145"/>
    </row>
    <row r="53" spans="1:10" s="32" customFormat="1" ht="169.5" customHeight="1">
      <c r="A53" s="29"/>
      <c r="B53" s="19" t="s">
        <v>219</v>
      </c>
      <c r="C53" s="19" t="s">
        <v>160</v>
      </c>
      <c r="D53" s="19" t="s">
        <v>7</v>
      </c>
      <c r="E53" s="20" t="s">
        <v>68</v>
      </c>
      <c r="F53" s="18" t="s">
        <v>93</v>
      </c>
      <c r="G53" s="9">
        <v>88000</v>
      </c>
      <c r="H53" s="9">
        <v>16800</v>
      </c>
      <c r="I53" s="9">
        <f t="shared" si="0"/>
        <v>104800</v>
      </c>
      <c r="J53" s="145"/>
    </row>
    <row r="54" spans="1:10" s="32" customFormat="1" ht="121.5" customHeight="1">
      <c r="A54" s="29"/>
      <c r="B54" s="72" t="s">
        <v>313</v>
      </c>
      <c r="C54" s="72" t="s">
        <v>142</v>
      </c>
      <c r="D54" s="19" t="s">
        <v>30</v>
      </c>
      <c r="E54" s="20" t="s">
        <v>75</v>
      </c>
      <c r="F54" s="18" t="s">
        <v>114</v>
      </c>
      <c r="G54" s="9">
        <f>125175-4900</f>
        <v>120275</v>
      </c>
      <c r="H54" s="34"/>
      <c r="I54" s="9">
        <f t="shared" si="0"/>
        <v>120275</v>
      </c>
      <c r="J54" s="145"/>
    </row>
    <row r="55" spans="1:10" s="32" customFormat="1" ht="169.5" customHeight="1">
      <c r="A55" s="29"/>
      <c r="B55" s="72" t="s">
        <v>220</v>
      </c>
      <c r="C55" s="72" t="s">
        <v>161</v>
      </c>
      <c r="D55" s="72" t="s">
        <v>6</v>
      </c>
      <c r="E55" s="74" t="s">
        <v>69</v>
      </c>
      <c r="F55" s="18" t="s">
        <v>38</v>
      </c>
      <c r="G55" s="9"/>
      <c r="H55" s="9">
        <f>4220000+24220000+800000-380000</f>
        <v>28860000</v>
      </c>
      <c r="I55" s="9">
        <f t="shared" si="0"/>
        <v>28860000</v>
      </c>
      <c r="J55" s="145"/>
    </row>
    <row r="56" spans="1:10" s="32" customFormat="1" ht="163.5" customHeight="1">
      <c r="A56" s="29"/>
      <c r="B56" s="150" t="s">
        <v>302</v>
      </c>
      <c r="C56" s="150" t="s">
        <v>303</v>
      </c>
      <c r="D56" s="150" t="s">
        <v>6</v>
      </c>
      <c r="E56" s="157" t="s">
        <v>304</v>
      </c>
      <c r="F56" s="23" t="s">
        <v>359</v>
      </c>
      <c r="G56" s="9">
        <v>159333</v>
      </c>
      <c r="H56" s="9"/>
      <c r="I56" s="9">
        <f t="shared" si="0"/>
        <v>159333</v>
      </c>
      <c r="J56" s="145"/>
    </row>
    <row r="57" spans="1:10" s="32" customFormat="1" ht="121.5" customHeight="1">
      <c r="A57" s="29"/>
      <c r="B57" s="151"/>
      <c r="C57" s="151"/>
      <c r="D57" s="151"/>
      <c r="E57" s="159"/>
      <c r="F57" s="18" t="s">
        <v>114</v>
      </c>
      <c r="G57" s="9">
        <v>50000</v>
      </c>
      <c r="H57" s="9"/>
      <c r="I57" s="9">
        <f t="shared" si="0"/>
        <v>50000</v>
      </c>
      <c r="J57" s="145"/>
    </row>
    <row r="58" spans="2:10" ht="77.25" customHeight="1">
      <c r="B58" s="19" t="s">
        <v>221</v>
      </c>
      <c r="C58" s="19" t="s">
        <v>133</v>
      </c>
      <c r="D58" s="19"/>
      <c r="E58" s="20" t="s">
        <v>134</v>
      </c>
      <c r="F58" s="18"/>
      <c r="G58" s="9">
        <f>G59</f>
        <v>1985159</v>
      </c>
      <c r="H58" s="9">
        <f>H59</f>
        <v>0</v>
      </c>
      <c r="I58" s="9">
        <f>I59</f>
        <v>1985159</v>
      </c>
      <c r="J58" s="145"/>
    </row>
    <row r="59" spans="1:10" s="32" customFormat="1" ht="120.75" customHeight="1">
      <c r="A59" s="29"/>
      <c r="B59" s="30" t="s">
        <v>314</v>
      </c>
      <c r="C59" s="30" t="s">
        <v>315</v>
      </c>
      <c r="D59" s="30" t="s">
        <v>6</v>
      </c>
      <c r="E59" s="28" t="s">
        <v>316</v>
      </c>
      <c r="F59" s="31" t="s">
        <v>53</v>
      </c>
      <c r="G59" s="34">
        <f>1449859+262200+90000+30000+25000+128100</f>
        <v>1985159</v>
      </c>
      <c r="H59" s="34"/>
      <c r="I59" s="34">
        <f aca="true" t="shared" si="1" ref="I59:I68">G59+H59</f>
        <v>1985159</v>
      </c>
      <c r="J59" s="145"/>
    </row>
    <row r="60" spans="2:10" ht="197.25" customHeight="1">
      <c r="B60" s="19" t="s">
        <v>222</v>
      </c>
      <c r="C60" s="19" t="s">
        <v>162</v>
      </c>
      <c r="D60" s="19" t="s">
        <v>163</v>
      </c>
      <c r="E60" s="20" t="s">
        <v>164</v>
      </c>
      <c r="F60" s="18" t="s">
        <v>117</v>
      </c>
      <c r="G60" s="9">
        <f>228570+180360+92500+2453-180000</f>
        <v>323883</v>
      </c>
      <c r="H60" s="9">
        <f>55900+180000</f>
        <v>235900</v>
      </c>
      <c r="I60" s="9">
        <f t="shared" si="1"/>
        <v>559783</v>
      </c>
      <c r="J60" s="145"/>
    </row>
    <row r="61" spans="2:10" ht="123" customHeight="1">
      <c r="B61" s="19" t="s">
        <v>305</v>
      </c>
      <c r="C61" s="19" t="s">
        <v>306</v>
      </c>
      <c r="D61" s="19" t="s">
        <v>307</v>
      </c>
      <c r="E61" s="82" t="s">
        <v>308</v>
      </c>
      <c r="F61" s="18" t="s">
        <v>39</v>
      </c>
      <c r="G61" s="9">
        <f>391300+290315+199500</f>
        <v>881115</v>
      </c>
      <c r="H61" s="9"/>
      <c r="I61" s="9">
        <f t="shared" si="1"/>
        <v>881115</v>
      </c>
      <c r="J61" s="143"/>
    </row>
    <row r="62" spans="2:10" ht="155.25" customHeight="1">
      <c r="B62" s="19" t="s">
        <v>223</v>
      </c>
      <c r="C62" s="19" t="s">
        <v>131</v>
      </c>
      <c r="D62" s="19" t="s">
        <v>14</v>
      </c>
      <c r="E62" s="20" t="s">
        <v>132</v>
      </c>
      <c r="F62" s="21" t="s">
        <v>115</v>
      </c>
      <c r="G62" s="9"/>
      <c r="H62" s="9">
        <f>123500+57995</f>
        <v>181495</v>
      </c>
      <c r="I62" s="9">
        <f t="shared" si="1"/>
        <v>181495</v>
      </c>
      <c r="J62" s="143"/>
    </row>
    <row r="63" spans="2:10" ht="98.25" customHeight="1">
      <c r="B63" s="19" t="s">
        <v>356</v>
      </c>
      <c r="C63" s="19" t="s">
        <v>357</v>
      </c>
      <c r="D63" s="19" t="s">
        <v>33</v>
      </c>
      <c r="E63" s="20" t="s">
        <v>358</v>
      </c>
      <c r="F63" s="18" t="s">
        <v>53</v>
      </c>
      <c r="G63" s="9">
        <f>164000+3500+10000+20000+27500</f>
        <v>225000</v>
      </c>
      <c r="H63" s="9"/>
      <c r="I63" s="9">
        <f t="shared" si="1"/>
        <v>225000</v>
      </c>
      <c r="J63" s="143"/>
    </row>
    <row r="64" spans="2:10" ht="140.25" customHeight="1">
      <c r="B64" s="150" t="s">
        <v>465</v>
      </c>
      <c r="C64" s="150" t="s">
        <v>129</v>
      </c>
      <c r="D64" s="150" t="s">
        <v>31</v>
      </c>
      <c r="E64" s="155" t="s">
        <v>130</v>
      </c>
      <c r="F64" s="18" t="s">
        <v>39</v>
      </c>
      <c r="G64" s="9">
        <f>116600+200000+70000-70000</f>
        <v>316600</v>
      </c>
      <c r="H64" s="9">
        <v>344000</v>
      </c>
      <c r="I64" s="9">
        <f t="shared" si="1"/>
        <v>660600</v>
      </c>
      <c r="J64" s="143"/>
    </row>
    <row r="65" spans="2:10" ht="149.25" customHeight="1">
      <c r="B65" s="151"/>
      <c r="C65" s="151"/>
      <c r="D65" s="151"/>
      <c r="E65" s="156"/>
      <c r="F65" s="23" t="s">
        <v>359</v>
      </c>
      <c r="G65" s="9">
        <v>50000</v>
      </c>
      <c r="H65" s="9"/>
      <c r="I65" s="9">
        <f t="shared" si="1"/>
        <v>50000</v>
      </c>
      <c r="J65" s="143"/>
    </row>
    <row r="66" spans="2:10" ht="140.25" customHeight="1">
      <c r="B66" s="150" t="s">
        <v>426</v>
      </c>
      <c r="C66" s="150" t="s">
        <v>427</v>
      </c>
      <c r="D66" s="150" t="s">
        <v>31</v>
      </c>
      <c r="E66" s="157" t="s">
        <v>428</v>
      </c>
      <c r="F66" s="18" t="s">
        <v>39</v>
      </c>
      <c r="G66" s="9">
        <f>300000+79000+153027+70000</f>
        <v>602027</v>
      </c>
      <c r="H66" s="9">
        <v>51000</v>
      </c>
      <c r="I66" s="9">
        <f t="shared" si="1"/>
        <v>653027</v>
      </c>
      <c r="J66" s="143"/>
    </row>
    <row r="67" spans="2:10" ht="353.25" customHeight="1">
      <c r="B67" s="152"/>
      <c r="C67" s="152"/>
      <c r="D67" s="152"/>
      <c r="E67" s="158"/>
      <c r="F67" s="18" t="s">
        <v>464</v>
      </c>
      <c r="G67" s="9">
        <f>70000+400000+149370+147000+105077+350000</f>
        <v>1221447</v>
      </c>
      <c r="H67" s="9">
        <f>418410+190000</f>
        <v>608410</v>
      </c>
      <c r="I67" s="9">
        <f t="shared" si="1"/>
        <v>1829857</v>
      </c>
      <c r="J67" s="143"/>
    </row>
    <row r="68" spans="2:10" ht="173.25" customHeight="1">
      <c r="B68" s="151"/>
      <c r="C68" s="151"/>
      <c r="D68" s="151"/>
      <c r="E68" s="159"/>
      <c r="F68" s="23" t="s">
        <v>359</v>
      </c>
      <c r="G68" s="9">
        <f>11400+100000+100000</f>
        <v>211400</v>
      </c>
      <c r="H68" s="9">
        <f>2000000+145370+1000000+900000+190000+200000</f>
        <v>4435370</v>
      </c>
      <c r="I68" s="9">
        <f t="shared" si="1"/>
        <v>4646770</v>
      </c>
      <c r="J68" s="143"/>
    </row>
    <row r="69" spans="2:11" ht="95.25" customHeight="1">
      <c r="B69" s="19"/>
      <c r="C69" s="19"/>
      <c r="D69" s="19"/>
      <c r="E69" s="41" t="s">
        <v>224</v>
      </c>
      <c r="F69" s="18"/>
      <c r="G69" s="51">
        <f>G70+G71+G72+G73+G74+G75+G76+G77+G78+G79+G80+G81+G82+G83+G84+G85+G89+G90+G91+G94+G96+G100+G101+G102+G103+G92</f>
        <v>53900107.25</v>
      </c>
      <c r="H69" s="51">
        <f>H70+H71+H72+H73+H74+H75+H76+H77+H78+H79+H80+H81+H82+H83+H84+H85+H89+H90+H91+H94+H96+H100+H101+H102+H103+H92</f>
        <v>62559811.47</v>
      </c>
      <c r="I69" s="51">
        <f>I70+I71+I72+I73+I74+I75+I76+I77+I78+I79+I80+I81+I82+I83+I84+I85+I89+I90+I91+I94+I96+I100+I101+I102+I103+I92</f>
        <v>116459918.72</v>
      </c>
      <c r="J69" s="143"/>
      <c r="K69" s="48"/>
    </row>
    <row r="70" spans="1:10" s="7" customFormat="1" ht="146.25" customHeight="1">
      <c r="A70" s="6"/>
      <c r="B70" s="72" t="s">
        <v>225</v>
      </c>
      <c r="C70" s="72" t="s">
        <v>119</v>
      </c>
      <c r="D70" s="72" t="s">
        <v>2</v>
      </c>
      <c r="E70" s="74" t="s">
        <v>120</v>
      </c>
      <c r="F70" s="18" t="s">
        <v>53</v>
      </c>
      <c r="G70" s="9">
        <v>30000</v>
      </c>
      <c r="H70" s="9"/>
      <c r="I70" s="9">
        <f>G70+H70</f>
        <v>30000</v>
      </c>
      <c r="J70" s="143"/>
    </row>
    <row r="71" spans="2:10" ht="112.5" customHeight="1">
      <c r="B71" s="150" t="s">
        <v>226</v>
      </c>
      <c r="C71" s="150" t="s">
        <v>56</v>
      </c>
      <c r="D71" s="150" t="s">
        <v>16</v>
      </c>
      <c r="E71" s="163" t="s">
        <v>143</v>
      </c>
      <c r="F71" s="18" t="s">
        <v>34</v>
      </c>
      <c r="G71" s="9">
        <v>25246</v>
      </c>
      <c r="H71" s="9"/>
      <c r="I71" s="9">
        <f aca="true" t="shared" si="2" ref="I71:I91">G71+H71</f>
        <v>25246</v>
      </c>
      <c r="J71" s="143"/>
    </row>
    <row r="72" spans="2:10" ht="147" customHeight="1">
      <c r="B72" s="152"/>
      <c r="C72" s="152"/>
      <c r="D72" s="152"/>
      <c r="E72" s="164"/>
      <c r="F72" s="18" t="s">
        <v>113</v>
      </c>
      <c r="G72" s="9">
        <v>1164105</v>
      </c>
      <c r="H72" s="9"/>
      <c r="I72" s="9">
        <f t="shared" si="2"/>
        <v>1164105</v>
      </c>
      <c r="J72" s="143"/>
    </row>
    <row r="73" spans="2:10" ht="195" customHeight="1">
      <c r="B73" s="152"/>
      <c r="C73" s="152"/>
      <c r="D73" s="152"/>
      <c r="E73" s="164"/>
      <c r="F73" s="18" t="s">
        <v>97</v>
      </c>
      <c r="G73" s="9">
        <v>8197630.35</v>
      </c>
      <c r="H73" s="9"/>
      <c r="I73" s="9">
        <f t="shared" si="2"/>
        <v>8197630.35</v>
      </c>
      <c r="J73" s="143"/>
    </row>
    <row r="74" spans="2:10" ht="174.75" customHeight="1">
      <c r="B74" s="151"/>
      <c r="C74" s="151"/>
      <c r="D74" s="151"/>
      <c r="E74" s="165"/>
      <c r="F74" s="18" t="s">
        <v>49</v>
      </c>
      <c r="G74" s="9"/>
      <c r="H74" s="9">
        <f>3500000+20000+20000+200000+52395+47874+50000+350000+15116.65+40000+15000+8000+60000+670000-1187-1099+53000+22000</f>
        <v>5121099.65</v>
      </c>
      <c r="I74" s="9">
        <f t="shared" si="2"/>
        <v>5121099.65</v>
      </c>
      <c r="J74" s="143"/>
    </row>
    <row r="75" spans="2:10" ht="111.75" customHeight="1">
      <c r="B75" s="150" t="s">
        <v>227</v>
      </c>
      <c r="C75" s="150" t="s">
        <v>51</v>
      </c>
      <c r="D75" s="150" t="s">
        <v>17</v>
      </c>
      <c r="E75" s="171" t="s">
        <v>144</v>
      </c>
      <c r="F75" s="18" t="s">
        <v>34</v>
      </c>
      <c r="G75" s="9">
        <v>85470</v>
      </c>
      <c r="H75" s="9"/>
      <c r="I75" s="9">
        <f t="shared" si="2"/>
        <v>85470</v>
      </c>
      <c r="J75" s="143"/>
    </row>
    <row r="76" spans="2:10" ht="138.75" customHeight="1">
      <c r="B76" s="152"/>
      <c r="C76" s="152"/>
      <c r="D76" s="152"/>
      <c r="E76" s="172"/>
      <c r="F76" s="18" t="s">
        <v>113</v>
      </c>
      <c r="G76" s="9">
        <v>2671966</v>
      </c>
      <c r="H76" s="9"/>
      <c r="I76" s="9">
        <f t="shared" si="2"/>
        <v>2671966</v>
      </c>
      <c r="J76" s="143"/>
    </row>
    <row r="77" spans="2:10" ht="156.75" customHeight="1">
      <c r="B77" s="152"/>
      <c r="C77" s="152"/>
      <c r="D77" s="152"/>
      <c r="E77" s="172"/>
      <c r="F77" s="18" t="s">
        <v>109</v>
      </c>
      <c r="G77" s="9">
        <f>478990+10010+252570+450000+185000</f>
        <v>1376570</v>
      </c>
      <c r="H77" s="9"/>
      <c r="I77" s="9">
        <f t="shared" si="2"/>
        <v>1376570</v>
      </c>
      <c r="J77" s="143"/>
    </row>
    <row r="78" spans="2:10" ht="183.75" customHeight="1">
      <c r="B78" s="152"/>
      <c r="C78" s="152"/>
      <c r="D78" s="152"/>
      <c r="E78" s="75"/>
      <c r="F78" s="18" t="s">
        <v>97</v>
      </c>
      <c r="G78" s="9">
        <v>27284501.9</v>
      </c>
      <c r="H78" s="9"/>
      <c r="I78" s="9">
        <f t="shared" si="2"/>
        <v>27284501.9</v>
      </c>
      <c r="J78" s="143"/>
    </row>
    <row r="79" spans="2:10" ht="161.25" customHeight="1">
      <c r="B79" s="151"/>
      <c r="C79" s="151"/>
      <c r="D79" s="151"/>
      <c r="E79" s="76"/>
      <c r="F79" s="18" t="s">
        <v>49</v>
      </c>
      <c r="G79" s="9"/>
      <c r="H79" s="9">
        <f>7400000+419705+50000+1905000+20000+30000+650000+3281280+2500000+80000+77000+52000+4920+535000-120139+53000-4920+33000+766542+9900+30000-61050+150000+50000-150000+41839+9975+26000-7320+94690+200000+48647+24200-31407-19520+59200+25000+10000+30000</f>
        <v>18272542</v>
      </c>
      <c r="I79" s="9">
        <f t="shared" si="2"/>
        <v>18272542</v>
      </c>
      <c r="J79" s="143"/>
    </row>
    <row r="80" spans="1:10" s="88" customFormat="1" ht="162" customHeight="1" hidden="1">
      <c r="A80" s="89"/>
      <c r="B80" s="148" t="s">
        <v>228</v>
      </c>
      <c r="C80" s="148" t="s">
        <v>24</v>
      </c>
      <c r="D80" s="150" t="s">
        <v>50</v>
      </c>
      <c r="E80" s="155" t="s">
        <v>145</v>
      </c>
      <c r="F80" s="18" t="s">
        <v>113</v>
      </c>
      <c r="G80" s="9">
        <f>490-490</f>
        <v>0</v>
      </c>
      <c r="H80" s="9"/>
      <c r="I80" s="9">
        <f t="shared" si="2"/>
        <v>0</v>
      </c>
      <c r="J80" s="143"/>
    </row>
    <row r="81" spans="2:10" ht="188.25" customHeight="1">
      <c r="B81" s="162"/>
      <c r="C81" s="162"/>
      <c r="D81" s="152"/>
      <c r="E81" s="170"/>
      <c r="F81" s="18" t="s">
        <v>97</v>
      </c>
      <c r="G81" s="9">
        <v>166165</v>
      </c>
      <c r="H81" s="9"/>
      <c r="I81" s="9">
        <f t="shared" si="2"/>
        <v>166165</v>
      </c>
      <c r="J81" s="143"/>
    </row>
    <row r="82" spans="2:10" ht="162.75" customHeight="1">
      <c r="B82" s="149"/>
      <c r="C82" s="149"/>
      <c r="D82" s="151"/>
      <c r="E82" s="156"/>
      <c r="F82" s="18" t="s">
        <v>49</v>
      </c>
      <c r="G82" s="9"/>
      <c r="H82" s="9">
        <f>100000+3611</f>
        <v>103611</v>
      </c>
      <c r="I82" s="9">
        <f t="shared" si="2"/>
        <v>103611</v>
      </c>
      <c r="J82" s="143"/>
    </row>
    <row r="83" spans="2:10" ht="195.75" customHeight="1">
      <c r="B83" s="148" t="s">
        <v>229</v>
      </c>
      <c r="C83" s="148" t="s">
        <v>8</v>
      </c>
      <c r="D83" s="150" t="s">
        <v>45</v>
      </c>
      <c r="E83" s="155" t="s">
        <v>146</v>
      </c>
      <c r="F83" s="18" t="s">
        <v>97</v>
      </c>
      <c r="G83" s="9">
        <v>593579</v>
      </c>
      <c r="H83" s="9"/>
      <c r="I83" s="9">
        <f t="shared" si="2"/>
        <v>593579</v>
      </c>
      <c r="J83" s="143"/>
    </row>
    <row r="84" spans="2:10" ht="182.25" customHeight="1">
      <c r="B84" s="149"/>
      <c r="C84" s="149"/>
      <c r="D84" s="151"/>
      <c r="E84" s="156"/>
      <c r="F84" s="18" t="s">
        <v>49</v>
      </c>
      <c r="G84" s="9"/>
      <c r="H84" s="9">
        <f>400000+30000+3709+20000-11411-59000-1623</f>
        <v>381675</v>
      </c>
      <c r="I84" s="9">
        <f t="shared" si="2"/>
        <v>381675</v>
      </c>
      <c r="J84" s="143"/>
    </row>
    <row r="85" spans="2:10" ht="68.25" customHeight="1">
      <c r="B85" s="22" t="s">
        <v>230</v>
      </c>
      <c r="C85" s="22" t="s">
        <v>147</v>
      </c>
      <c r="D85" s="19"/>
      <c r="E85" s="20" t="s">
        <v>148</v>
      </c>
      <c r="F85" s="18"/>
      <c r="G85" s="9">
        <f>G86+G87+G88</f>
        <v>826970</v>
      </c>
      <c r="H85" s="9">
        <f>H86+H87+H88</f>
        <v>317698</v>
      </c>
      <c r="I85" s="9">
        <f>I86+I87+I88</f>
        <v>1144668</v>
      </c>
      <c r="J85" s="143"/>
    </row>
    <row r="86" spans="1:10" s="32" customFormat="1" ht="207" customHeight="1">
      <c r="A86" s="29"/>
      <c r="B86" s="146" t="s">
        <v>397</v>
      </c>
      <c r="C86" s="146" t="s">
        <v>393</v>
      </c>
      <c r="D86" s="153" t="s">
        <v>18</v>
      </c>
      <c r="E86" s="168" t="s">
        <v>395</v>
      </c>
      <c r="F86" s="31" t="s">
        <v>97</v>
      </c>
      <c r="G86" s="34">
        <f>751480-310</f>
        <v>751170</v>
      </c>
      <c r="H86" s="34"/>
      <c r="I86" s="34">
        <f>G86+H86</f>
        <v>751170</v>
      </c>
      <c r="J86" s="143"/>
    </row>
    <row r="87" spans="1:10" s="32" customFormat="1" ht="147" customHeight="1">
      <c r="A87" s="29"/>
      <c r="B87" s="147"/>
      <c r="C87" s="147"/>
      <c r="D87" s="154"/>
      <c r="E87" s="169"/>
      <c r="F87" s="31" t="s">
        <v>49</v>
      </c>
      <c r="G87" s="34"/>
      <c r="H87" s="34">
        <f>150000+107950+50000+9748+31663-31663</f>
        <v>317698</v>
      </c>
      <c r="I87" s="34">
        <f>G87+H87</f>
        <v>317698</v>
      </c>
      <c r="J87" s="143"/>
    </row>
    <row r="88" spans="1:10" s="32" customFormat="1" ht="162" customHeight="1">
      <c r="A88" s="29"/>
      <c r="B88" s="106" t="s">
        <v>398</v>
      </c>
      <c r="C88" s="106" t="s">
        <v>394</v>
      </c>
      <c r="D88" s="105" t="s">
        <v>18</v>
      </c>
      <c r="E88" s="28" t="s">
        <v>396</v>
      </c>
      <c r="F88" s="31" t="s">
        <v>48</v>
      </c>
      <c r="G88" s="34">
        <v>75800</v>
      </c>
      <c r="H88" s="34"/>
      <c r="I88" s="34">
        <f>G88+H88</f>
        <v>75800</v>
      </c>
      <c r="J88" s="143"/>
    </row>
    <row r="89" spans="2:10" ht="94.5" customHeight="1">
      <c r="B89" s="148" t="s">
        <v>231</v>
      </c>
      <c r="C89" s="148" t="s">
        <v>58</v>
      </c>
      <c r="D89" s="150" t="s">
        <v>9</v>
      </c>
      <c r="E89" s="155" t="s">
        <v>64</v>
      </c>
      <c r="F89" s="18" t="s">
        <v>36</v>
      </c>
      <c r="G89" s="9">
        <f>3245000-5430-63111-5500-3620</f>
        <v>3167339</v>
      </c>
      <c r="H89" s="9"/>
      <c r="I89" s="9">
        <f t="shared" si="2"/>
        <v>3167339</v>
      </c>
      <c r="J89" s="143"/>
    </row>
    <row r="90" spans="2:10" ht="121.5" customHeight="1">
      <c r="B90" s="162"/>
      <c r="C90" s="162"/>
      <c r="D90" s="152"/>
      <c r="E90" s="170"/>
      <c r="F90" s="18" t="s">
        <v>34</v>
      </c>
      <c r="G90" s="9">
        <f>88000-20145-12855</f>
        <v>55000</v>
      </c>
      <c r="H90" s="9"/>
      <c r="I90" s="9">
        <f t="shared" si="2"/>
        <v>55000</v>
      </c>
      <c r="J90" s="143"/>
    </row>
    <row r="91" spans="2:10" ht="142.5" customHeight="1">
      <c r="B91" s="149"/>
      <c r="C91" s="149"/>
      <c r="D91" s="151"/>
      <c r="E91" s="156"/>
      <c r="F91" s="18" t="s">
        <v>113</v>
      </c>
      <c r="G91" s="9">
        <f>3667000-302310-110190-246845</f>
        <v>3007655</v>
      </c>
      <c r="H91" s="9"/>
      <c r="I91" s="9">
        <f t="shared" si="2"/>
        <v>3007655</v>
      </c>
      <c r="J91" s="143"/>
    </row>
    <row r="92" spans="2:10" ht="68.25" customHeight="1">
      <c r="B92" s="134" t="s">
        <v>509</v>
      </c>
      <c r="C92" s="134" t="s">
        <v>361</v>
      </c>
      <c r="D92" s="119"/>
      <c r="E92" s="135" t="s">
        <v>169</v>
      </c>
      <c r="F92" s="18"/>
      <c r="G92" s="9">
        <f>G93</f>
        <v>52490</v>
      </c>
      <c r="H92" s="9">
        <f>H93</f>
        <v>0</v>
      </c>
      <c r="I92" s="9">
        <f>I93</f>
        <v>52490</v>
      </c>
      <c r="J92" s="143"/>
    </row>
    <row r="93" spans="1:10" s="32" customFormat="1" ht="142.5" customHeight="1">
      <c r="A93" s="29"/>
      <c r="B93" s="106" t="s">
        <v>510</v>
      </c>
      <c r="C93" s="106" t="s">
        <v>367</v>
      </c>
      <c r="D93" s="105" t="s">
        <v>8</v>
      </c>
      <c r="E93" s="136" t="s">
        <v>368</v>
      </c>
      <c r="F93" s="31" t="s">
        <v>110</v>
      </c>
      <c r="G93" s="34">
        <f>48870+3620</f>
        <v>52490</v>
      </c>
      <c r="H93" s="34"/>
      <c r="I93" s="34">
        <f>G93+H93</f>
        <v>52490</v>
      </c>
      <c r="J93" s="143"/>
    </row>
    <row r="94" spans="2:10" ht="73.5" customHeight="1">
      <c r="B94" s="22" t="s">
        <v>232</v>
      </c>
      <c r="C94" s="22" t="s">
        <v>102</v>
      </c>
      <c r="D94" s="19"/>
      <c r="E94" s="20" t="s">
        <v>108</v>
      </c>
      <c r="F94" s="18"/>
      <c r="G94" s="9">
        <f>G95</f>
        <v>4395270</v>
      </c>
      <c r="H94" s="9">
        <f>H95</f>
        <v>95129</v>
      </c>
      <c r="I94" s="9">
        <f>I95</f>
        <v>4490399</v>
      </c>
      <c r="J94" s="143"/>
    </row>
    <row r="95" spans="1:10" s="32" customFormat="1" ht="114" customHeight="1">
      <c r="A95" s="29"/>
      <c r="B95" s="30" t="s">
        <v>233</v>
      </c>
      <c r="C95" s="30" t="s">
        <v>103</v>
      </c>
      <c r="D95" s="30" t="s">
        <v>12</v>
      </c>
      <c r="E95" s="28" t="s">
        <v>66</v>
      </c>
      <c r="F95" s="28" t="s">
        <v>37</v>
      </c>
      <c r="G95" s="34">
        <f>4481090+123000+11740+5000-120060+1500-107000</f>
        <v>4395270</v>
      </c>
      <c r="H95" s="34">
        <f>100000-4871</f>
        <v>95129</v>
      </c>
      <c r="I95" s="34">
        <f>G95+H95</f>
        <v>4490399</v>
      </c>
      <c r="J95" s="143"/>
    </row>
    <row r="96" spans="1:10" s="8" customFormat="1" ht="75" customHeight="1">
      <c r="A96" s="1"/>
      <c r="B96" s="19" t="s">
        <v>430</v>
      </c>
      <c r="C96" s="19" t="s">
        <v>432</v>
      </c>
      <c r="D96" s="19"/>
      <c r="E96" s="20" t="s">
        <v>434</v>
      </c>
      <c r="F96" s="20"/>
      <c r="G96" s="9">
        <f>G97+G99+G98</f>
        <v>0</v>
      </c>
      <c r="H96" s="9">
        <f>H97+H99+H98</f>
        <v>24101972.82</v>
      </c>
      <c r="I96" s="9">
        <f>I97+I99+I98</f>
        <v>24101972.82</v>
      </c>
      <c r="J96" s="143"/>
    </row>
    <row r="97" spans="1:10" s="32" customFormat="1" ht="150" customHeight="1">
      <c r="A97" s="29"/>
      <c r="B97" s="153" t="s">
        <v>431</v>
      </c>
      <c r="C97" s="153" t="s">
        <v>433</v>
      </c>
      <c r="D97" s="153" t="s">
        <v>6</v>
      </c>
      <c r="E97" s="168" t="s">
        <v>435</v>
      </c>
      <c r="F97" s="31" t="s">
        <v>49</v>
      </c>
      <c r="G97" s="34"/>
      <c r="H97" s="34">
        <f>4611808.65+129060+4302000+3799000+113970+426400-387600</f>
        <v>12994638.65</v>
      </c>
      <c r="I97" s="34">
        <f aca="true" t="shared" si="3" ref="I97:I103">G97+H97</f>
        <v>12994638.65</v>
      </c>
      <c r="J97" s="143"/>
    </row>
    <row r="98" spans="1:10" s="32" customFormat="1" ht="150" customHeight="1">
      <c r="A98" s="29"/>
      <c r="B98" s="173"/>
      <c r="C98" s="173"/>
      <c r="D98" s="173"/>
      <c r="E98" s="174"/>
      <c r="F98" s="36" t="s">
        <v>359</v>
      </c>
      <c r="G98" s="34"/>
      <c r="H98" s="34">
        <v>387600</v>
      </c>
      <c r="I98" s="34">
        <f t="shared" si="3"/>
        <v>387600</v>
      </c>
      <c r="J98" s="143"/>
    </row>
    <row r="99" spans="1:10" s="32" customFormat="1" ht="99" customHeight="1">
      <c r="A99" s="29"/>
      <c r="B99" s="154"/>
      <c r="C99" s="154"/>
      <c r="D99" s="154"/>
      <c r="E99" s="169"/>
      <c r="F99" s="31" t="s">
        <v>114</v>
      </c>
      <c r="G99" s="34"/>
      <c r="H99" s="34">
        <f>21124.17+173250+5775000+1450000+700000+1262000+1200000+138360</f>
        <v>10719734.17</v>
      </c>
      <c r="I99" s="34">
        <f t="shared" si="3"/>
        <v>10719734.17</v>
      </c>
      <c r="J99" s="143"/>
    </row>
    <row r="100" spans="1:10" s="39" customFormat="1" ht="105" customHeight="1">
      <c r="A100" s="38"/>
      <c r="B100" s="19" t="s">
        <v>234</v>
      </c>
      <c r="C100" s="19" t="s">
        <v>142</v>
      </c>
      <c r="D100" s="19" t="s">
        <v>30</v>
      </c>
      <c r="E100" s="20" t="s">
        <v>75</v>
      </c>
      <c r="F100" s="18" t="s">
        <v>114</v>
      </c>
      <c r="G100" s="9">
        <f>790500-41850</f>
        <v>748650</v>
      </c>
      <c r="H100" s="9">
        <f>11768000+900000+283419+389000-970735-600000</f>
        <v>11769684</v>
      </c>
      <c r="I100" s="9">
        <f t="shared" si="3"/>
        <v>12518334</v>
      </c>
      <c r="J100" s="143"/>
    </row>
    <row r="101" spans="2:10" ht="165" customHeight="1">
      <c r="B101" s="22" t="s">
        <v>235</v>
      </c>
      <c r="C101" s="22" t="s">
        <v>131</v>
      </c>
      <c r="D101" s="19" t="s">
        <v>14</v>
      </c>
      <c r="E101" s="20" t="s">
        <v>132</v>
      </c>
      <c r="F101" s="20" t="s">
        <v>115</v>
      </c>
      <c r="G101" s="9"/>
      <c r="H101" s="9">
        <f>385000+11400</f>
        <v>396400</v>
      </c>
      <c r="I101" s="9">
        <f t="shared" si="3"/>
        <v>396400</v>
      </c>
      <c r="J101" s="143"/>
    </row>
    <row r="102" spans="2:10" ht="159" customHeight="1">
      <c r="B102" s="150" t="s">
        <v>429</v>
      </c>
      <c r="C102" s="150" t="s">
        <v>427</v>
      </c>
      <c r="D102" s="150" t="s">
        <v>31</v>
      </c>
      <c r="E102" s="157" t="s">
        <v>428</v>
      </c>
      <c r="F102" s="18" t="s">
        <v>113</v>
      </c>
      <c r="G102" s="9">
        <f>85500-34000</f>
        <v>51500</v>
      </c>
      <c r="H102" s="9"/>
      <c r="I102" s="9">
        <f t="shared" si="3"/>
        <v>51500</v>
      </c>
      <c r="J102" s="143"/>
    </row>
    <row r="103" spans="2:10" ht="159" customHeight="1">
      <c r="B103" s="151"/>
      <c r="C103" s="151"/>
      <c r="D103" s="151"/>
      <c r="E103" s="159"/>
      <c r="F103" s="23" t="s">
        <v>359</v>
      </c>
      <c r="G103" s="114"/>
      <c r="H103" s="9">
        <v>2000000</v>
      </c>
      <c r="I103" s="9">
        <f t="shared" si="3"/>
        <v>2000000</v>
      </c>
      <c r="J103" s="143"/>
    </row>
    <row r="104" spans="2:10" ht="123" customHeight="1">
      <c r="B104" s="19"/>
      <c r="C104" s="19"/>
      <c r="D104" s="19"/>
      <c r="E104" s="41" t="s">
        <v>236</v>
      </c>
      <c r="F104" s="20"/>
      <c r="G104" s="51">
        <f>G105+G106+G107+G108+G109+G110+G111+G112+G117+G120+G122+G124+G125+G123</f>
        <v>23015812.24</v>
      </c>
      <c r="H104" s="51">
        <f>H105+H106+H107+H108+H109+H110+H111+H112+H117+H120+H122+H124+H125+H123</f>
        <v>58366826.49</v>
      </c>
      <c r="I104" s="51">
        <f>I105+I106+I107+I108+I109+I110+I111+I112+I117+I120+I122+I124+I125+I123</f>
        <v>81382638.73</v>
      </c>
      <c r="J104" s="143"/>
    </row>
    <row r="105" spans="2:10" ht="144.75" customHeight="1">
      <c r="B105" s="72" t="s">
        <v>237</v>
      </c>
      <c r="C105" s="72" t="s">
        <v>119</v>
      </c>
      <c r="D105" s="72" t="s">
        <v>2</v>
      </c>
      <c r="E105" s="74" t="s">
        <v>120</v>
      </c>
      <c r="F105" s="18" t="s">
        <v>53</v>
      </c>
      <c r="G105" s="9">
        <v>5000</v>
      </c>
      <c r="H105" s="51"/>
      <c r="I105" s="9">
        <f>G105+H105</f>
        <v>5000</v>
      </c>
      <c r="J105" s="143"/>
    </row>
    <row r="106" spans="2:10" ht="246.75" customHeight="1">
      <c r="B106" s="148" t="s">
        <v>238</v>
      </c>
      <c r="C106" s="148" t="s">
        <v>57</v>
      </c>
      <c r="D106" s="150" t="s">
        <v>21</v>
      </c>
      <c r="E106" s="155" t="s">
        <v>70</v>
      </c>
      <c r="F106" s="21" t="s">
        <v>466</v>
      </c>
      <c r="G106" s="9">
        <v>1277628.43</v>
      </c>
      <c r="H106" s="9">
        <f>20000000+5500000+15000+7000+160000+1302000+214800+12000+181429+15000+950000+144000+15000-95820-15000+86000+3231250+233065+104755+629000+10600+134872+7000-11539-900+23000-557775-265014-84360</f>
        <v>31945363</v>
      </c>
      <c r="I106" s="9">
        <f aca="true" t="shared" si="4" ref="I106:I111">G106+H106</f>
        <v>33222991.43</v>
      </c>
      <c r="J106" s="143"/>
    </row>
    <row r="107" spans="2:10" ht="165.75" customHeight="1">
      <c r="B107" s="162"/>
      <c r="C107" s="162"/>
      <c r="D107" s="152"/>
      <c r="E107" s="170"/>
      <c r="F107" s="18" t="s">
        <v>109</v>
      </c>
      <c r="G107" s="9">
        <v>108000</v>
      </c>
      <c r="H107" s="9">
        <f>350000-264000-86000</f>
        <v>0</v>
      </c>
      <c r="I107" s="9">
        <f>G107+H107</f>
        <v>108000</v>
      </c>
      <c r="J107" s="143"/>
    </row>
    <row r="108" spans="2:10" ht="141.75" customHeight="1">
      <c r="B108" s="149"/>
      <c r="C108" s="149"/>
      <c r="D108" s="151"/>
      <c r="E108" s="156"/>
      <c r="F108" s="21" t="s">
        <v>113</v>
      </c>
      <c r="G108" s="9">
        <v>172797.52</v>
      </c>
      <c r="H108" s="9"/>
      <c r="I108" s="9">
        <f t="shared" si="4"/>
        <v>172797.52</v>
      </c>
      <c r="J108" s="143"/>
    </row>
    <row r="109" spans="2:10" ht="153.75" customHeight="1">
      <c r="B109" s="148" t="s">
        <v>239</v>
      </c>
      <c r="C109" s="148" t="s">
        <v>135</v>
      </c>
      <c r="D109" s="150" t="s">
        <v>22</v>
      </c>
      <c r="E109" s="155" t="s">
        <v>136</v>
      </c>
      <c r="F109" s="21" t="s">
        <v>113</v>
      </c>
      <c r="G109" s="9">
        <v>11541.24</v>
      </c>
      <c r="H109" s="9"/>
      <c r="I109" s="9">
        <f t="shared" si="4"/>
        <v>11541.24</v>
      </c>
      <c r="J109" s="143"/>
    </row>
    <row r="110" spans="2:10" ht="234.75" customHeight="1">
      <c r="B110" s="149"/>
      <c r="C110" s="149"/>
      <c r="D110" s="151"/>
      <c r="E110" s="156"/>
      <c r="F110" s="21" t="s">
        <v>466</v>
      </c>
      <c r="G110" s="9">
        <v>229868.52</v>
      </c>
      <c r="H110" s="9">
        <f>15000+115000+1539</f>
        <v>131539</v>
      </c>
      <c r="I110" s="9">
        <f t="shared" si="4"/>
        <v>361407.52</v>
      </c>
      <c r="J110" s="143"/>
    </row>
    <row r="111" spans="2:10" ht="146.25" customHeight="1">
      <c r="B111" s="71" t="s">
        <v>240</v>
      </c>
      <c r="C111" s="71" t="s">
        <v>137</v>
      </c>
      <c r="D111" s="72" t="s">
        <v>23</v>
      </c>
      <c r="E111" s="74" t="s">
        <v>138</v>
      </c>
      <c r="F111" s="21" t="s">
        <v>113</v>
      </c>
      <c r="G111" s="9">
        <f>99000-96000</f>
        <v>3000</v>
      </c>
      <c r="H111" s="9"/>
      <c r="I111" s="9">
        <f t="shared" si="4"/>
        <v>3000</v>
      </c>
      <c r="J111" s="143"/>
    </row>
    <row r="112" spans="2:10" ht="98.25" customHeight="1">
      <c r="B112" s="22" t="s">
        <v>241</v>
      </c>
      <c r="C112" s="22" t="s">
        <v>141</v>
      </c>
      <c r="D112" s="19"/>
      <c r="E112" s="20" t="s">
        <v>401</v>
      </c>
      <c r="F112" s="21"/>
      <c r="G112" s="9">
        <f>G113+G115+G116+G114</f>
        <v>18606926.13</v>
      </c>
      <c r="H112" s="9">
        <f>H113+H115+H116+H114</f>
        <v>59000</v>
      </c>
      <c r="I112" s="9">
        <f>I113+I115+I116+I114</f>
        <v>18665926.13</v>
      </c>
      <c r="J112" s="143"/>
    </row>
    <row r="113" spans="1:10" s="32" customFormat="1" ht="159.75" customHeight="1">
      <c r="A113" s="29"/>
      <c r="B113" s="146" t="s">
        <v>242</v>
      </c>
      <c r="C113" s="146" t="s">
        <v>139</v>
      </c>
      <c r="D113" s="153" t="s">
        <v>407</v>
      </c>
      <c r="E113" s="168" t="s">
        <v>140</v>
      </c>
      <c r="F113" s="33" t="s">
        <v>113</v>
      </c>
      <c r="G113" s="34">
        <v>16677</v>
      </c>
      <c r="H113" s="34"/>
      <c r="I113" s="34">
        <f>G113+H113</f>
        <v>16677</v>
      </c>
      <c r="J113" s="143"/>
    </row>
    <row r="114" spans="1:10" s="32" customFormat="1" ht="261.75" customHeight="1">
      <c r="A114" s="29"/>
      <c r="B114" s="147"/>
      <c r="C114" s="147"/>
      <c r="D114" s="154"/>
      <c r="E114" s="169"/>
      <c r="F114" s="33" t="s">
        <v>483</v>
      </c>
      <c r="G114" s="34">
        <v>18494567.4</v>
      </c>
      <c r="H114" s="34">
        <f>35000+34600-10600</f>
        <v>59000</v>
      </c>
      <c r="I114" s="34">
        <f>G114+H114</f>
        <v>18553567.4</v>
      </c>
      <c r="J114" s="143"/>
    </row>
    <row r="115" spans="1:10" s="32" customFormat="1" ht="159.75" customHeight="1">
      <c r="A115" s="29"/>
      <c r="B115" s="146" t="s">
        <v>422</v>
      </c>
      <c r="C115" s="146" t="s">
        <v>423</v>
      </c>
      <c r="D115" s="146" t="s">
        <v>424</v>
      </c>
      <c r="E115" s="160" t="s">
        <v>425</v>
      </c>
      <c r="F115" s="33" t="s">
        <v>113</v>
      </c>
      <c r="G115" s="34">
        <v>95681.73</v>
      </c>
      <c r="H115" s="34"/>
      <c r="I115" s="34">
        <f>G115+H115</f>
        <v>95681.73</v>
      </c>
      <c r="J115" s="143"/>
    </row>
    <row r="116" spans="1:10" s="32" customFormat="1" ht="253.5" customHeight="1" hidden="1">
      <c r="A116" s="29"/>
      <c r="B116" s="147"/>
      <c r="C116" s="147"/>
      <c r="D116" s="147"/>
      <c r="E116" s="161"/>
      <c r="F116" s="33" t="s">
        <v>466</v>
      </c>
      <c r="G116" s="34">
        <f>20000+20000-40000</f>
        <v>0</v>
      </c>
      <c r="H116" s="34"/>
      <c r="I116" s="34">
        <f>G116+H116</f>
        <v>0</v>
      </c>
      <c r="J116" s="143"/>
    </row>
    <row r="117" spans="1:10" s="8" customFormat="1" ht="93.75" customHeight="1">
      <c r="A117" s="1"/>
      <c r="B117" s="22" t="s">
        <v>414</v>
      </c>
      <c r="C117" s="22" t="s">
        <v>409</v>
      </c>
      <c r="D117" s="22"/>
      <c r="E117" s="82" t="s">
        <v>410</v>
      </c>
      <c r="F117" s="21"/>
      <c r="G117" s="9">
        <f>G118+G119</f>
        <v>1915354</v>
      </c>
      <c r="H117" s="9">
        <f>H118+H119</f>
        <v>3367346</v>
      </c>
      <c r="I117" s="9">
        <f>I118+I119</f>
        <v>5282700</v>
      </c>
      <c r="J117" s="143"/>
    </row>
    <row r="118" spans="1:10" s="32" customFormat="1" ht="144.75" customHeight="1">
      <c r="A118" s="29"/>
      <c r="B118" s="146" t="s">
        <v>415</v>
      </c>
      <c r="C118" s="146" t="s">
        <v>411</v>
      </c>
      <c r="D118" s="146" t="s">
        <v>412</v>
      </c>
      <c r="E118" s="175" t="s">
        <v>413</v>
      </c>
      <c r="F118" s="33" t="s">
        <v>113</v>
      </c>
      <c r="G118" s="34">
        <v>115200</v>
      </c>
      <c r="H118" s="34"/>
      <c r="I118" s="34">
        <f>G118+H118</f>
        <v>115200</v>
      </c>
      <c r="J118" s="143"/>
    </row>
    <row r="119" spans="1:10" s="32" customFormat="1" ht="234" customHeight="1">
      <c r="A119" s="29"/>
      <c r="B119" s="147"/>
      <c r="C119" s="147"/>
      <c r="D119" s="147"/>
      <c r="E119" s="176"/>
      <c r="F119" s="33" t="s">
        <v>466</v>
      </c>
      <c r="G119" s="34">
        <f>3093504-1293350</f>
        <v>1800154</v>
      </c>
      <c r="H119" s="34">
        <f>3406496-39150</f>
        <v>3367346</v>
      </c>
      <c r="I119" s="34">
        <f>G119+H119</f>
        <v>5167500</v>
      </c>
      <c r="J119" s="143"/>
    </row>
    <row r="120" spans="1:10" s="8" customFormat="1" ht="90.75" customHeight="1">
      <c r="A120" s="1"/>
      <c r="B120" s="19" t="s">
        <v>436</v>
      </c>
      <c r="C120" s="19" t="s">
        <v>432</v>
      </c>
      <c r="D120" s="19"/>
      <c r="E120" s="20" t="s">
        <v>434</v>
      </c>
      <c r="F120" s="20"/>
      <c r="G120" s="9">
        <f>G121</f>
        <v>0</v>
      </c>
      <c r="H120" s="9">
        <f>H121</f>
        <v>10058123.6</v>
      </c>
      <c r="I120" s="9">
        <f>I121</f>
        <v>10058123.6</v>
      </c>
      <c r="J120" s="143"/>
    </row>
    <row r="121" spans="1:10" s="32" customFormat="1" ht="231.75" customHeight="1">
      <c r="A121" s="29"/>
      <c r="B121" s="30" t="s">
        <v>437</v>
      </c>
      <c r="C121" s="30" t="s">
        <v>433</v>
      </c>
      <c r="D121" s="30" t="s">
        <v>6</v>
      </c>
      <c r="E121" s="28" t="s">
        <v>435</v>
      </c>
      <c r="F121" s="21" t="s">
        <v>416</v>
      </c>
      <c r="G121" s="34"/>
      <c r="H121" s="34">
        <f>40078.94+1335964.66+95820+3194000+30000+900+5277000+84360</f>
        <v>10058123.6</v>
      </c>
      <c r="I121" s="34">
        <f>G121+H121</f>
        <v>10058123.6</v>
      </c>
      <c r="J121" s="143"/>
    </row>
    <row r="122" spans="2:10" ht="135.75" customHeight="1">
      <c r="B122" s="19" t="s">
        <v>243</v>
      </c>
      <c r="C122" s="19" t="s">
        <v>142</v>
      </c>
      <c r="D122" s="19" t="s">
        <v>30</v>
      </c>
      <c r="E122" s="20" t="s">
        <v>75</v>
      </c>
      <c r="F122" s="18" t="s">
        <v>114</v>
      </c>
      <c r="G122" s="9">
        <f>420000+48000+300000+12000+12000+5000+22367.2-45670.8-108000</f>
        <v>665696.3999999999</v>
      </c>
      <c r="H122" s="9">
        <f>6847000+3000000-134872-370170-898503.11</f>
        <v>8443454.89</v>
      </c>
      <c r="I122" s="9">
        <f>G122+H122</f>
        <v>9109151.290000001</v>
      </c>
      <c r="J122" s="143"/>
    </row>
    <row r="123" spans="2:10" ht="135.75" customHeight="1">
      <c r="B123" s="19" t="s">
        <v>502</v>
      </c>
      <c r="C123" s="19" t="s">
        <v>503</v>
      </c>
      <c r="D123" s="19" t="s">
        <v>15</v>
      </c>
      <c r="E123" s="20" t="s">
        <v>504</v>
      </c>
      <c r="F123" s="18" t="s">
        <v>114</v>
      </c>
      <c r="G123" s="122"/>
      <c r="H123" s="9">
        <v>3840000</v>
      </c>
      <c r="I123" s="9">
        <f>G123+H123</f>
        <v>3840000</v>
      </c>
      <c r="J123" s="143"/>
    </row>
    <row r="124" spans="1:10" s="121" customFormat="1" ht="135.75" customHeight="1">
      <c r="A124" s="120"/>
      <c r="B124" s="19" t="s">
        <v>493</v>
      </c>
      <c r="C124" s="19" t="s">
        <v>131</v>
      </c>
      <c r="D124" s="19" t="s">
        <v>14</v>
      </c>
      <c r="E124" s="20" t="s">
        <v>132</v>
      </c>
      <c r="F124" s="21" t="s">
        <v>115</v>
      </c>
      <c r="G124" s="122"/>
      <c r="H124" s="9">
        <v>22000</v>
      </c>
      <c r="I124" s="9">
        <f>G124+H124</f>
        <v>22000</v>
      </c>
      <c r="J124" s="143"/>
    </row>
    <row r="125" spans="2:10" ht="144" customHeight="1">
      <c r="B125" s="19" t="s">
        <v>476</v>
      </c>
      <c r="C125" s="19" t="s">
        <v>129</v>
      </c>
      <c r="D125" s="19" t="s">
        <v>477</v>
      </c>
      <c r="E125" s="117" t="s">
        <v>130</v>
      </c>
      <c r="F125" s="23" t="s">
        <v>359</v>
      </c>
      <c r="G125" s="9">
        <v>20000</v>
      </c>
      <c r="H125" s="9">
        <v>500000</v>
      </c>
      <c r="I125" s="9">
        <f>G125+H125</f>
        <v>520000</v>
      </c>
      <c r="J125" s="143"/>
    </row>
    <row r="126" spans="2:10" ht="121.5" customHeight="1">
      <c r="B126" s="19"/>
      <c r="C126" s="19"/>
      <c r="D126" s="19"/>
      <c r="E126" s="41" t="s">
        <v>244</v>
      </c>
      <c r="F126" s="18"/>
      <c r="G126" s="51">
        <f>G127+G128+G134+G136+G137+G138+G142+G143+G144+G149+G150+G151+G147</f>
        <v>101830577.7</v>
      </c>
      <c r="H126" s="51">
        <f>H127+H128+H134+H136+H137+H138+H142+H143+H144+H149+H150+H151+H147</f>
        <v>437210</v>
      </c>
      <c r="I126" s="51">
        <f>I127+I128+I134+I136+I137+I138+I142+I143+I144+I149+I150+I151+I147</f>
        <v>102267787.7</v>
      </c>
      <c r="J126" s="143"/>
    </row>
    <row r="127" spans="1:10" ht="143.25" customHeight="1">
      <c r="A127" s="66"/>
      <c r="B127" s="72" t="s">
        <v>245</v>
      </c>
      <c r="C127" s="72" t="s">
        <v>119</v>
      </c>
      <c r="D127" s="61" t="s">
        <v>2</v>
      </c>
      <c r="E127" s="74" t="s">
        <v>120</v>
      </c>
      <c r="F127" s="20" t="s">
        <v>53</v>
      </c>
      <c r="G127" s="9">
        <v>50000</v>
      </c>
      <c r="H127" s="9"/>
      <c r="I127" s="9">
        <f>G127+H127</f>
        <v>50000</v>
      </c>
      <c r="J127" s="143"/>
    </row>
    <row r="128" spans="1:10" ht="184.5" customHeight="1">
      <c r="A128" s="66"/>
      <c r="B128" s="72" t="s">
        <v>246</v>
      </c>
      <c r="C128" s="72" t="s">
        <v>83</v>
      </c>
      <c r="D128" s="79"/>
      <c r="E128" s="74" t="s">
        <v>121</v>
      </c>
      <c r="F128" s="62"/>
      <c r="G128" s="60">
        <f>G129+G130+G131+G132+G133</f>
        <v>58579926</v>
      </c>
      <c r="H128" s="60">
        <f>H129+H130+H131+H132+H133</f>
        <v>245910</v>
      </c>
      <c r="I128" s="60">
        <f>I129+I130+I131+I132+I133</f>
        <v>58825836</v>
      </c>
      <c r="J128" s="143"/>
    </row>
    <row r="129" spans="1:10" s="37" customFormat="1" ht="115.5" customHeight="1">
      <c r="A129" s="67"/>
      <c r="B129" s="65" t="s">
        <v>247</v>
      </c>
      <c r="C129" s="65" t="s">
        <v>59</v>
      </c>
      <c r="D129" s="80">
        <v>1030</v>
      </c>
      <c r="E129" s="77" t="s">
        <v>165</v>
      </c>
      <c r="F129" s="63" t="s">
        <v>34</v>
      </c>
      <c r="G129" s="64">
        <f>371502+100000+35000</f>
        <v>506502</v>
      </c>
      <c r="H129" s="64">
        <f>214000+31910</f>
        <v>245910</v>
      </c>
      <c r="I129" s="64">
        <f>G129+H129</f>
        <v>752412</v>
      </c>
      <c r="J129" s="143"/>
    </row>
    <row r="130" spans="1:10" s="32" customFormat="1" ht="102.75" customHeight="1">
      <c r="A130" s="68"/>
      <c r="B130" s="30" t="s">
        <v>248</v>
      </c>
      <c r="C130" s="30" t="s">
        <v>166</v>
      </c>
      <c r="D130" s="81">
        <v>1070</v>
      </c>
      <c r="E130" s="28" t="s">
        <v>71</v>
      </c>
      <c r="F130" s="28" t="s">
        <v>34</v>
      </c>
      <c r="G130" s="34">
        <f>1541402-45000</f>
        <v>1496402</v>
      </c>
      <c r="H130" s="34"/>
      <c r="I130" s="64">
        <f>G130+H130</f>
        <v>1496402</v>
      </c>
      <c r="J130" s="143"/>
    </row>
    <row r="131" spans="1:10" s="32" customFormat="1" ht="147.75" customHeight="1">
      <c r="A131" s="68"/>
      <c r="B131" s="30" t="s">
        <v>249</v>
      </c>
      <c r="C131" s="30" t="s">
        <v>60</v>
      </c>
      <c r="D131" s="30" t="s">
        <v>24</v>
      </c>
      <c r="E131" s="28" t="s">
        <v>52</v>
      </c>
      <c r="F131" s="28" t="s">
        <v>34</v>
      </c>
      <c r="G131" s="34">
        <f>9466596+4000000+3429000+1500000</f>
        <v>18395596</v>
      </c>
      <c r="H131" s="34"/>
      <c r="I131" s="64">
        <f>G131+H131</f>
        <v>18395596</v>
      </c>
      <c r="J131" s="143"/>
    </row>
    <row r="132" spans="1:10" s="32" customFormat="1" ht="108.75" customHeight="1">
      <c r="A132" s="68"/>
      <c r="B132" s="30" t="s">
        <v>250</v>
      </c>
      <c r="C132" s="30" t="s">
        <v>90</v>
      </c>
      <c r="D132" s="30" t="s">
        <v>24</v>
      </c>
      <c r="E132" s="28" t="s">
        <v>111</v>
      </c>
      <c r="F132" s="28" t="s">
        <v>34</v>
      </c>
      <c r="G132" s="34">
        <f>1000000+1000000+1000000</f>
        <v>3000000</v>
      </c>
      <c r="H132" s="34"/>
      <c r="I132" s="64">
        <f>G132+H132</f>
        <v>3000000</v>
      </c>
      <c r="J132" s="143"/>
    </row>
    <row r="133" spans="1:10" s="32" customFormat="1" ht="129.75" customHeight="1">
      <c r="A133" s="68"/>
      <c r="B133" s="30" t="s">
        <v>251</v>
      </c>
      <c r="C133" s="30" t="s">
        <v>122</v>
      </c>
      <c r="D133" s="30" t="s">
        <v>24</v>
      </c>
      <c r="E133" s="28" t="s">
        <v>27</v>
      </c>
      <c r="F133" s="28" t="s">
        <v>34</v>
      </c>
      <c r="G133" s="34">
        <f>27193426+6000000+1488000+500000</f>
        <v>35181426</v>
      </c>
      <c r="H133" s="34"/>
      <c r="I133" s="64">
        <f>G133+H133</f>
        <v>35181426</v>
      </c>
      <c r="J133" s="143"/>
    </row>
    <row r="134" spans="1:10" ht="169.5" customHeight="1">
      <c r="A134" s="66"/>
      <c r="B134" s="19" t="s">
        <v>252</v>
      </c>
      <c r="C134" s="78">
        <v>3100</v>
      </c>
      <c r="D134" s="78"/>
      <c r="E134" s="20" t="s">
        <v>377</v>
      </c>
      <c r="F134" s="20"/>
      <c r="G134" s="9">
        <f>G135</f>
        <v>255700</v>
      </c>
      <c r="H134" s="9">
        <f>H135</f>
        <v>0</v>
      </c>
      <c r="I134" s="9">
        <f>I135</f>
        <v>255700</v>
      </c>
      <c r="J134" s="143"/>
    </row>
    <row r="135" spans="1:10" ht="177" customHeight="1">
      <c r="A135" s="66"/>
      <c r="B135" s="30" t="s">
        <v>253</v>
      </c>
      <c r="C135" s="30" t="s">
        <v>61</v>
      </c>
      <c r="D135" s="30" t="s">
        <v>51</v>
      </c>
      <c r="E135" s="28" t="s">
        <v>73</v>
      </c>
      <c r="F135" s="28" t="s">
        <v>34</v>
      </c>
      <c r="G135" s="34">
        <f>197132+1216+26752+6900+23700</f>
        <v>255700</v>
      </c>
      <c r="H135" s="34"/>
      <c r="I135" s="34">
        <f>G135+H135</f>
        <v>255700</v>
      </c>
      <c r="J135" s="143"/>
    </row>
    <row r="136" spans="1:10" ht="130.5" customHeight="1">
      <c r="A136" s="66"/>
      <c r="B136" s="150" t="s">
        <v>254</v>
      </c>
      <c r="C136" s="150" t="s">
        <v>167</v>
      </c>
      <c r="D136" s="150" t="s">
        <v>5</v>
      </c>
      <c r="E136" s="155" t="s">
        <v>400</v>
      </c>
      <c r="F136" s="20" t="s">
        <v>34</v>
      </c>
      <c r="G136" s="9">
        <f>1135400+160171+80000</f>
        <v>1375571</v>
      </c>
      <c r="H136" s="9"/>
      <c r="I136" s="9">
        <f>G136+H136</f>
        <v>1375571</v>
      </c>
      <c r="J136" s="143"/>
    </row>
    <row r="137" spans="1:10" ht="142.5" customHeight="1">
      <c r="A137" s="66"/>
      <c r="B137" s="151"/>
      <c r="C137" s="151"/>
      <c r="D137" s="151"/>
      <c r="E137" s="156"/>
      <c r="F137" s="20" t="s">
        <v>113</v>
      </c>
      <c r="G137" s="9">
        <f>107091+39900+6563</f>
        <v>153554</v>
      </c>
      <c r="H137" s="9"/>
      <c r="I137" s="9">
        <f>G137+H137</f>
        <v>153554</v>
      </c>
      <c r="J137" s="143"/>
    </row>
    <row r="138" spans="1:10" ht="73.5" customHeight="1">
      <c r="A138" s="66"/>
      <c r="B138" s="19" t="s">
        <v>255</v>
      </c>
      <c r="C138" s="19" t="s">
        <v>62</v>
      </c>
      <c r="D138" s="19"/>
      <c r="E138" s="20" t="s">
        <v>92</v>
      </c>
      <c r="F138" s="20"/>
      <c r="G138" s="9">
        <f>G139+G140+G141</f>
        <v>3165620</v>
      </c>
      <c r="H138" s="9">
        <f>H139+H140+H141</f>
        <v>0</v>
      </c>
      <c r="I138" s="9">
        <f>I139+I140+I141</f>
        <v>3165620</v>
      </c>
      <c r="J138" s="143"/>
    </row>
    <row r="139" spans="1:10" s="32" customFormat="1" ht="109.5" customHeight="1">
      <c r="A139" s="68"/>
      <c r="B139" s="153" t="s">
        <v>378</v>
      </c>
      <c r="C139" s="153" t="s">
        <v>408</v>
      </c>
      <c r="D139" s="153" t="s">
        <v>26</v>
      </c>
      <c r="E139" s="168" t="s">
        <v>25</v>
      </c>
      <c r="F139" s="28" t="s">
        <v>34</v>
      </c>
      <c r="G139" s="34">
        <f>799636-10378+22407+188780-109293</f>
        <v>891152</v>
      </c>
      <c r="H139" s="34"/>
      <c r="I139" s="34">
        <f aca="true" t="shared" si="5" ref="I139:I151">G139+H139</f>
        <v>891152</v>
      </c>
      <c r="J139" s="143"/>
    </row>
    <row r="140" spans="1:10" s="32" customFormat="1" ht="151.5" customHeight="1">
      <c r="A140" s="68"/>
      <c r="B140" s="154"/>
      <c r="C140" s="154"/>
      <c r="D140" s="154"/>
      <c r="E140" s="169"/>
      <c r="F140" s="28" t="s">
        <v>113</v>
      </c>
      <c r="G140" s="34">
        <f>936669+65000-2196</f>
        <v>999473</v>
      </c>
      <c r="H140" s="34"/>
      <c r="I140" s="34">
        <f t="shared" si="5"/>
        <v>999473</v>
      </c>
      <c r="J140" s="143"/>
    </row>
    <row r="141" spans="1:10" s="32" customFormat="1" ht="151.5" customHeight="1">
      <c r="A141" s="68"/>
      <c r="B141" s="30" t="s">
        <v>379</v>
      </c>
      <c r="C141" s="30" t="s">
        <v>381</v>
      </c>
      <c r="D141" s="30" t="s">
        <v>26</v>
      </c>
      <c r="E141" s="28" t="s">
        <v>380</v>
      </c>
      <c r="F141" s="28" t="s">
        <v>34</v>
      </c>
      <c r="G141" s="34">
        <f>1192100+80000+2895</f>
        <v>1274995</v>
      </c>
      <c r="H141" s="34"/>
      <c r="I141" s="34">
        <f t="shared" si="5"/>
        <v>1274995</v>
      </c>
      <c r="J141" s="143"/>
    </row>
    <row r="142" spans="1:10" s="32" customFormat="1" ht="142.5" customHeight="1">
      <c r="A142" s="68"/>
      <c r="B142" s="19" t="s">
        <v>256</v>
      </c>
      <c r="C142" s="19" t="s">
        <v>91</v>
      </c>
      <c r="D142" s="19" t="s">
        <v>8</v>
      </c>
      <c r="E142" s="20" t="s">
        <v>168</v>
      </c>
      <c r="F142" s="20" t="s">
        <v>34</v>
      </c>
      <c r="G142" s="9">
        <v>75000</v>
      </c>
      <c r="H142" s="9"/>
      <c r="I142" s="9">
        <f t="shared" si="5"/>
        <v>75000</v>
      </c>
      <c r="J142" s="143"/>
    </row>
    <row r="143" spans="1:10" s="32" customFormat="1" ht="115.5" customHeight="1">
      <c r="A143" s="68"/>
      <c r="B143" s="19" t="s">
        <v>382</v>
      </c>
      <c r="C143" s="19" t="s">
        <v>383</v>
      </c>
      <c r="D143" s="19" t="s">
        <v>43</v>
      </c>
      <c r="E143" s="20" t="s">
        <v>72</v>
      </c>
      <c r="F143" s="20" t="s">
        <v>406</v>
      </c>
      <c r="G143" s="9">
        <f>300000+30000</f>
        <v>330000</v>
      </c>
      <c r="H143" s="9"/>
      <c r="I143" s="9">
        <f t="shared" si="5"/>
        <v>330000</v>
      </c>
      <c r="J143" s="143"/>
    </row>
    <row r="144" spans="1:10" s="8" customFormat="1" ht="85.5" customHeight="1">
      <c r="A144" s="69"/>
      <c r="B144" s="72" t="s">
        <v>384</v>
      </c>
      <c r="C144" s="72" t="s">
        <v>361</v>
      </c>
      <c r="D144" s="72" t="s">
        <v>8</v>
      </c>
      <c r="E144" s="74" t="s">
        <v>169</v>
      </c>
      <c r="F144" s="20"/>
      <c r="G144" s="9">
        <f>G145+G146</f>
        <v>36805206.7</v>
      </c>
      <c r="H144" s="9">
        <f>H145+H146</f>
        <v>75000</v>
      </c>
      <c r="I144" s="9">
        <f>I145+I146</f>
        <v>36880206.7</v>
      </c>
      <c r="J144" s="143"/>
    </row>
    <row r="145" spans="1:10" s="94" customFormat="1" ht="129.75" customHeight="1">
      <c r="A145" s="93"/>
      <c r="B145" s="153" t="s">
        <v>385</v>
      </c>
      <c r="C145" s="146" t="s">
        <v>367</v>
      </c>
      <c r="D145" s="146" t="s">
        <v>8</v>
      </c>
      <c r="E145" s="168" t="s">
        <v>368</v>
      </c>
      <c r="F145" s="28" t="s">
        <v>34</v>
      </c>
      <c r="G145" s="34">
        <f>4247964-4024-26631+175000+353011+150000+274200+23310+76000+319750+10000+1301500+100000+95863+578335+190000+514525.7+22000+5000+10000+5000+10000+5000+5000+280903+200000+40555+1100000+171900+20000+290000+47000+11000+20000+20000+153270+172755+195000-50878+17000+42781+10000+70000+20000+174525+8000+25301-80000</f>
        <v>11399915.7</v>
      </c>
      <c r="H145" s="34">
        <v>75000</v>
      </c>
      <c r="I145" s="34">
        <f>G145+H145</f>
        <v>11474915.7</v>
      </c>
      <c r="J145" s="143"/>
    </row>
    <row r="146" spans="1:10" s="94" customFormat="1" ht="144.75" customHeight="1">
      <c r="A146" s="93"/>
      <c r="B146" s="154"/>
      <c r="C146" s="147"/>
      <c r="D146" s="147"/>
      <c r="E146" s="169"/>
      <c r="F146" s="28" t="s">
        <v>113</v>
      </c>
      <c r="G146" s="34">
        <f>7520066+16000000+249592+6237+70000+473763+1155000-71563+2196</f>
        <v>25405291</v>
      </c>
      <c r="H146" s="34"/>
      <c r="I146" s="34">
        <f>G146+H146</f>
        <v>25405291</v>
      </c>
      <c r="J146" s="143"/>
    </row>
    <row r="147" spans="1:10" s="94" customFormat="1" ht="90.75" customHeight="1">
      <c r="A147" s="93"/>
      <c r="B147" s="19" t="s">
        <v>511</v>
      </c>
      <c r="C147" s="19" t="s">
        <v>432</v>
      </c>
      <c r="D147" s="19"/>
      <c r="E147" s="20" t="s">
        <v>434</v>
      </c>
      <c r="F147" s="28"/>
      <c r="G147" s="34">
        <f>G148</f>
        <v>0</v>
      </c>
      <c r="H147" s="34">
        <f>H148</f>
        <v>116300</v>
      </c>
      <c r="I147" s="34">
        <f>I148</f>
        <v>116300</v>
      </c>
      <c r="J147" s="143"/>
    </row>
    <row r="148" spans="1:10" s="94" customFormat="1" ht="144.75" customHeight="1">
      <c r="A148" s="93"/>
      <c r="B148" s="30" t="s">
        <v>512</v>
      </c>
      <c r="C148" s="30" t="s">
        <v>433</v>
      </c>
      <c r="D148" s="30" t="s">
        <v>6</v>
      </c>
      <c r="E148" s="28" t="s">
        <v>435</v>
      </c>
      <c r="F148" s="23" t="s">
        <v>359</v>
      </c>
      <c r="G148" s="34"/>
      <c r="H148" s="34">
        <v>116300</v>
      </c>
      <c r="I148" s="34">
        <f>G148+H148</f>
        <v>116300</v>
      </c>
      <c r="J148" s="143"/>
    </row>
    <row r="149" spans="1:10" s="32" customFormat="1" ht="156.75" customHeight="1">
      <c r="A149" s="68"/>
      <c r="B149" s="19" t="s">
        <v>257</v>
      </c>
      <c r="C149" s="19" t="s">
        <v>142</v>
      </c>
      <c r="D149" s="19" t="s">
        <v>30</v>
      </c>
      <c r="E149" s="20" t="s">
        <v>75</v>
      </c>
      <c r="F149" s="18" t="s">
        <v>114</v>
      </c>
      <c r="G149" s="9">
        <v>29000</v>
      </c>
      <c r="H149" s="34"/>
      <c r="I149" s="9">
        <f t="shared" si="5"/>
        <v>29000</v>
      </c>
      <c r="J149" s="143"/>
    </row>
    <row r="150" spans="1:10" s="8" customFormat="1" ht="138.75" customHeight="1">
      <c r="A150" s="69"/>
      <c r="B150" s="150" t="s">
        <v>258</v>
      </c>
      <c r="C150" s="150" t="s">
        <v>129</v>
      </c>
      <c r="D150" s="150" t="s">
        <v>31</v>
      </c>
      <c r="E150" s="155" t="s">
        <v>130</v>
      </c>
      <c r="F150" s="20" t="s">
        <v>34</v>
      </c>
      <c r="G150" s="9">
        <f>137160-72540+3348</f>
        <v>67968</v>
      </c>
      <c r="H150" s="9"/>
      <c r="I150" s="9">
        <f t="shared" si="5"/>
        <v>67968</v>
      </c>
      <c r="J150" s="143"/>
    </row>
    <row r="151" spans="1:10" s="8" customFormat="1" ht="138.75" customHeight="1">
      <c r="A151" s="69"/>
      <c r="B151" s="151"/>
      <c r="C151" s="151"/>
      <c r="D151" s="151"/>
      <c r="E151" s="156"/>
      <c r="F151" s="20" t="s">
        <v>113</v>
      </c>
      <c r="G151" s="9">
        <f>473840+72540+396652</f>
        <v>943032</v>
      </c>
      <c r="H151" s="9"/>
      <c r="I151" s="9">
        <f t="shared" si="5"/>
        <v>943032</v>
      </c>
      <c r="J151" s="143"/>
    </row>
    <row r="152" spans="1:10" ht="93" customHeight="1">
      <c r="A152" s="66"/>
      <c r="B152" s="19"/>
      <c r="C152" s="19"/>
      <c r="D152" s="19"/>
      <c r="E152" s="41" t="s">
        <v>259</v>
      </c>
      <c r="F152" s="18"/>
      <c r="G152" s="51">
        <f aca="true" t="shared" si="6" ref="G152:I153">G153</f>
        <v>80000</v>
      </c>
      <c r="H152" s="51">
        <f t="shared" si="6"/>
        <v>0</v>
      </c>
      <c r="I152" s="51">
        <f t="shared" si="6"/>
        <v>80000</v>
      </c>
      <c r="J152" s="143"/>
    </row>
    <row r="153" spans="1:10" ht="98.25" customHeight="1">
      <c r="A153" s="66"/>
      <c r="B153" s="19" t="s">
        <v>260</v>
      </c>
      <c r="C153" s="19" t="s">
        <v>77</v>
      </c>
      <c r="D153" s="78"/>
      <c r="E153" s="20" t="s">
        <v>76</v>
      </c>
      <c r="F153" s="18"/>
      <c r="G153" s="9">
        <f t="shared" si="6"/>
        <v>80000</v>
      </c>
      <c r="H153" s="9">
        <f t="shared" si="6"/>
        <v>0</v>
      </c>
      <c r="I153" s="9">
        <f t="shared" si="6"/>
        <v>80000</v>
      </c>
      <c r="J153" s="143"/>
    </row>
    <row r="154" spans="1:10" s="32" customFormat="1" ht="114" customHeight="1">
      <c r="A154" s="68"/>
      <c r="B154" s="30" t="s">
        <v>261</v>
      </c>
      <c r="C154" s="30" t="s">
        <v>78</v>
      </c>
      <c r="D154" s="30" t="s">
        <v>9</v>
      </c>
      <c r="E154" s="28" t="s">
        <v>74</v>
      </c>
      <c r="F154" s="31" t="s">
        <v>110</v>
      </c>
      <c r="G154" s="34">
        <v>80000</v>
      </c>
      <c r="H154" s="34"/>
      <c r="I154" s="34">
        <f>G154+H154</f>
        <v>80000</v>
      </c>
      <c r="J154" s="143"/>
    </row>
    <row r="155" spans="1:10" ht="102.75" customHeight="1">
      <c r="A155" s="66"/>
      <c r="B155" s="19"/>
      <c r="C155" s="19"/>
      <c r="D155" s="19"/>
      <c r="E155" s="41" t="s">
        <v>262</v>
      </c>
      <c r="F155" s="18"/>
      <c r="G155" s="51">
        <f>G156+G157+G158+G159+G163+G165</f>
        <v>3735478</v>
      </c>
      <c r="H155" s="51">
        <f>H156+H157+H158+H159+H163+H165</f>
        <v>3706720</v>
      </c>
      <c r="I155" s="51">
        <f>I156+I157+I158+I159+I163+I165</f>
        <v>7442198</v>
      </c>
      <c r="J155" s="143"/>
    </row>
    <row r="156" spans="1:10" ht="138.75" customHeight="1">
      <c r="A156" s="66"/>
      <c r="B156" s="72" t="s">
        <v>263</v>
      </c>
      <c r="C156" s="72" t="s">
        <v>119</v>
      </c>
      <c r="D156" s="61" t="s">
        <v>2</v>
      </c>
      <c r="E156" s="74" t="s">
        <v>120</v>
      </c>
      <c r="F156" s="18" t="s">
        <v>53</v>
      </c>
      <c r="G156" s="9">
        <v>30000</v>
      </c>
      <c r="H156" s="51"/>
      <c r="I156" s="9">
        <f>G156+H156</f>
        <v>30000</v>
      </c>
      <c r="J156" s="143"/>
    </row>
    <row r="157" spans="1:10" ht="228.75" customHeight="1">
      <c r="A157" s="66"/>
      <c r="B157" s="19" t="s">
        <v>264</v>
      </c>
      <c r="C157" s="19" t="s">
        <v>150</v>
      </c>
      <c r="D157" s="19" t="s">
        <v>45</v>
      </c>
      <c r="E157" s="20" t="s">
        <v>151</v>
      </c>
      <c r="F157" s="18" t="s">
        <v>47</v>
      </c>
      <c r="G157" s="9">
        <f>10000+92000+5000+15000-5000+10000+20000</f>
        <v>147000</v>
      </c>
      <c r="H157" s="9">
        <f>200000+12300-15000-4500</f>
        <v>192800</v>
      </c>
      <c r="I157" s="9">
        <f>G157+H157</f>
        <v>339800</v>
      </c>
      <c r="J157" s="143"/>
    </row>
    <row r="158" spans="1:10" ht="222.75" customHeight="1">
      <c r="A158" s="66"/>
      <c r="B158" s="19" t="s">
        <v>265</v>
      </c>
      <c r="C158" s="19" t="s">
        <v>79</v>
      </c>
      <c r="D158" s="19" t="s">
        <v>44</v>
      </c>
      <c r="E158" s="20" t="s">
        <v>149</v>
      </c>
      <c r="F158" s="18" t="s">
        <v>47</v>
      </c>
      <c r="G158" s="9">
        <f>190000+338000+1000+96400+54700+4500+9000+20000+7013+15000+5333+20000+12000+15000+10000+6000+32100-30320+8000-22100</f>
        <v>791626</v>
      </c>
      <c r="H158" s="9">
        <f>300000+766000+23000+7000+6000+10000+5000+9000+10000+23100-23000+10000+20000+30320</f>
        <v>1196420</v>
      </c>
      <c r="I158" s="9">
        <f>G158+H158</f>
        <v>1988046</v>
      </c>
      <c r="J158" s="143"/>
    </row>
    <row r="159" spans="1:10" ht="66.75" customHeight="1">
      <c r="A159" s="66"/>
      <c r="B159" s="19" t="s">
        <v>372</v>
      </c>
      <c r="C159" s="19" t="s">
        <v>128</v>
      </c>
      <c r="D159" s="19"/>
      <c r="E159" s="20" t="s">
        <v>360</v>
      </c>
      <c r="F159" s="18"/>
      <c r="G159" s="9">
        <f>G160+G161+G162</f>
        <v>2706852</v>
      </c>
      <c r="H159" s="9">
        <f>H160+H161+H162</f>
        <v>0</v>
      </c>
      <c r="I159" s="9">
        <f>I160+I161+I162</f>
        <v>2706852</v>
      </c>
      <c r="J159" s="143"/>
    </row>
    <row r="160" spans="1:10" s="32" customFormat="1" ht="201" customHeight="1">
      <c r="A160" s="68"/>
      <c r="B160" s="30" t="s">
        <v>467</v>
      </c>
      <c r="C160" s="30" t="s">
        <v>402</v>
      </c>
      <c r="D160" s="30" t="s">
        <v>11</v>
      </c>
      <c r="E160" s="28" t="s">
        <v>403</v>
      </c>
      <c r="F160" s="31" t="s">
        <v>468</v>
      </c>
      <c r="G160" s="34">
        <v>20000</v>
      </c>
      <c r="H160" s="34"/>
      <c r="I160" s="34">
        <f>G160+H160</f>
        <v>20000</v>
      </c>
      <c r="J160" s="143"/>
    </row>
    <row r="161" spans="1:10" s="32" customFormat="1" ht="165.75" customHeight="1">
      <c r="A161" s="68"/>
      <c r="B161" s="153" t="s">
        <v>373</v>
      </c>
      <c r="C161" s="153" t="s">
        <v>369</v>
      </c>
      <c r="D161" s="153" t="s">
        <v>11</v>
      </c>
      <c r="E161" s="168" t="s">
        <v>370</v>
      </c>
      <c r="F161" s="31" t="s">
        <v>46</v>
      </c>
      <c r="G161" s="34">
        <f>1900000+193952+186000+50000+70000+5000+10000+210000+100000-45600</f>
        <v>2679352</v>
      </c>
      <c r="H161" s="34"/>
      <c r="I161" s="34">
        <f>G161+H161</f>
        <v>2679352</v>
      </c>
      <c r="J161" s="143"/>
    </row>
    <row r="162" spans="1:10" s="32" customFormat="1" ht="207" customHeight="1">
      <c r="A162" s="68"/>
      <c r="B162" s="154"/>
      <c r="C162" s="154"/>
      <c r="D162" s="154"/>
      <c r="E162" s="169"/>
      <c r="F162" s="31" t="s">
        <v>469</v>
      </c>
      <c r="G162" s="34">
        <f>7500</f>
        <v>7500</v>
      </c>
      <c r="H162" s="34"/>
      <c r="I162" s="34">
        <f>G162+H162</f>
        <v>7500</v>
      </c>
      <c r="J162" s="143"/>
    </row>
    <row r="163" spans="1:10" s="8" customFormat="1" ht="91.5" customHeight="1">
      <c r="A163" s="69"/>
      <c r="B163" s="119" t="s">
        <v>481</v>
      </c>
      <c r="C163" s="119" t="s">
        <v>432</v>
      </c>
      <c r="D163" s="119"/>
      <c r="E163" s="20" t="s">
        <v>434</v>
      </c>
      <c r="F163" s="18"/>
      <c r="G163" s="9">
        <f>G164</f>
        <v>0</v>
      </c>
      <c r="H163" s="9">
        <f>H164</f>
        <v>669500</v>
      </c>
      <c r="I163" s="9">
        <f>I164</f>
        <v>669500</v>
      </c>
      <c r="J163" s="143"/>
    </row>
    <row r="164" spans="1:10" s="32" customFormat="1" ht="222" customHeight="1">
      <c r="A164" s="68"/>
      <c r="B164" s="105" t="s">
        <v>482</v>
      </c>
      <c r="C164" s="105" t="s">
        <v>433</v>
      </c>
      <c r="D164" s="105" t="s">
        <v>6</v>
      </c>
      <c r="E164" s="28" t="s">
        <v>435</v>
      </c>
      <c r="F164" s="18" t="s">
        <v>47</v>
      </c>
      <c r="G164" s="34"/>
      <c r="H164" s="34">
        <f>15000+500000+150000+4500</f>
        <v>669500</v>
      </c>
      <c r="I164" s="34">
        <f>G164+H164</f>
        <v>669500</v>
      </c>
      <c r="J164" s="143"/>
    </row>
    <row r="165" spans="1:10" ht="111.75" customHeight="1">
      <c r="A165" s="66"/>
      <c r="B165" s="19" t="s">
        <v>266</v>
      </c>
      <c r="C165" s="19" t="s">
        <v>142</v>
      </c>
      <c r="D165" s="19" t="s">
        <v>30</v>
      </c>
      <c r="E165" s="20" t="s">
        <v>75</v>
      </c>
      <c r="F165" s="18" t="s">
        <v>114</v>
      </c>
      <c r="G165" s="9">
        <v>60000</v>
      </c>
      <c r="H165" s="9">
        <v>1648000</v>
      </c>
      <c r="I165" s="9">
        <f>G165+H165</f>
        <v>1708000</v>
      </c>
      <c r="J165" s="143"/>
    </row>
    <row r="166" spans="1:10" ht="109.5" customHeight="1">
      <c r="A166" s="66"/>
      <c r="B166" s="19"/>
      <c r="C166" s="19"/>
      <c r="D166" s="19"/>
      <c r="E166" s="41" t="s">
        <v>267</v>
      </c>
      <c r="F166" s="18"/>
      <c r="G166" s="51">
        <f>G167+G168+G169+G170+G176+G177+G178+G179+G180+G181+G182+G183+G184+G185+G189+G191+G193+G194+G195+G197+G190</f>
        <v>93124291.1</v>
      </c>
      <c r="H166" s="51">
        <f>H167+H168+H169+H170+H176+H177+H178+H179+H180+H181+H182+H183+H184+H185+H189+H191+H193+H194+H195+H197+H190</f>
        <v>170753277.1</v>
      </c>
      <c r="I166" s="51">
        <f>I167+I168+I169+I170+I176+I177+I178+I179+I180+I181+I182+I183+I184+I185+I189+I191+I193+I194+I195+I197+I190</f>
        <v>263877568.20000002</v>
      </c>
      <c r="J166" s="143"/>
    </row>
    <row r="167" spans="1:10" ht="138.75" customHeight="1">
      <c r="A167" s="66"/>
      <c r="B167" s="72" t="s">
        <v>268</v>
      </c>
      <c r="C167" s="72" t="s">
        <v>119</v>
      </c>
      <c r="D167" s="61" t="s">
        <v>2</v>
      </c>
      <c r="E167" s="74" t="s">
        <v>120</v>
      </c>
      <c r="F167" s="18" t="s">
        <v>53</v>
      </c>
      <c r="G167" s="9">
        <f>40000</f>
        <v>40000</v>
      </c>
      <c r="H167" s="9"/>
      <c r="I167" s="9">
        <f>G167+H167</f>
        <v>40000</v>
      </c>
      <c r="J167" s="143"/>
    </row>
    <row r="168" spans="1:10" ht="159" customHeight="1">
      <c r="A168" s="66"/>
      <c r="B168" s="150" t="s">
        <v>386</v>
      </c>
      <c r="C168" s="150" t="s">
        <v>383</v>
      </c>
      <c r="D168" s="150" t="s">
        <v>43</v>
      </c>
      <c r="E168" s="155" t="s">
        <v>72</v>
      </c>
      <c r="F168" s="20" t="s">
        <v>317</v>
      </c>
      <c r="G168" s="9">
        <f>550000-230000</f>
        <v>320000</v>
      </c>
      <c r="H168" s="9"/>
      <c r="I168" s="9">
        <f>G168+H168</f>
        <v>320000</v>
      </c>
      <c r="J168" s="143"/>
    </row>
    <row r="169" spans="1:10" ht="111" customHeight="1">
      <c r="A169" s="66"/>
      <c r="B169" s="151"/>
      <c r="C169" s="151"/>
      <c r="D169" s="151"/>
      <c r="E169" s="156"/>
      <c r="F169" s="20" t="s">
        <v>406</v>
      </c>
      <c r="G169" s="9">
        <v>15000</v>
      </c>
      <c r="H169" s="9"/>
      <c r="I169" s="9">
        <f>G169+H169</f>
        <v>15000</v>
      </c>
      <c r="J169" s="143"/>
    </row>
    <row r="170" spans="1:10" ht="100.5" customHeight="1">
      <c r="A170" s="66"/>
      <c r="B170" s="19" t="s">
        <v>269</v>
      </c>
      <c r="C170" s="19" t="s">
        <v>80</v>
      </c>
      <c r="D170" s="19"/>
      <c r="E170" s="20" t="s">
        <v>185</v>
      </c>
      <c r="F170" s="20"/>
      <c r="G170" s="9">
        <f>G171+G172+G173+G174+G175</f>
        <v>18692652</v>
      </c>
      <c r="H170" s="9">
        <f>H171+H172+H173+H174+H175</f>
        <v>66348630.6</v>
      </c>
      <c r="I170" s="9">
        <f>I171+I172+I173+I174+I175</f>
        <v>85041282.6</v>
      </c>
      <c r="J170" s="143"/>
    </row>
    <row r="171" spans="1:10" s="32" customFormat="1" ht="159" customHeight="1">
      <c r="A171" s="68"/>
      <c r="B171" s="65" t="s">
        <v>270</v>
      </c>
      <c r="C171" s="65" t="s">
        <v>186</v>
      </c>
      <c r="D171" s="65" t="s">
        <v>10</v>
      </c>
      <c r="E171" s="77" t="s">
        <v>187</v>
      </c>
      <c r="F171" s="28" t="s">
        <v>317</v>
      </c>
      <c r="G171" s="34"/>
      <c r="H171" s="34">
        <f>20000000+15000000-150000-4100000+20000+350000+92000+2000+2000+35000+83268+60000+25000+70000+1480000-38060+73000-8470+5000+45000+100000+972000+446909-38000-129660-25000-740000</f>
        <v>33631987</v>
      </c>
      <c r="I171" s="34">
        <f aca="true" t="shared" si="7" ref="I171:I176">G171+H171</f>
        <v>33631987</v>
      </c>
      <c r="J171" s="143"/>
    </row>
    <row r="172" spans="1:10" s="32" customFormat="1" ht="159" customHeight="1">
      <c r="A172" s="68"/>
      <c r="B172" s="35" t="s">
        <v>271</v>
      </c>
      <c r="C172" s="35" t="s">
        <v>190</v>
      </c>
      <c r="D172" s="30" t="s">
        <v>10</v>
      </c>
      <c r="E172" s="28" t="s">
        <v>191</v>
      </c>
      <c r="F172" s="28" t="s">
        <v>317</v>
      </c>
      <c r="G172" s="34">
        <f>3296000+3850142+550000+662656+1337344+60000+3000000+1000000+2090000+80000-20000+38000+5526+2032474</f>
        <v>17982142</v>
      </c>
      <c r="H172" s="34">
        <f>222622+320000-163158.4</f>
        <v>379463.6</v>
      </c>
      <c r="I172" s="34">
        <f t="shared" si="7"/>
        <v>18361605.6</v>
      </c>
      <c r="J172" s="143"/>
    </row>
    <row r="173" spans="1:10" s="32" customFormat="1" ht="159" customHeight="1">
      <c r="A173" s="68"/>
      <c r="B173" s="35" t="s">
        <v>318</v>
      </c>
      <c r="C173" s="35" t="s">
        <v>319</v>
      </c>
      <c r="D173" s="30" t="s">
        <v>10</v>
      </c>
      <c r="E173" s="28" t="s">
        <v>320</v>
      </c>
      <c r="F173" s="33" t="s">
        <v>112</v>
      </c>
      <c r="G173" s="34">
        <f>350000+153000+3000+4520</f>
        <v>510520</v>
      </c>
      <c r="H173" s="34">
        <f>20000000+10000000-35000-7600+450000-276200</f>
        <v>30131200</v>
      </c>
      <c r="I173" s="34">
        <f t="shared" si="7"/>
        <v>30641720</v>
      </c>
      <c r="J173" s="143"/>
    </row>
    <row r="174" spans="1:10" s="32" customFormat="1" ht="157.5" customHeight="1">
      <c r="A174" s="68"/>
      <c r="B174" s="90" t="s">
        <v>438</v>
      </c>
      <c r="C174" s="90" t="s">
        <v>439</v>
      </c>
      <c r="D174" s="30" t="s">
        <v>10</v>
      </c>
      <c r="E174" s="28" t="s">
        <v>440</v>
      </c>
      <c r="F174" s="28" t="s">
        <v>317</v>
      </c>
      <c r="G174" s="34"/>
      <c r="H174" s="34">
        <f>2178000+27980</f>
        <v>2205980</v>
      </c>
      <c r="I174" s="34">
        <f t="shared" si="7"/>
        <v>2205980</v>
      </c>
      <c r="J174" s="143"/>
    </row>
    <row r="175" spans="1:10" s="32" customFormat="1" ht="168" customHeight="1">
      <c r="A175" s="68"/>
      <c r="B175" s="65" t="s">
        <v>272</v>
      </c>
      <c r="C175" s="65" t="s">
        <v>188</v>
      </c>
      <c r="D175" s="65" t="s">
        <v>10</v>
      </c>
      <c r="E175" s="77" t="s">
        <v>189</v>
      </c>
      <c r="F175" s="28" t="s">
        <v>317</v>
      </c>
      <c r="G175" s="34">
        <f>1000000-595300-204710</f>
        <v>199990</v>
      </c>
      <c r="H175" s="34"/>
      <c r="I175" s="34">
        <f t="shared" si="7"/>
        <v>199990</v>
      </c>
      <c r="J175" s="143"/>
    </row>
    <row r="176" spans="1:10" s="32" customFormat="1" ht="195" customHeight="1">
      <c r="A176" s="68"/>
      <c r="B176" s="22" t="s">
        <v>273</v>
      </c>
      <c r="C176" s="22" t="s">
        <v>81</v>
      </c>
      <c r="D176" s="19" t="s">
        <v>10</v>
      </c>
      <c r="E176" s="82" t="s">
        <v>192</v>
      </c>
      <c r="F176" s="20" t="s">
        <v>317</v>
      </c>
      <c r="G176" s="9">
        <f>300000+6102960.7+20000+500000-496200-5526+136000</f>
        <v>6557234.7</v>
      </c>
      <c r="H176" s="9"/>
      <c r="I176" s="9">
        <f t="shared" si="7"/>
        <v>6557234.7</v>
      </c>
      <c r="J176" s="143"/>
    </row>
    <row r="177" spans="1:10" ht="163.5" customHeight="1">
      <c r="A177" s="66"/>
      <c r="B177" s="148" t="s">
        <v>274</v>
      </c>
      <c r="C177" s="148" t="s">
        <v>172</v>
      </c>
      <c r="D177" s="150" t="s">
        <v>10</v>
      </c>
      <c r="E177" s="157" t="s">
        <v>173</v>
      </c>
      <c r="F177" s="20" t="s">
        <v>317</v>
      </c>
      <c r="G177" s="9">
        <f>50918600+4128000+3150000+2000000-428011-345568+1076474.45-757130-547750-10000-1567100+2800000-247489+500000-1440655.7-102277-5000-10000-5000-164200-5000-5000-321786.35-150000+500000-412000-2000-10000+500000-11000-25000-20000+200000-5000+101300+59000-60000+272435+55000+459000+190000+45000+50000-8000-380000+496200-23050+150000-20000+72500+300000+84450-22000-2580-19500+85000+276200+200000</f>
        <v>61537062.4</v>
      </c>
      <c r="H177" s="9">
        <f>36756167.35-198210-31000-717574+290000-25301-200000</f>
        <v>35874082.35</v>
      </c>
      <c r="I177" s="9">
        <f aca="true" t="shared" si="8" ref="I177:I184">G177+H177</f>
        <v>97411144.75</v>
      </c>
      <c r="J177" s="143"/>
    </row>
    <row r="178" spans="1:10" ht="148.5" customHeight="1">
      <c r="A178" s="66"/>
      <c r="B178" s="149"/>
      <c r="C178" s="149"/>
      <c r="D178" s="151"/>
      <c r="E178" s="159"/>
      <c r="F178" s="21" t="s">
        <v>115</v>
      </c>
      <c r="G178" s="9">
        <f>319610</f>
        <v>319610</v>
      </c>
      <c r="H178" s="9">
        <f>755000-290000</f>
        <v>465000</v>
      </c>
      <c r="I178" s="9">
        <f t="shared" si="8"/>
        <v>784610</v>
      </c>
      <c r="J178" s="143"/>
    </row>
    <row r="179" spans="1:10" ht="163.5" customHeight="1">
      <c r="A179" s="66"/>
      <c r="B179" s="148" t="s">
        <v>300</v>
      </c>
      <c r="C179" s="148" t="s">
        <v>301</v>
      </c>
      <c r="D179" s="150" t="s">
        <v>322</v>
      </c>
      <c r="E179" s="157" t="s">
        <v>321</v>
      </c>
      <c r="F179" s="20" t="s">
        <v>317</v>
      </c>
      <c r="G179" s="9">
        <f>1450191+670875+879982-89982+150000+33880+20000-230280-179120-90000+19500</f>
        <v>2635046</v>
      </c>
      <c r="H179" s="9"/>
      <c r="I179" s="9">
        <f t="shared" si="8"/>
        <v>2635046</v>
      </c>
      <c r="J179" s="143"/>
    </row>
    <row r="180" spans="1:10" ht="178.5" customHeight="1">
      <c r="A180" s="66"/>
      <c r="B180" s="149"/>
      <c r="C180" s="149"/>
      <c r="D180" s="151"/>
      <c r="E180" s="159"/>
      <c r="F180" s="20" t="s">
        <v>354</v>
      </c>
      <c r="G180" s="9">
        <f>391104+89982</f>
        <v>481086</v>
      </c>
      <c r="H180" s="9"/>
      <c r="I180" s="9">
        <f t="shared" si="8"/>
        <v>481086</v>
      </c>
      <c r="J180" s="143"/>
    </row>
    <row r="181" spans="1:10" ht="163.5" customHeight="1">
      <c r="A181" s="66"/>
      <c r="B181" s="150" t="s">
        <v>323</v>
      </c>
      <c r="C181" s="150" t="s">
        <v>324</v>
      </c>
      <c r="D181" s="150" t="s">
        <v>98</v>
      </c>
      <c r="E181" s="155" t="s">
        <v>325</v>
      </c>
      <c r="F181" s="20" t="s">
        <v>317</v>
      </c>
      <c r="G181" s="9"/>
      <c r="H181" s="9">
        <f>5914472+100000</f>
        <v>6014472</v>
      </c>
      <c r="I181" s="9">
        <f t="shared" si="8"/>
        <v>6014472</v>
      </c>
      <c r="J181" s="143"/>
    </row>
    <row r="182" spans="1:10" ht="163.5" customHeight="1">
      <c r="A182" s="66"/>
      <c r="B182" s="151"/>
      <c r="C182" s="151"/>
      <c r="D182" s="151"/>
      <c r="E182" s="156"/>
      <c r="F182" s="21" t="s">
        <v>115</v>
      </c>
      <c r="G182" s="9"/>
      <c r="H182" s="9">
        <v>17669780.13</v>
      </c>
      <c r="I182" s="9">
        <f t="shared" si="8"/>
        <v>17669780.13</v>
      </c>
      <c r="J182" s="143"/>
    </row>
    <row r="183" spans="1:10" ht="163.5" customHeight="1">
      <c r="A183" s="66"/>
      <c r="B183" s="19" t="s">
        <v>326</v>
      </c>
      <c r="C183" s="19" t="s">
        <v>327</v>
      </c>
      <c r="D183" s="19" t="s">
        <v>98</v>
      </c>
      <c r="E183" s="20" t="s">
        <v>328</v>
      </c>
      <c r="F183" s="20" t="s">
        <v>317</v>
      </c>
      <c r="G183" s="9"/>
      <c r="H183" s="9">
        <f>1000000+4100000+250000+376800+700000-885000+20000+94000+30000-8470+200000+1403000-782015-10000-30000+600000-820000</f>
        <v>6238315</v>
      </c>
      <c r="I183" s="9">
        <f t="shared" si="8"/>
        <v>6238315</v>
      </c>
      <c r="J183" s="143"/>
    </row>
    <row r="184" spans="1:10" ht="163.5" customHeight="1">
      <c r="A184" s="66"/>
      <c r="B184" s="19" t="s">
        <v>275</v>
      </c>
      <c r="C184" s="19" t="s">
        <v>174</v>
      </c>
      <c r="D184" s="19" t="s">
        <v>98</v>
      </c>
      <c r="E184" s="20" t="s">
        <v>175</v>
      </c>
      <c r="F184" s="20" t="s">
        <v>317</v>
      </c>
      <c r="G184" s="9"/>
      <c r="H184" s="9">
        <f>1200000+2000000+1000000-1000000-946198-600000-820000</f>
        <v>833802</v>
      </c>
      <c r="I184" s="9">
        <f t="shared" si="8"/>
        <v>833802</v>
      </c>
      <c r="J184" s="143"/>
    </row>
    <row r="185" spans="1:10" s="8" customFormat="1" ht="88.5" customHeight="1">
      <c r="A185" s="69"/>
      <c r="B185" s="19" t="s">
        <v>441</v>
      </c>
      <c r="C185" s="19" t="s">
        <v>432</v>
      </c>
      <c r="D185" s="19"/>
      <c r="E185" s="20" t="s">
        <v>434</v>
      </c>
      <c r="F185" s="20"/>
      <c r="G185" s="9">
        <f>G186+G187</f>
        <v>0</v>
      </c>
      <c r="H185" s="9">
        <f>H186+H187+H188</f>
        <v>30913238.46</v>
      </c>
      <c r="I185" s="9">
        <f>I186+I187+I188</f>
        <v>30913238.46</v>
      </c>
      <c r="J185" s="143"/>
    </row>
    <row r="186" spans="1:10" ht="178.5" customHeight="1">
      <c r="A186" s="66"/>
      <c r="B186" s="30" t="s">
        <v>458</v>
      </c>
      <c r="C186" s="30" t="s">
        <v>459</v>
      </c>
      <c r="D186" s="30" t="s">
        <v>6</v>
      </c>
      <c r="E186" s="28" t="s">
        <v>460</v>
      </c>
      <c r="F186" s="28" t="s">
        <v>317</v>
      </c>
      <c r="G186" s="34"/>
      <c r="H186" s="34">
        <f>426739-87594</f>
        <v>339145</v>
      </c>
      <c r="I186" s="34">
        <f>G186+H186</f>
        <v>339145</v>
      </c>
      <c r="J186" s="143"/>
    </row>
    <row r="187" spans="1:10" s="32" customFormat="1" ht="142.5" customHeight="1">
      <c r="A187" s="68"/>
      <c r="B187" s="153" t="s">
        <v>442</v>
      </c>
      <c r="C187" s="153" t="s">
        <v>433</v>
      </c>
      <c r="D187" s="153" t="s">
        <v>6</v>
      </c>
      <c r="E187" s="168" t="s">
        <v>435</v>
      </c>
      <c r="F187" s="28" t="s">
        <v>317</v>
      </c>
      <c r="G187" s="34"/>
      <c r="H187" s="34">
        <v>18181093.46</v>
      </c>
      <c r="I187" s="34">
        <f>G187+H187</f>
        <v>18181093.46</v>
      </c>
      <c r="J187" s="143"/>
    </row>
    <row r="188" spans="1:10" s="32" customFormat="1" ht="151.5" customHeight="1">
      <c r="A188" s="68"/>
      <c r="B188" s="154"/>
      <c r="C188" s="154"/>
      <c r="D188" s="154"/>
      <c r="E188" s="169"/>
      <c r="F188" s="33" t="s">
        <v>115</v>
      </c>
      <c r="G188" s="34"/>
      <c r="H188" s="34">
        <v>12393000</v>
      </c>
      <c r="I188" s="34">
        <f>G188+H188</f>
        <v>12393000</v>
      </c>
      <c r="J188" s="143"/>
    </row>
    <row r="189" spans="1:10" s="32" customFormat="1" ht="165" customHeight="1">
      <c r="A189" s="68"/>
      <c r="B189" s="19" t="s">
        <v>276</v>
      </c>
      <c r="C189" s="19" t="s">
        <v>142</v>
      </c>
      <c r="D189" s="19" t="s">
        <v>30</v>
      </c>
      <c r="E189" s="20" t="s">
        <v>75</v>
      </c>
      <c r="F189" s="20" t="s">
        <v>317</v>
      </c>
      <c r="G189" s="9">
        <f>1500000+190000</f>
        <v>1690000</v>
      </c>
      <c r="H189" s="9">
        <f>2000000-2000000</f>
        <v>0</v>
      </c>
      <c r="I189" s="9">
        <f>G189+H189</f>
        <v>1690000</v>
      </c>
      <c r="J189" s="143"/>
    </row>
    <row r="190" spans="1:10" s="32" customFormat="1" ht="165" customHeight="1">
      <c r="A190" s="68"/>
      <c r="B190" s="19" t="s">
        <v>501</v>
      </c>
      <c r="C190" s="19" t="s">
        <v>161</v>
      </c>
      <c r="D190" s="19" t="s">
        <v>6</v>
      </c>
      <c r="E190" s="20" t="s">
        <v>69</v>
      </c>
      <c r="F190" s="20" t="s">
        <v>317</v>
      </c>
      <c r="G190" s="9"/>
      <c r="H190" s="9">
        <v>129100</v>
      </c>
      <c r="I190" s="9">
        <f>G190+H190</f>
        <v>129100</v>
      </c>
      <c r="J190" s="143"/>
    </row>
    <row r="191" spans="1:10" ht="87" customHeight="1">
      <c r="A191" s="66"/>
      <c r="B191" s="19" t="s">
        <v>282</v>
      </c>
      <c r="C191" s="19" t="s">
        <v>133</v>
      </c>
      <c r="D191" s="19"/>
      <c r="E191" s="83" t="s">
        <v>134</v>
      </c>
      <c r="F191" s="18"/>
      <c r="G191" s="9">
        <f>G192</f>
        <v>0</v>
      </c>
      <c r="H191" s="9">
        <f>H192</f>
        <v>938334.69</v>
      </c>
      <c r="I191" s="9">
        <f>I192</f>
        <v>938334.69</v>
      </c>
      <c r="J191" s="143"/>
    </row>
    <row r="192" spans="1:10" ht="279" customHeight="1">
      <c r="A192" s="66"/>
      <c r="B192" s="30" t="s">
        <v>374</v>
      </c>
      <c r="C192" s="30" t="s">
        <v>375</v>
      </c>
      <c r="D192" s="30" t="s">
        <v>6</v>
      </c>
      <c r="E192" s="28" t="s">
        <v>399</v>
      </c>
      <c r="F192" s="28" t="s">
        <v>317</v>
      </c>
      <c r="G192" s="34"/>
      <c r="H192" s="34">
        <f>880000+58334.69</f>
        <v>938334.69</v>
      </c>
      <c r="I192" s="34">
        <f>G192+H192</f>
        <v>938334.69</v>
      </c>
      <c r="J192" s="143"/>
    </row>
    <row r="193" spans="1:10" ht="142.5" customHeight="1">
      <c r="A193" s="66"/>
      <c r="B193" s="19" t="s">
        <v>277</v>
      </c>
      <c r="C193" s="19" t="s">
        <v>193</v>
      </c>
      <c r="D193" s="19" t="s">
        <v>20</v>
      </c>
      <c r="E193" s="20" t="s">
        <v>19</v>
      </c>
      <c r="F193" s="21" t="s">
        <v>115</v>
      </c>
      <c r="G193" s="9">
        <v>76600</v>
      </c>
      <c r="H193" s="9"/>
      <c r="I193" s="9">
        <f>G193+H193</f>
        <v>76600</v>
      </c>
      <c r="J193" s="143"/>
    </row>
    <row r="194" spans="1:10" ht="141" customHeight="1">
      <c r="A194" s="66"/>
      <c r="B194" s="19" t="s">
        <v>279</v>
      </c>
      <c r="C194" s="19" t="s">
        <v>131</v>
      </c>
      <c r="D194" s="19" t="s">
        <v>14</v>
      </c>
      <c r="E194" s="20" t="s">
        <v>132</v>
      </c>
      <c r="F194" s="21" t="s">
        <v>115</v>
      </c>
      <c r="G194" s="9"/>
      <c r="H194" s="9">
        <f>3251500-1000000+1000000+2158113.87+778000-5000</f>
        <v>6182613.87</v>
      </c>
      <c r="I194" s="9">
        <f>G194+H194</f>
        <v>6182613.87</v>
      </c>
      <c r="J194" s="143"/>
    </row>
    <row r="195" spans="1:10" ht="108.75" customHeight="1">
      <c r="A195" s="66"/>
      <c r="B195" s="19" t="s">
        <v>280</v>
      </c>
      <c r="C195" s="19" t="s">
        <v>176</v>
      </c>
      <c r="D195" s="19"/>
      <c r="E195" s="20" t="s">
        <v>178</v>
      </c>
      <c r="F195" s="21"/>
      <c r="G195" s="9">
        <f>G196</f>
        <v>0</v>
      </c>
      <c r="H195" s="9">
        <f>H196</f>
        <v>-2074092</v>
      </c>
      <c r="I195" s="9">
        <f>I196</f>
        <v>-2074092</v>
      </c>
      <c r="J195" s="143"/>
    </row>
    <row r="196" spans="1:10" s="32" customFormat="1" ht="159" customHeight="1">
      <c r="A196" s="68"/>
      <c r="B196" s="30" t="s">
        <v>281</v>
      </c>
      <c r="C196" s="30" t="s">
        <v>177</v>
      </c>
      <c r="D196" s="30" t="s">
        <v>6</v>
      </c>
      <c r="E196" s="84" t="s">
        <v>194</v>
      </c>
      <c r="F196" s="28" t="s">
        <v>317</v>
      </c>
      <c r="G196" s="34"/>
      <c r="H196" s="34">
        <v>-2074092</v>
      </c>
      <c r="I196" s="34">
        <f>G196+H196</f>
        <v>-2074092</v>
      </c>
      <c r="J196" s="143"/>
    </row>
    <row r="197" spans="1:10" s="32" customFormat="1" ht="174" customHeight="1">
      <c r="A197" s="68"/>
      <c r="B197" s="22" t="s">
        <v>278</v>
      </c>
      <c r="C197" s="22" t="s">
        <v>129</v>
      </c>
      <c r="D197" s="19" t="s">
        <v>31</v>
      </c>
      <c r="E197" s="20" t="s">
        <v>130</v>
      </c>
      <c r="F197" s="20" t="s">
        <v>317</v>
      </c>
      <c r="G197" s="9">
        <v>760000</v>
      </c>
      <c r="H197" s="9">
        <v>1220000</v>
      </c>
      <c r="I197" s="9">
        <f>G197+H197</f>
        <v>1980000</v>
      </c>
      <c r="J197" s="143"/>
    </row>
    <row r="198" spans="1:10" s="7" customFormat="1" ht="111.75" customHeight="1">
      <c r="A198" s="70"/>
      <c r="B198" s="40"/>
      <c r="C198" s="40"/>
      <c r="D198" s="40"/>
      <c r="E198" s="41" t="s">
        <v>286</v>
      </c>
      <c r="F198" s="42"/>
      <c r="G198" s="51">
        <f>G199+G200+G201+G205+G206+G211+G213+G214+G217+G219+G221+G222+G224+G212</f>
        <v>108543499</v>
      </c>
      <c r="H198" s="51">
        <f>H199+H200+H201+H205+H206+H211+H213+H214+H217+H219+H221+H222+H224+H212</f>
        <v>228112839.23</v>
      </c>
      <c r="I198" s="51">
        <f>I199+I200+I201+I205+I206+I211+I213+I214+I217+I219+I221+I222+I224+I212</f>
        <v>336656338.22999996</v>
      </c>
      <c r="J198" s="143"/>
    </row>
    <row r="199" spans="1:10" ht="156" customHeight="1">
      <c r="A199" s="66"/>
      <c r="B199" s="71" t="s">
        <v>287</v>
      </c>
      <c r="C199" s="71" t="s">
        <v>119</v>
      </c>
      <c r="D199" s="61" t="s">
        <v>2</v>
      </c>
      <c r="E199" s="74" t="s">
        <v>120</v>
      </c>
      <c r="F199" s="18" t="s">
        <v>53</v>
      </c>
      <c r="G199" s="9"/>
      <c r="H199" s="9">
        <v>10000</v>
      </c>
      <c r="I199" s="9">
        <f>G199+H199</f>
        <v>10000</v>
      </c>
      <c r="J199" s="143"/>
    </row>
    <row r="200" spans="1:10" ht="180" customHeight="1">
      <c r="A200" s="66"/>
      <c r="B200" s="19" t="s">
        <v>288</v>
      </c>
      <c r="C200" s="19" t="s">
        <v>172</v>
      </c>
      <c r="D200" s="19" t="s">
        <v>10</v>
      </c>
      <c r="E200" s="20" t="s">
        <v>173</v>
      </c>
      <c r="F200" s="20" t="s">
        <v>317</v>
      </c>
      <c r="G200" s="9">
        <f>40000000+20000000-2000000+20000000+15000000+13000000-10000000+3000000+4969382+2030618</f>
        <v>106000000</v>
      </c>
      <c r="H200" s="9">
        <f>60000000+30000000-3248000+263500+1000000+7000000+2000000-2030618+1068750+438000+500000-500000+350000-350000+869456</f>
        <v>97361088</v>
      </c>
      <c r="I200" s="9">
        <f>G200+H200</f>
        <v>203361088</v>
      </c>
      <c r="J200" s="143"/>
    </row>
    <row r="201" spans="1:10" ht="93" customHeight="1">
      <c r="A201" s="66"/>
      <c r="B201" s="19" t="s">
        <v>289</v>
      </c>
      <c r="C201" s="19" t="s">
        <v>183</v>
      </c>
      <c r="D201" s="19"/>
      <c r="E201" s="20" t="s">
        <v>184</v>
      </c>
      <c r="F201" s="23"/>
      <c r="G201" s="9">
        <f>G202+G204+G203</f>
        <v>100991.35</v>
      </c>
      <c r="H201" s="9">
        <f>H202+H204+H203</f>
        <v>557740.69</v>
      </c>
      <c r="I201" s="9">
        <f>I202+I204+I203</f>
        <v>658732.04</v>
      </c>
      <c r="J201" s="143"/>
    </row>
    <row r="202" spans="1:10" s="32" customFormat="1" ht="159" customHeight="1">
      <c r="A202" s="68"/>
      <c r="B202" s="30" t="s">
        <v>461</v>
      </c>
      <c r="C202" s="30" t="s">
        <v>462</v>
      </c>
      <c r="D202" s="30" t="s">
        <v>28</v>
      </c>
      <c r="E202" s="28" t="s">
        <v>463</v>
      </c>
      <c r="F202" s="36" t="s">
        <v>359</v>
      </c>
      <c r="G202" s="34"/>
      <c r="H202" s="34">
        <f>250000+250000</f>
        <v>500000</v>
      </c>
      <c r="I202" s="34">
        <f>G202+H202</f>
        <v>500000</v>
      </c>
      <c r="J202" s="143"/>
    </row>
    <row r="203" spans="1:10" s="32" customFormat="1" ht="192" customHeight="1" hidden="1">
      <c r="A203" s="68"/>
      <c r="B203" s="30" t="s">
        <v>484</v>
      </c>
      <c r="C203" s="30" t="s">
        <v>485</v>
      </c>
      <c r="D203" s="30" t="s">
        <v>28</v>
      </c>
      <c r="E203" s="28" t="s">
        <v>486</v>
      </c>
      <c r="F203" s="36" t="s">
        <v>359</v>
      </c>
      <c r="G203" s="34"/>
      <c r="H203" s="34">
        <f>200000-200000</f>
        <v>0</v>
      </c>
      <c r="I203" s="34">
        <f>G203+H203</f>
        <v>0</v>
      </c>
      <c r="J203" s="143"/>
    </row>
    <row r="204" spans="1:10" ht="166.5" customHeight="1">
      <c r="A204" s="66"/>
      <c r="B204" s="30" t="s">
        <v>290</v>
      </c>
      <c r="C204" s="30" t="s">
        <v>181</v>
      </c>
      <c r="D204" s="30" t="s">
        <v>28</v>
      </c>
      <c r="E204" s="28" t="s">
        <v>182</v>
      </c>
      <c r="F204" s="36" t="s">
        <v>329</v>
      </c>
      <c r="G204" s="34">
        <f>84906+6.35+16079</f>
        <v>100991.35</v>
      </c>
      <c r="H204" s="34">
        <f>39048+18692.69</f>
        <v>57740.69</v>
      </c>
      <c r="I204" s="34">
        <f>G204+H204</f>
        <v>158732.04</v>
      </c>
      <c r="J204" s="143"/>
    </row>
    <row r="205" spans="1:10" ht="174" customHeight="1">
      <c r="A205" s="66"/>
      <c r="B205" s="19" t="s">
        <v>330</v>
      </c>
      <c r="C205" s="19" t="s">
        <v>324</v>
      </c>
      <c r="D205" s="19" t="s">
        <v>98</v>
      </c>
      <c r="E205" s="20" t="s">
        <v>325</v>
      </c>
      <c r="F205" s="23" t="s">
        <v>359</v>
      </c>
      <c r="G205" s="9"/>
      <c r="H205" s="9">
        <f>9900000+42500+8500+50000-400000-100000+2000000-2000000-38200+65065+122500-29701-17000</f>
        <v>9603664</v>
      </c>
      <c r="I205" s="9">
        <f>G205+H205</f>
        <v>9603664</v>
      </c>
      <c r="J205" s="143"/>
    </row>
    <row r="206" spans="1:10" ht="96" customHeight="1">
      <c r="A206" s="66"/>
      <c r="B206" s="19" t="s">
        <v>331</v>
      </c>
      <c r="C206" s="19" t="s">
        <v>332</v>
      </c>
      <c r="D206" s="19"/>
      <c r="E206" s="20" t="s">
        <v>333</v>
      </c>
      <c r="F206" s="23"/>
      <c r="G206" s="9">
        <f>G207+G208+G209+G210</f>
        <v>0</v>
      </c>
      <c r="H206" s="9">
        <f>H207+H208+H209+H210</f>
        <v>15149162</v>
      </c>
      <c r="I206" s="9">
        <f>I207+I208+I209+I210</f>
        <v>15149162</v>
      </c>
      <c r="J206" s="143"/>
    </row>
    <row r="207" spans="1:10" ht="153" customHeight="1">
      <c r="A207" s="66"/>
      <c r="B207" s="153" t="s">
        <v>334</v>
      </c>
      <c r="C207" s="153" t="s">
        <v>335</v>
      </c>
      <c r="D207" s="153" t="s">
        <v>98</v>
      </c>
      <c r="E207" s="168" t="s">
        <v>336</v>
      </c>
      <c r="F207" s="36" t="s">
        <v>359</v>
      </c>
      <c r="G207" s="34"/>
      <c r="H207" s="34">
        <f>3741000+7000000+221500+603037+318-653355-125500+251000+500000+100000-50000+400000-3000000-60600-3500000+30000+490000+500000-487000+70000-12823+1379000-391000+50000-438000-72364-597000+47544+80000</f>
        <v>6075757</v>
      </c>
      <c r="I207" s="34">
        <f aca="true" t="shared" si="9" ref="I207:I213">G207+H207</f>
        <v>6075757</v>
      </c>
      <c r="J207" s="143"/>
    </row>
    <row r="208" spans="1:10" s="32" customFormat="1" ht="132" customHeight="1">
      <c r="A208" s="68"/>
      <c r="B208" s="154"/>
      <c r="C208" s="154"/>
      <c r="D208" s="154"/>
      <c r="E208" s="169"/>
      <c r="F208" s="31" t="s">
        <v>114</v>
      </c>
      <c r="G208" s="34"/>
      <c r="H208" s="34">
        <v>653355</v>
      </c>
      <c r="I208" s="34">
        <f t="shared" si="9"/>
        <v>653355</v>
      </c>
      <c r="J208" s="143"/>
    </row>
    <row r="209" spans="1:10" ht="132" customHeight="1">
      <c r="A209" s="66"/>
      <c r="B209" s="30" t="s">
        <v>337</v>
      </c>
      <c r="C209" s="30" t="s">
        <v>338</v>
      </c>
      <c r="D209" s="30" t="s">
        <v>98</v>
      </c>
      <c r="E209" s="28" t="s">
        <v>339</v>
      </c>
      <c r="F209" s="36" t="s">
        <v>359</v>
      </c>
      <c r="G209" s="34"/>
      <c r="H209" s="34">
        <f>5500000+259000-150000-37000-12000-480000-100000+100000-700000</f>
        <v>4380000</v>
      </c>
      <c r="I209" s="34">
        <f t="shared" si="9"/>
        <v>4380000</v>
      </c>
      <c r="J209" s="143"/>
    </row>
    <row r="210" spans="1:10" ht="135" customHeight="1">
      <c r="A210" s="66"/>
      <c r="B210" s="30" t="s">
        <v>340</v>
      </c>
      <c r="C210" s="30" t="s">
        <v>341</v>
      </c>
      <c r="D210" s="30" t="s">
        <v>98</v>
      </c>
      <c r="E210" s="28" t="s">
        <v>342</v>
      </c>
      <c r="F210" s="36" t="s">
        <v>359</v>
      </c>
      <c r="G210" s="34"/>
      <c r="H210" s="34">
        <f>8500000-125000-580000-234000+100000-2900000+300000-928750-35000-57200</f>
        <v>4040050</v>
      </c>
      <c r="I210" s="34">
        <f t="shared" si="9"/>
        <v>4040050</v>
      </c>
      <c r="J210" s="143"/>
    </row>
    <row r="211" spans="1:10" ht="147" customHeight="1">
      <c r="A211" s="66"/>
      <c r="B211" s="150" t="s">
        <v>343</v>
      </c>
      <c r="C211" s="150" t="s">
        <v>327</v>
      </c>
      <c r="D211" s="150" t="s">
        <v>98</v>
      </c>
      <c r="E211" s="155" t="s">
        <v>328</v>
      </c>
      <c r="F211" s="23" t="s">
        <v>359</v>
      </c>
      <c r="G211" s="9"/>
      <c r="H211" s="9">
        <f>30359000+870000-1111500+240000+300000+998900+425207+489680+498116+409160+482174+998774+468130+100000+1000+8500-448500+100000+234845+600000+1000000+215000+1741000+127400-800000-33200+255800-500000+4000000+75000+200000+75000-29000+275000-9000-2570000+2460000+100000+48000-513000+235500-14042+50000-750000+433000+100000-122500-140000-76553-284064-11136000-347000+227000-80000</f>
        <v>30236827</v>
      </c>
      <c r="I211" s="9">
        <f t="shared" si="9"/>
        <v>30236827</v>
      </c>
      <c r="J211" s="143"/>
    </row>
    <row r="212" spans="1:10" ht="147" customHeight="1">
      <c r="A212" s="66"/>
      <c r="B212" s="151"/>
      <c r="C212" s="151"/>
      <c r="D212" s="151"/>
      <c r="E212" s="156"/>
      <c r="F212" s="23" t="s">
        <v>38</v>
      </c>
      <c r="G212" s="9"/>
      <c r="H212" s="9">
        <v>11136000</v>
      </c>
      <c r="I212" s="9">
        <f t="shared" si="9"/>
        <v>11136000</v>
      </c>
      <c r="J212" s="143"/>
    </row>
    <row r="213" spans="1:10" ht="138" customHeight="1">
      <c r="A213" s="66"/>
      <c r="B213" s="19" t="s">
        <v>417</v>
      </c>
      <c r="C213" s="19" t="s">
        <v>174</v>
      </c>
      <c r="D213" s="19" t="s">
        <v>98</v>
      </c>
      <c r="E213" s="20" t="s">
        <v>175</v>
      </c>
      <c r="F213" s="23" t="s">
        <v>359</v>
      </c>
      <c r="G213" s="9"/>
      <c r="H213" s="9">
        <f>650000-150000+500000+1200000-5432-5453+57200</f>
        <v>2246315</v>
      </c>
      <c r="I213" s="9">
        <f t="shared" si="9"/>
        <v>2246315</v>
      </c>
      <c r="J213" s="143"/>
    </row>
    <row r="214" spans="1:10" s="8" customFormat="1" ht="57" customHeight="1">
      <c r="A214" s="69"/>
      <c r="B214" s="19" t="s">
        <v>455</v>
      </c>
      <c r="C214" s="19" t="s">
        <v>432</v>
      </c>
      <c r="D214" s="19"/>
      <c r="E214" s="20" t="s">
        <v>434</v>
      </c>
      <c r="F214" s="20"/>
      <c r="G214" s="9">
        <f>G216</f>
        <v>0</v>
      </c>
      <c r="H214" s="9">
        <f>H216+H215</f>
        <v>1667993</v>
      </c>
      <c r="I214" s="9">
        <f>I216+I215</f>
        <v>1667993</v>
      </c>
      <c r="J214" s="143"/>
    </row>
    <row r="215" spans="1:10" s="8" customFormat="1" ht="135" customHeight="1">
      <c r="A215" s="69"/>
      <c r="B215" s="30" t="s">
        <v>487</v>
      </c>
      <c r="C215" s="30" t="s">
        <v>459</v>
      </c>
      <c r="D215" s="19" t="s">
        <v>6</v>
      </c>
      <c r="E215" s="20" t="s">
        <v>460</v>
      </c>
      <c r="F215" s="36" t="s">
        <v>359</v>
      </c>
      <c r="G215" s="9"/>
      <c r="H215" s="9">
        <v>504600</v>
      </c>
      <c r="I215" s="34">
        <f>G215+H215</f>
        <v>504600</v>
      </c>
      <c r="J215" s="143"/>
    </row>
    <row r="216" spans="1:10" s="32" customFormat="1" ht="180" customHeight="1">
      <c r="A216" s="68"/>
      <c r="B216" s="30" t="s">
        <v>456</v>
      </c>
      <c r="C216" s="30" t="s">
        <v>433</v>
      </c>
      <c r="D216" s="30" t="s">
        <v>6</v>
      </c>
      <c r="E216" s="28" t="s">
        <v>435</v>
      </c>
      <c r="F216" s="36" t="s">
        <v>359</v>
      </c>
      <c r="G216" s="34"/>
      <c r="H216" s="34">
        <f>289447+34946+9000+300000+500000+17000+13000</f>
        <v>1163393</v>
      </c>
      <c r="I216" s="34">
        <f>G216+H216</f>
        <v>1163393</v>
      </c>
      <c r="J216" s="143"/>
    </row>
    <row r="217" spans="1:10" s="32" customFormat="1" ht="66" customHeight="1">
      <c r="A217" s="68"/>
      <c r="B217" s="19">
        <v>1517440</v>
      </c>
      <c r="C217" s="19" t="s">
        <v>445</v>
      </c>
      <c r="D217" s="19"/>
      <c r="E217" s="20" t="s">
        <v>447</v>
      </c>
      <c r="F217" s="18"/>
      <c r="G217" s="9">
        <f>G218</f>
        <v>0</v>
      </c>
      <c r="H217" s="9">
        <f>H218</f>
        <v>73389.14</v>
      </c>
      <c r="I217" s="9">
        <f>I218</f>
        <v>73389.14</v>
      </c>
      <c r="J217" s="143"/>
    </row>
    <row r="218" spans="1:10" s="32" customFormat="1" ht="159" customHeight="1">
      <c r="A218" s="68"/>
      <c r="B218" s="30" t="s">
        <v>444</v>
      </c>
      <c r="C218" s="30" t="s">
        <v>446</v>
      </c>
      <c r="D218" s="30" t="s">
        <v>390</v>
      </c>
      <c r="E218" s="28" t="s">
        <v>448</v>
      </c>
      <c r="F218" s="20" t="s">
        <v>317</v>
      </c>
      <c r="G218" s="34"/>
      <c r="H218" s="34">
        <v>73389.14</v>
      </c>
      <c r="I218" s="34">
        <f>G218+H218</f>
        <v>73389.14</v>
      </c>
      <c r="J218" s="143"/>
    </row>
    <row r="219" spans="1:10" s="8" customFormat="1" ht="102" customHeight="1">
      <c r="A219" s="69"/>
      <c r="B219" s="19" t="s">
        <v>470</v>
      </c>
      <c r="C219" s="19" t="s">
        <v>471</v>
      </c>
      <c r="D219" s="19"/>
      <c r="E219" s="115" t="s">
        <v>472</v>
      </c>
      <c r="F219" s="20"/>
      <c r="G219" s="9">
        <f>G220</f>
        <v>0</v>
      </c>
      <c r="H219" s="9">
        <f>H220</f>
        <v>41900000</v>
      </c>
      <c r="I219" s="9">
        <f>I220</f>
        <v>41900000</v>
      </c>
      <c r="J219" s="143"/>
    </row>
    <row r="220" spans="1:10" s="32" customFormat="1" ht="159" customHeight="1">
      <c r="A220" s="68"/>
      <c r="B220" s="30" t="s">
        <v>473</v>
      </c>
      <c r="C220" s="30" t="s">
        <v>474</v>
      </c>
      <c r="D220" s="30" t="s">
        <v>390</v>
      </c>
      <c r="E220" s="116" t="s">
        <v>475</v>
      </c>
      <c r="F220" s="28" t="s">
        <v>317</v>
      </c>
      <c r="G220" s="34"/>
      <c r="H220" s="34">
        <f>45900000-4000000</f>
        <v>41900000</v>
      </c>
      <c r="I220" s="34">
        <f>G220+H220</f>
        <v>41900000</v>
      </c>
      <c r="J220" s="143"/>
    </row>
    <row r="221" spans="1:10" ht="121.5" customHeight="1">
      <c r="A221" s="66"/>
      <c r="B221" s="19" t="s">
        <v>291</v>
      </c>
      <c r="C221" s="19" t="s">
        <v>142</v>
      </c>
      <c r="D221" s="19" t="s">
        <v>30</v>
      </c>
      <c r="E221" s="20" t="s">
        <v>75</v>
      </c>
      <c r="F221" s="18" t="s">
        <v>114</v>
      </c>
      <c r="G221" s="9">
        <f>529155+160000-160000</f>
        <v>529155</v>
      </c>
      <c r="H221" s="9">
        <f>18557000+529155-160000+160000-551000-629000-27854</f>
        <v>17878301</v>
      </c>
      <c r="I221" s="9">
        <f>G221+H221</f>
        <v>18407456</v>
      </c>
      <c r="J221" s="143"/>
    </row>
    <row r="222" spans="1:10" ht="103.5" customHeight="1">
      <c r="A222" s="66"/>
      <c r="B222" s="19" t="s">
        <v>499</v>
      </c>
      <c r="C222" s="19" t="s">
        <v>133</v>
      </c>
      <c r="D222" s="19"/>
      <c r="E222" s="20" t="s">
        <v>134</v>
      </c>
      <c r="F222" s="18"/>
      <c r="G222" s="9">
        <f>G223</f>
        <v>230280</v>
      </c>
      <c r="H222" s="9">
        <f>H223</f>
        <v>0</v>
      </c>
      <c r="I222" s="9">
        <f>I223</f>
        <v>230280</v>
      </c>
      <c r="J222" s="143"/>
    </row>
    <row r="223" spans="1:10" s="32" customFormat="1" ht="160.5" customHeight="1">
      <c r="A223" s="68"/>
      <c r="B223" s="30" t="s">
        <v>498</v>
      </c>
      <c r="C223" s="30" t="s">
        <v>315</v>
      </c>
      <c r="D223" s="30" t="s">
        <v>6</v>
      </c>
      <c r="E223" s="28" t="s">
        <v>316</v>
      </c>
      <c r="F223" s="23" t="s">
        <v>359</v>
      </c>
      <c r="G223" s="34">
        <v>230280</v>
      </c>
      <c r="H223" s="34"/>
      <c r="I223" s="34">
        <f>G223+H223</f>
        <v>230280</v>
      </c>
      <c r="J223" s="143"/>
    </row>
    <row r="224" spans="1:10" s="8" customFormat="1" ht="141.75" customHeight="1">
      <c r="A224" s="69"/>
      <c r="B224" s="19" t="s">
        <v>457</v>
      </c>
      <c r="C224" s="19" t="s">
        <v>453</v>
      </c>
      <c r="D224" s="19"/>
      <c r="E224" s="20" t="s">
        <v>454</v>
      </c>
      <c r="F224" s="23"/>
      <c r="G224" s="9">
        <f>G225+G226</f>
        <v>1683072.65</v>
      </c>
      <c r="H224" s="9">
        <f>H225+H226</f>
        <v>292359.4</v>
      </c>
      <c r="I224" s="9">
        <f>I225+I226</f>
        <v>1975432.0499999998</v>
      </c>
      <c r="J224" s="143"/>
    </row>
    <row r="225" spans="1:10" s="32" customFormat="1" ht="92.25" customHeight="1">
      <c r="A225" s="68"/>
      <c r="B225" s="30" t="s">
        <v>451</v>
      </c>
      <c r="C225" s="30" t="s">
        <v>449</v>
      </c>
      <c r="D225" s="30" t="s">
        <v>5</v>
      </c>
      <c r="E225" s="28" t="s">
        <v>179</v>
      </c>
      <c r="F225" s="36" t="s">
        <v>329</v>
      </c>
      <c r="G225" s="34">
        <f>1415094-6.35+267985</f>
        <v>1683072.65</v>
      </c>
      <c r="H225" s="34">
        <f>650810+311549.4</f>
        <v>962359.4</v>
      </c>
      <c r="I225" s="34">
        <f>G225+H225</f>
        <v>2645432.05</v>
      </c>
      <c r="J225" s="143"/>
    </row>
    <row r="226" spans="1:10" s="32" customFormat="1" ht="116.25" customHeight="1">
      <c r="A226" s="68"/>
      <c r="B226" s="30" t="s">
        <v>452</v>
      </c>
      <c r="C226" s="30" t="s">
        <v>450</v>
      </c>
      <c r="D226" s="30" t="s">
        <v>5</v>
      </c>
      <c r="E226" s="28" t="s">
        <v>180</v>
      </c>
      <c r="F226" s="36" t="s">
        <v>329</v>
      </c>
      <c r="G226" s="9"/>
      <c r="H226" s="34">
        <f>-670000</f>
        <v>-670000</v>
      </c>
      <c r="I226" s="34">
        <f>G226+H226</f>
        <v>-670000</v>
      </c>
      <c r="J226" s="143"/>
    </row>
    <row r="227" spans="1:10" ht="108" customHeight="1">
      <c r="A227" s="66"/>
      <c r="B227" s="19"/>
      <c r="C227" s="19"/>
      <c r="D227" s="19"/>
      <c r="E227" s="41" t="s">
        <v>292</v>
      </c>
      <c r="F227" s="23"/>
      <c r="G227" s="51">
        <f>G228+G229+G230+G231</f>
        <v>374950</v>
      </c>
      <c r="H227" s="51">
        <f>H228+H229+H230+H231</f>
        <v>708000</v>
      </c>
      <c r="I227" s="51">
        <f>I228+I229+I230+I231</f>
        <v>1082950</v>
      </c>
      <c r="J227" s="143"/>
    </row>
    <row r="228" spans="1:10" ht="144" customHeight="1">
      <c r="A228" s="66"/>
      <c r="B228" s="19" t="s">
        <v>293</v>
      </c>
      <c r="C228" s="19" t="s">
        <v>119</v>
      </c>
      <c r="D228" s="19" t="s">
        <v>2</v>
      </c>
      <c r="E228" s="20" t="s">
        <v>120</v>
      </c>
      <c r="F228" s="18" t="s">
        <v>53</v>
      </c>
      <c r="G228" s="9">
        <v>50000</v>
      </c>
      <c r="H228" s="51"/>
      <c r="I228" s="9">
        <f>G228+H228</f>
        <v>50000</v>
      </c>
      <c r="J228" s="143"/>
    </row>
    <row r="229" spans="1:10" ht="177" customHeight="1">
      <c r="A229" s="66"/>
      <c r="B229" s="19" t="s">
        <v>391</v>
      </c>
      <c r="C229" s="19" t="s">
        <v>301</v>
      </c>
      <c r="D229" s="19" t="s">
        <v>322</v>
      </c>
      <c r="E229" s="104" t="s">
        <v>321</v>
      </c>
      <c r="F229" s="20" t="s">
        <v>317</v>
      </c>
      <c r="G229" s="9">
        <f>150000+50000-10000</f>
        <v>190000</v>
      </c>
      <c r="H229" s="51"/>
      <c r="I229" s="9">
        <f>G229+H229</f>
        <v>190000</v>
      </c>
      <c r="J229" s="143"/>
    </row>
    <row r="230" spans="1:10" ht="139.5" customHeight="1">
      <c r="A230" s="66"/>
      <c r="B230" s="72" t="s">
        <v>495</v>
      </c>
      <c r="C230" s="72" t="s">
        <v>496</v>
      </c>
      <c r="D230" s="72" t="s">
        <v>6</v>
      </c>
      <c r="E230" s="74" t="s">
        <v>497</v>
      </c>
      <c r="F230" s="20" t="s">
        <v>317</v>
      </c>
      <c r="G230" s="9">
        <f>150000-15050</f>
        <v>134950</v>
      </c>
      <c r="H230" s="9"/>
      <c r="I230" s="9">
        <f>G230+H230</f>
        <v>134950</v>
      </c>
      <c r="J230" s="143"/>
    </row>
    <row r="231" spans="1:10" s="8" customFormat="1" ht="72" customHeight="1">
      <c r="A231" s="69"/>
      <c r="B231" s="71" t="s">
        <v>294</v>
      </c>
      <c r="C231" s="71" t="s">
        <v>133</v>
      </c>
      <c r="D231" s="72"/>
      <c r="E231" s="85" t="s">
        <v>134</v>
      </c>
      <c r="F231" s="18"/>
      <c r="G231" s="9">
        <f>G232</f>
        <v>0</v>
      </c>
      <c r="H231" s="9">
        <f>H232+H233</f>
        <v>708000</v>
      </c>
      <c r="I231" s="9">
        <f>I232+I233</f>
        <v>708000</v>
      </c>
      <c r="J231" s="143"/>
    </row>
    <row r="232" spans="1:10" s="32" customFormat="1" ht="162" customHeight="1">
      <c r="A232" s="68"/>
      <c r="B232" s="153" t="s">
        <v>376</v>
      </c>
      <c r="C232" s="153" t="s">
        <v>375</v>
      </c>
      <c r="D232" s="153" t="s">
        <v>6</v>
      </c>
      <c r="E232" s="168" t="s">
        <v>399</v>
      </c>
      <c r="F232" s="28" t="s">
        <v>317</v>
      </c>
      <c r="G232" s="34"/>
      <c r="H232" s="34">
        <f>341539-18539+35000</f>
        <v>358000</v>
      </c>
      <c r="I232" s="34">
        <f>G232+H232</f>
        <v>358000</v>
      </c>
      <c r="J232" s="143"/>
    </row>
    <row r="233" spans="1:10" s="32" customFormat="1" ht="177" customHeight="1">
      <c r="A233" s="68"/>
      <c r="B233" s="154"/>
      <c r="C233" s="154"/>
      <c r="D233" s="154"/>
      <c r="E233" s="169"/>
      <c r="F233" s="36" t="s">
        <v>494</v>
      </c>
      <c r="G233" s="9"/>
      <c r="H233" s="34">
        <v>350000</v>
      </c>
      <c r="I233" s="34">
        <f>G233+H233</f>
        <v>350000</v>
      </c>
      <c r="J233" s="143"/>
    </row>
    <row r="234" spans="1:10" ht="121.5" customHeight="1">
      <c r="A234" s="66"/>
      <c r="B234" s="40"/>
      <c r="C234" s="40"/>
      <c r="D234" s="40"/>
      <c r="E234" s="41" t="s">
        <v>283</v>
      </c>
      <c r="F234" s="42"/>
      <c r="G234" s="51">
        <f>G235+G236+G237+G238+G239+G240+G242</f>
        <v>1613906</v>
      </c>
      <c r="H234" s="51">
        <f>H235+H236+H237+H238+H239+H240+H242</f>
        <v>5268343.33</v>
      </c>
      <c r="I234" s="51">
        <f>I235+I236+I237+I238+I239+I240+I242</f>
        <v>6882249.33</v>
      </c>
      <c r="J234" s="143"/>
    </row>
    <row r="235" spans="1:10" ht="208.5" customHeight="1">
      <c r="A235" s="66"/>
      <c r="B235" s="19" t="s">
        <v>284</v>
      </c>
      <c r="C235" s="19" t="s">
        <v>170</v>
      </c>
      <c r="D235" s="19" t="s">
        <v>29</v>
      </c>
      <c r="E235" s="20" t="s">
        <v>171</v>
      </c>
      <c r="F235" s="21" t="s">
        <v>116</v>
      </c>
      <c r="G235" s="9">
        <f>550000+50000+50000-130000+490670-490670</f>
        <v>520000</v>
      </c>
      <c r="H235" s="9">
        <v>14343.33</v>
      </c>
      <c r="I235" s="9">
        <f>G235+H235</f>
        <v>534343.33</v>
      </c>
      <c r="J235" s="143"/>
    </row>
    <row r="236" spans="1:10" ht="151.5" customHeight="1">
      <c r="A236" s="66"/>
      <c r="B236" s="19" t="s">
        <v>500</v>
      </c>
      <c r="C236" s="19" t="s">
        <v>496</v>
      </c>
      <c r="D236" s="19" t="s">
        <v>6</v>
      </c>
      <c r="E236" s="20" t="s">
        <v>497</v>
      </c>
      <c r="F236" s="23" t="s">
        <v>359</v>
      </c>
      <c r="G236" s="9">
        <v>90000</v>
      </c>
      <c r="H236" s="9">
        <f>1426100+3573900</f>
        <v>5000000</v>
      </c>
      <c r="I236" s="9">
        <f>G236+H236</f>
        <v>5090000</v>
      </c>
      <c r="J236" s="143"/>
    </row>
    <row r="237" spans="1:10" ht="163.5" customHeight="1">
      <c r="A237" s="66"/>
      <c r="B237" s="19" t="s">
        <v>285</v>
      </c>
      <c r="C237" s="19" t="s">
        <v>160</v>
      </c>
      <c r="D237" s="19" t="s">
        <v>7</v>
      </c>
      <c r="E237" s="20" t="s">
        <v>68</v>
      </c>
      <c r="F237" s="18" t="s">
        <v>93</v>
      </c>
      <c r="G237" s="9">
        <f>1085000+67000-900000</f>
        <v>252000</v>
      </c>
      <c r="H237" s="9"/>
      <c r="I237" s="9">
        <f>G237+H237</f>
        <v>252000</v>
      </c>
      <c r="J237" s="143"/>
    </row>
    <row r="238" spans="1:10" ht="205.5" customHeight="1">
      <c r="A238" s="66"/>
      <c r="B238" s="19" t="s">
        <v>345</v>
      </c>
      <c r="C238" s="19" t="s">
        <v>344</v>
      </c>
      <c r="D238" s="19" t="s">
        <v>6</v>
      </c>
      <c r="E238" s="20" t="s">
        <v>346</v>
      </c>
      <c r="F238" s="21" t="s">
        <v>116</v>
      </c>
      <c r="G238" s="9"/>
      <c r="H238" s="9">
        <f>25000+25000</f>
        <v>50000</v>
      </c>
      <c r="I238" s="9">
        <f>G238+H238</f>
        <v>50000</v>
      </c>
      <c r="J238" s="143"/>
    </row>
    <row r="239" spans="1:10" ht="223.5" customHeight="1">
      <c r="A239" s="66"/>
      <c r="B239" s="19" t="s">
        <v>349</v>
      </c>
      <c r="C239" s="19" t="s">
        <v>350</v>
      </c>
      <c r="D239" s="19" t="s">
        <v>6</v>
      </c>
      <c r="E239" s="20" t="s">
        <v>351</v>
      </c>
      <c r="F239" s="21" t="s">
        <v>116</v>
      </c>
      <c r="G239" s="9"/>
      <c r="H239" s="9">
        <v>25000</v>
      </c>
      <c r="I239" s="9">
        <f>G239+H239</f>
        <v>25000</v>
      </c>
      <c r="J239" s="143"/>
    </row>
    <row r="240" spans="1:10" ht="72" customHeight="1">
      <c r="A240" s="66"/>
      <c r="B240" s="19" t="s">
        <v>347</v>
      </c>
      <c r="C240" s="19" t="s">
        <v>133</v>
      </c>
      <c r="D240" s="19"/>
      <c r="E240" s="20" t="s">
        <v>134</v>
      </c>
      <c r="F240" s="21"/>
      <c r="G240" s="9">
        <f>G241</f>
        <v>731906</v>
      </c>
      <c r="H240" s="9">
        <f>H241</f>
        <v>0</v>
      </c>
      <c r="I240" s="9">
        <f>I241</f>
        <v>731906</v>
      </c>
      <c r="J240" s="143"/>
    </row>
    <row r="241" spans="1:10" s="32" customFormat="1" ht="235.5" customHeight="1">
      <c r="A241" s="68"/>
      <c r="B241" s="30" t="s">
        <v>348</v>
      </c>
      <c r="C241" s="30" t="s">
        <v>315</v>
      </c>
      <c r="D241" s="30" t="s">
        <v>6</v>
      </c>
      <c r="E241" s="28" t="s">
        <v>316</v>
      </c>
      <c r="F241" s="33" t="s">
        <v>116</v>
      </c>
      <c r="G241" s="34">
        <f>642000+89906</f>
        <v>731906</v>
      </c>
      <c r="H241" s="34"/>
      <c r="I241" s="34">
        <f>G241+H241</f>
        <v>731906</v>
      </c>
      <c r="J241" s="143"/>
    </row>
    <row r="242" spans="1:10" ht="160.5" customHeight="1">
      <c r="A242" s="66"/>
      <c r="B242" s="19" t="s">
        <v>443</v>
      </c>
      <c r="C242" s="19" t="s">
        <v>427</v>
      </c>
      <c r="D242" s="19" t="s">
        <v>31</v>
      </c>
      <c r="E242" s="82" t="s">
        <v>428</v>
      </c>
      <c r="F242" s="18" t="s">
        <v>93</v>
      </c>
      <c r="G242" s="9">
        <v>20000</v>
      </c>
      <c r="H242" s="9">
        <v>179000</v>
      </c>
      <c r="I242" s="9">
        <f>G242+H242</f>
        <v>199000</v>
      </c>
      <c r="J242" s="143"/>
    </row>
    <row r="243" spans="1:10" s="7" customFormat="1" ht="111.75" customHeight="1">
      <c r="A243" s="70"/>
      <c r="B243" s="19"/>
      <c r="C243" s="19"/>
      <c r="D243" s="19"/>
      <c r="E243" s="41" t="s">
        <v>295</v>
      </c>
      <c r="F243" s="23"/>
      <c r="G243" s="51">
        <f>G244+G245+G246+G247</f>
        <v>91900</v>
      </c>
      <c r="H243" s="51">
        <f>H244+H245+H246+H247</f>
        <v>4577800</v>
      </c>
      <c r="I243" s="51">
        <f>I244+I245+I246+I247</f>
        <v>4669700</v>
      </c>
      <c r="J243" s="143"/>
    </row>
    <row r="244" spans="1:10" s="7" customFormat="1" ht="117.75" customHeight="1">
      <c r="A244" s="70"/>
      <c r="B244" s="19" t="s">
        <v>352</v>
      </c>
      <c r="C244" s="19" t="s">
        <v>142</v>
      </c>
      <c r="D244" s="19" t="s">
        <v>30</v>
      </c>
      <c r="E244" s="20" t="s">
        <v>75</v>
      </c>
      <c r="F244" s="18" t="s">
        <v>114</v>
      </c>
      <c r="G244" s="9">
        <v>75000</v>
      </c>
      <c r="H244" s="9"/>
      <c r="I244" s="9">
        <f>G244+H244</f>
        <v>75000</v>
      </c>
      <c r="J244" s="143"/>
    </row>
    <row r="245" spans="1:9" ht="171.75" customHeight="1">
      <c r="A245" s="66"/>
      <c r="B245" s="19" t="s">
        <v>296</v>
      </c>
      <c r="C245" s="19" t="s">
        <v>131</v>
      </c>
      <c r="D245" s="19" t="s">
        <v>14</v>
      </c>
      <c r="E245" s="20" t="s">
        <v>132</v>
      </c>
      <c r="F245" s="21" t="s">
        <v>115</v>
      </c>
      <c r="G245" s="9"/>
      <c r="H245" s="9">
        <f>20000+5000</f>
        <v>25000</v>
      </c>
      <c r="I245" s="9">
        <f>G245+H245</f>
        <v>25000</v>
      </c>
    </row>
    <row r="246" spans="1:9" ht="282" customHeight="1">
      <c r="A246" s="66"/>
      <c r="B246" s="19" t="s">
        <v>478</v>
      </c>
      <c r="C246" s="19" t="s">
        <v>479</v>
      </c>
      <c r="D246" s="19" t="s">
        <v>31</v>
      </c>
      <c r="E246" s="118" t="s">
        <v>480</v>
      </c>
      <c r="F246" s="23" t="s">
        <v>359</v>
      </c>
      <c r="G246" s="9"/>
      <c r="H246" s="9">
        <v>4000000</v>
      </c>
      <c r="I246" s="9">
        <f>G246+H246</f>
        <v>4000000</v>
      </c>
    </row>
    <row r="247" spans="1:9" ht="171.75" customHeight="1">
      <c r="A247" s="66"/>
      <c r="B247" s="19" t="s">
        <v>405</v>
      </c>
      <c r="C247" s="19" t="s">
        <v>129</v>
      </c>
      <c r="D247" s="19" t="s">
        <v>31</v>
      </c>
      <c r="E247" s="20" t="s">
        <v>130</v>
      </c>
      <c r="F247" s="23" t="s">
        <v>359</v>
      </c>
      <c r="G247" s="9">
        <f>4900+12000</f>
        <v>16900</v>
      </c>
      <c r="H247" s="9">
        <f>500000+14800+38000</f>
        <v>552800</v>
      </c>
      <c r="I247" s="9">
        <f>G247+H247</f>
        <v>569700</v>
      </c>
    </row>
    <row r="248" spans="1:9" ht="54.75" customHeight="1">
      <c r="A248" s="66"/>
      <c r="B248" s="13"/>
      <c r="C248" s="130" t="s">
        <v>3</v>
      </c>
      <c r="D248" s="131"/>
      <c r="E248" s="131"/>
      <c r="F248" s="132"/>
      <c r="G248" s="52">
        <f>G16+G69++G104+G126+G152+G155+G166+G198+G227+G234+G243</f>
        <v>456711961.28999996</v>
      </c>
      <c r="H248" s="52">
        <f>H16+H69++H104+H126+H152+H155+H166+H198+H227+H234+H243</f>
        <v>581443119.62</v>
      </c>
      <c r="I248" s="52">
        <f>I16+I69++I104+I126+I152+I155+I166+I198+I227+I234+I243</f>
        <v>1038155080.91</v>
      </c>
    </row>
    <row r="249" spans="1:9" ht="172.5" customHeight="1">
      <c r="A249" s="66"/>
      <c r="B249" s="15"/>
      <c r="C249" s="14"/>
      <c r="D249" s="15"/>
      <c r="E249" s="55"/>
      <c r="F249" s="56"/>
      <c r="G249" s="57"/>
      <c r="H249" s="57"/>
      <c r="I249" s="57"/>
    </row>
    <row r="250" spans="2:9" ht="101.25" customHeight="1">
      <c r="B250" s="177" t="s">
        <v>506</v>
      </c>
      <c r="C250" s="178"/>
      <c r="D250" s="178"/>
      <c r="E250" s="137"/>
      <c r="F250" s="138"/>
      <c r="G250" s="139"/>
      <c r="H250" s="140" t="s">
        <v>507</v>
      </c>
      <c r="I250" s="138"/>
    </row>
    <row r="251" spans="2:9" ht="69.75" customHeight="1">
      <c r="B251" s="141"/>
      <c r="C251" s="142"/>
      <c r="D251" s="142"/>
      <c r="E251" s="56"/>
      <c r="F251" s="57"/>
      <c r="G251" s="57"/>
      <c r="H251" s="57"/>
      <c r="I251" s="47"/>
    </row>
    <row r="252" spans="2:9" ht="42.75" customHeight="1">
      <c r="B252" s="179" t="s">
        <v>508</v>
      </c>
      <c r="C252" s="179"/>
      <c r="D252" s="179"/>
      <c r="E252" s="58"/>
      <c r="F252" s="56"/>
      <c r="G252" s="57"/>
      <c r="H252" s="57"/>
      <c r="I252" s="47"/>
    </row>
    <row r="253" spans="2:9" ht="69.75" customHeight="1">
      <c r="B253" s="127"/>
      <c r="C253" s="59"/>
      <c r="D253" s="59"/>
      <c r="E253" s="59"/>
      <c r="F253" s="56"/>
      <c r="G253" s="57"/>
      <c r="H253" s="57"/>
      <c r="I253" s="57"/>
    </row>
    <row r="254" spans="2:9" ht="45.75" customHeight="1">
      <c r="B254" s="124"/>
      <c r="C254" s="124"/>
      <c r="D254" s="124"/>
      <c r="E254" s="125"/>
      <c r="F254" s="126"/>
      <c r="G254" s="53"/>
      <c r="H254" s="53"/>
      <c r="I254" s="53"/>
    </row>
    <row r="255" spans="2:9" ht="91.5" customHeight="1">
      <c r="B255" s="129"/>
      <c r="C255" s="129"/>
      <c r="D255" s="129"/>
      <c r="E255" s="59"/>
      <c r="F255" s="59"/>
      <c r="G255" s="133">
        <f>G248+H248-I248</f>
        <v>0</v>
      </c>
      <c r="H255" s="133"/>
      <c r="I255" s="133"/>
    </row>
    <row r="256" ht="44.25" customHeight="1"/>
    <row r="257" ht="44.25" customHeight="1"/>
    <row r="258" spans="7:9" ht="95.25" customHeight="1">
      <c r="G258" s="113">
        <f>G248-G17-G18-G19-G21-G22-G23-G25-G27-G28-G30-G31-G32-G33-G35-G36-G38-G39-G41-G42-G44-G45-G47-G49-G50-G51-G52-G53-G54-G55-G56-G57-G59-G60-G61-G62-G64-G63-G65-G66-G67-G68-G70-G71-G72-G73-G74-G75-G76-G77-G78-G79-G80-G81-G82-G83-G84-G86-G87-G88-G89-G90-G91-G95-G97-G99-G100-G101-G102-G103-G105-G106-G107-G108-G109-G110-G111-G113-G114-G115-G116-G118-G119-G121-G124-G122-G125-G127-G129-G130-G131-G132-G133-G135-G136-G137-G139-G140-G141-G142-G143-G145-G146-G149-G150-G151-G154-G156-G157-G158-G160-G161-G162-G164-G165-G167-G168-G169-G171-G172-G173-G174-G175-G176-G177-G178-G179-G180-G181-G182-G183-G184-G186-G187-G188-G189-G192-G193-G194-G196-G197-G199-G200-G202-G203-G204-G205-G207-G208-G209-G210-G211-G213-G215-G216-G218-G220-G221-G223-G225-G226-G228-G229-G230-G232-G233-G235-G236-G237-G238-G239-G241-G242-G244-G245-G246-G247-G190-G123-G212-G93-G148-G98</f>
        <v>3.026798367500305E-08</v>
      </c>
      <c r="H258" s="113">
        <f>H248-H17-H18-H19-H21-H22-H23-H25-H27-H28-H30-H31-H32-H33-H35-H36-H38-H39-H41-H42-H44-H45-H47-H49-H50-H51-H52-H53-H54-H55-H56-H57-H59-H60-H61-H62-H64-H63-H65-H66-H67-H68-H70-H71-H72-H73-H74-H75-H76-H77-H78-H79-H80-H81-H82-H83-H84-H86-H87-H88-H89-H90-H91-H95-H97-H99-H100-H101-H102-H103-H105-H106-H107-H108-H109-H110-H111-H113-H114-H115-H116-H118-H119-H121-H124-H122-H125-H127-H129-H130-H131-H132-H133-H135-H136-H137-H139-H140-H141-H142-H143-H145-H146-H149-H150-H151-H154-H156-H157-H158-H160-H161-H162-H164-H165-H167-H168-H169-H171-H172-H173-H174-H175-H176-H177-H178-H179-H180-H181-H182-H183-H184-H186-H187-H188-H189-H192-H193-H194-H196-H197-H199-H200-H202-H203-H204-H205-H207-H208-H209-H210-H211-H213-H215-H216-H218-H220-H221-H223-H225-H226-H228-H229-H230-H232-H233-H235-H236-H237-H238-H239-H241-H242-H244-H245-H246-H247-H190-H123-H212-H93-H148-H98</f>
        <v>-2.2351741790771484E-08</v>
      </c>
      <c r="I258" s="113">
        <f>I248-I17-I18-I19-I21-I22-I23-I25-I27-I28-I30-I31-I32-I33-I35-I36-I38-I39-I41-I42-I44-I45-I47-I49-I50-I51-I52-I53-I54-I55-I56-I57-I59-I60-I61-I62-I64-I63-I65-I66-I67-I68-I70-I71-I72-I73-I74-I75-I76-I77-I78-I79-I80-I81-I82-I83-I84-I86-I87-I88-I89-I90-I91-I95-I97-I99-I100-I101-I102-I103-I105-I106-I107-I108-I109-I110-I111-I113-I114-I115-I116-I118-I119-I121-I124-I122-I125-I127-I129-I130-I131-I132-I133-I135-I136-I137-I139-I140-I141-I142-I143-I145-I146-I149-I150-I151-I154-I156-I157-I158-I160-I161-I162-I164-I165-I167-I168-I169-I171-I172-I173-I174-I175-I176-I177-I178-I179-I180-I181-I182-I183-I184-I186-I187-I188-I189-I192-I193-I194-I196-I197-I199-I200-I202-I203-I204-I205-I207-I208-I209-I210-I211-I213-I215-I216-I218-I220-I221-I223-I225-I226-I228-I229-I230-I232-I233-I235-I236-I237-I238-I239-I241-I242-I244-I245-I246-I247-I190-I123-I212-I93-I148-I98</f>
        <v>1.30385160446167E-07</v>
      </c>
    </row>
    <row r="259" ht="44.25" customHeight="1"/>
    <row r="260" ht="44.25" customHeight="1"/>
    <row r="261" ht="44.25" customHeight="1"/>
    <row r="262" ht="44.25" customHeight="1"/>
  </sheetData>
  <sheetProtection/>
  <mergeCells count="157">
    <mergeCell ref="G10:I10"/>
    <mergeCell ref="G11:I11"/>
    <mergeCell ref="B250:D250"/>
    <mergeCell ref="B252:D252"/>
    <mergeCell ref="D207:D208"/>
    <mergeCell ref="E207:E208"/>
    <mergeCell ref="B207:B208"/>
    <mergeCell ref="D211:D212"/>
    <mergeCell ref="C211:C212"/>
    <mergeCell ref="B211:B212"/>
    <mergeCell ref="B187:B188"/>
    <mergeCell ref="D187:D188"/>
    <mergeCell ref="C187:C188"/>
    <mergeCell ref="E211:E212"/>
    <mergeCell ref="B232:B233"/>
    <mergeCell ref="E161:E162"/>
    <mergeCell ref="C168:C169"/>
    <mergeCell ref="C179:C180"/>
    <mergeCell ref="C161:C162"/>
    <mergeCell ref="C181:C182"/>
    <mergeCell ref="E187:E188"/>
    <mergeCell ref="C232:C233"/>
    <mergeCell ref="D232:D233"/>
    <mergeCell ref="E232:E233"/>
    <mergeCell ref="E181:E182"/>
    <mergeCell ref="C207:C208"/>
    <mergeCell ref="D181:D182"/>
    <mergeCell ref="E89:E91"/>
    <mergeCell ref="D106:D108"/>
    <mergeCell ref="D113:D114"/>
    <mergeCell ref="D161:D162"/>
    <mergeCell ref="D89:D91"/>
    <mergeCell ref="E113:E114"/>
    <mergeCell ref="E106:E108"/>
    <mergeCell ref="E109:E110"/>
    <mergeCell ref="D145:D146"/>
    <mergeCell ref="D150:D151"/>
    <mergeCell ref="B89:B91"/>
    <mergeCell ref="C83:C84"/>
    <mergeCell ref="D97:D99"/>
    <mergeCell ref="B139:B140"/>
    <mergeCell ref="B106:B108"/>
    <mergeCell ref="D86:D87"/>
    <mergeCell ref="B136:B137"/>
    <mergeCell ref="B109:B110"/>
    <mergeCell ref="B113:B114"/>
    <mergeCell ref="C106:C108"/>
    <mergeCell ref="E97:E99"/>
    <mergeCell ref="C109:C110"/>
    <mergeCell ref="E145:E146"/>
    <mergeCell ref="E179:E180"/>
    <mergeCell ref="E139:E140"/>
    <mergeCell ref="C118:C119"/>
    <mergeCell ref="C102:C103"/>
    <mergeCell ref="E115:E116"/>
    <mergeCell ref="E118:E119"/>
    <mergeCell ref="E150:E151"/>
    <mergeCell ref="C89:C91"/>
    <mergeCell ref="D102:D103"/>
    <mergeCell ref="D136:D137"/>
    <mergeCell ref="D139:D140"/>
    <mergeCell ref="D118:D119"/>
    <mergeCell ref="C136:C137"/>
    <mergeCell ref="C113:C114"/>
    <mergeCell ref="C139:C140"/>
    <mergeCell ref="D115:D116"/>
    <mergeCell ref="C97:C99"/>
    <mergeCell ref="E102:E103"/>
    <mergeCell ref="B168:B169"/>
    <mergeCell ref="B161:B162"/>
    <mergeCell ref="C177:C178"/>
    <mergeCell ref="B150:B151"/>
    <mergeCell ref="B145:B146"/>
    <mergeCell ref="D109:D110"/>
    <mergeCell ref="E168:E169"/>
    <mergeCell ref="E177:E178"/>
    <mergeCell ref="B102:B103"/>
    <mergeCell ref="C115:C116"/>
    <mergeCell ref="E136:E137"/>
    <mergeCell ref="B177:B178"/>
    <mergeCell ref="B181:B182"/>
    <mergeCell ref="D168:D169"/>
    <mergeCell ref="D179:D180"/>
    <mergeCell ref="C145:C146"/>
    <mergeCell ref="C150:C151"/>
    <mergeCell ref="B179:B180"/>
    <mergeCell ref="B97:B99"/>
    <mergeCell ref="B118:B119"/>
    <mergeCell ref="B115:B116"/>
    <mergeCell ref="D177:D178"/>
    <mergeCell ref="G1:I1"/>
    <mergeCell ref="D80:D82"/>
    <mergeCell ref="D71:D74"/>
    <mergeCell ref="D56:D57"/>
    <mergeCell ref="G2:I2"/>
    <mergeCell ref="D22:D23"/>
    <mergeCell ref="E22:E23"/>
    <mergeCell ref="G6:I6"/>
    <mergeCell ref="G5:I5"/>
    <mergeCell ref="E80:E82"/>
    <mergeCell ref="E86:E87"/>
    <mergeCell ref="D66:D68"/>
    <mergeCell ref="E75:E77"/>
    <mergeCell ref="E64:E65"/>
    <mergeCell ref="D75:D79"/>
    <mergeCell ref="D83:D84"/>
    <mergeCell ref="G3:I3"/>
    <mergeCell ref="G4:I4"/>
    <mergeCell ref="E17:E18"/>
    <mergeCell ref="D17:D18"/>
    <mergeCell ref="B13:I13"/>
    <mergeCell ref="B22:B23"/>
    <mergeCell ref="G7:I7"/>
    <mergeCell ref="G9:I9"/>
    <mergeCell ref="C17:C18"/>
    <mergeCell ref="G8:I8"/>
    <mergeCell ref="E31:E32"/>
    <mergeCell ref="B80:B82"/>
    <mergeCell ref="B71:B74"/>
    <mergeCell ref="C80:C82"/>
    <mergeCell ref="C75:C79"/>
    <mergeCell ref="E71:E74"/>
    <mergeCell ref="B56:B57"/>
    <mergeCell ref="B64:B65"/>
    <mergeCell ref="C64:C65"/>
    <mergeCell ref="B66:B68"/>
    <mergeCell ref="E83:E84"/>
    <mergeCell ref="B75:B79"/>
    <mergeCell ref="C71:C74"/>
    <mergeCell ref="B31:B32"/>
    <mergeCell ref="C22:C23"/>
    <mergeCell ref="E66:E68"/>
    <mergeCell ref="C56:C57"/>
    <mergeCell ref="E56:E57"/>
    <mergeCell ref="D31:D32"/>
    <mergeCell ref="D64:D65"/>
    <mergeCell ref="B86:B87"/>
    <mergeCell ref="B83:B84"/>
    <mergeCell ref="C86:C87"/>
    <mergeCell ref="B17:B18"/>
    <mergeCell ref="C66:C68"/>
    <mergeCell ref="C31:C32"/>
    <mergeCell ref="J8:J25"/>
    <mergeCell ref="J26:J44"/>
    <mergeCell ref="J45:J60"/>
    <mergeCell ref="J61:J74"/>
    <mergeCell ref="J75:J88"/>
    <mergeCell ref="J89:J108"/>
    <mergeCell ref="J198:J213"/>
    <mergeCell ref="J214:J230"/>
    <mergeCell ref="J231:J244"/>
    <mergeCell ref="J109:J121"/>
    <mergeCell ref="J122:J137"/>
    <mergeCell ref="J138:J156"/>
    <mergeCell ref="J157:J169"/>
    <mergeCell ref="J170:J183"/>
    <mergeCell ref="J184:J197"/>
  </mergeCells>
  <printOptions horizontalCentered="1"/>
  <pageMargins left="0.3937007874015748" right="0.3937007874015748" top="0.7480314960629921" bottom="0.3937007874015748" header="0.5118110236220472" footer="0"/>
  <pageSetup firstPageNumber="1" useFirstPageNumber="1" fitToHeight="16" horizontalDpi="600" verticalDpi="600" orientation="landscape" paperSize="9" scale="20" r:id="rId1"/>
  <headerFooter scaleWithDoc="0" alignWithMargins="0">
    <oddFooter>&amp;RСторінка &amp;P</oddFooter>
  </headerFooter>
  <rowBreaks count="8" manualBreakCount="8">
    <brk id="74" min="1" max="6" man="1"/>
    <brk id="88" min="1" max="6" man="1"/>
    <brk id="105" min="1" max="6" man="1"/>
    <brk id="116" min="1" max="6" man="1"/>
    <brk id="148" min="1" max="6" man="1"/>
    <brk id="178" min="1" max="6" man="1"/>
    <brk id="226" min="1" max="6" man="1"/>
    <brk id="23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2018-12-27T15:37:01Z</cp:lastPrinted>
  <dcterms:created xsi:type="dcterms:W3CDTF">2014-01-17T10:52:16Z</dcterms:created>
  <dcterms:modified xsi:type="dcterms:W3CDTF">2018-12-28T13:37:47Z</dcterms:modified>
  <cp:category/>
  <cp:version/>
  <cp:contentType/>
  <cp:contentStatus/>
</cp:coreProperties>
</file>