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Показники" sheetId="1" r:id="rId1"/>
  </sheets>
  <definedNames>
    <definedName name="_xlnm.Print_Area" localSheetId="0">'Показники'!$A$1:$K$447</definedName>
  </definedNames>
  <calcPr fullCalcOnLoad="1"/>
</workbook>
</file>

<file path=xl/sharedStrings.xml><?xml version="1.0" encoding="utf-8"?>
<sst xmlns="http://schemas.openxmlformats.org/spreadsheetml/2006/main" count="445" uniqueCount="251">
  <si>
    <t>Разом</t>
  </si>
  <si>
    <t>в тому числі</t>
  </si>
  <si>
    <t>Загальний фонд</t>
  </si>
  <si>
    <t>Спеціальний фонд</t>
  </si>
  <si>
    <t>Всього на виконання програми</t>
  </si>
  <si>
    <t>Показники виконання:</t>
  </si>
  <si>
    <t>Показник продукту:</t>
  </si>
  <si>
    <t>Всього на виконання підпрограми</t>
  </si>
  <si>
    <t>Підпрограма 2. Соціальні гарантії громадянам міста</t>
  </si>
  <si>
    <t>Мета: Встановлення додаткових пільг, забезпечення належного соціального захисту окремих категорій громадян міста.</t>
  </si>
  <si>
    <t xml:space="preserve">Показники виконання: </t>
  </si>
  <si>
    <t xml:space="preserve">Показник продукту: </t>
  </si>
  <si>
    <t xml:space="preserve">кількість громадян, яким надана матеріальна допомога, осіб </t>
  </si>
  <si>
    <t xml:space="preserve">кількість громадян, яким надані соціальні гарантії, осіб </t>
  </si>
  <si>
    <t>кількість громадян, які вшановуються під час проведенні в місті святкових заходів, осіб</t>
  </si>
  <si>
    <t>середній розмір матеріальної допомоги, грн</t>
  </si>
  <si>
    <t>середній розмір надання соціальних гарантій, грн</t>
  </si>
  <si>
    <t>середній розмір на вшанування однієї особи, грн.</t>
  </si>
  <si>
    <t>Кількість осіб, які мають право на пільговий проїзд електротранспортом, осіб</t>
  </si>
  <si>
    <t>питома вага відшкодованих компенсацій до нарахованих, %</t>
  </si>
  <si>
    <t xml:space="preserve">Показник якості: </t>
  </si>
  <si>
    <t>Показник ефективності:</t>
  </si>
  <si>
    <t>кількість отримувачів пільгових послуг, осіб, в т.ч.:</t>
  </si>
  <si>
    <r>
      <t xml:space="preserve">Показник якості:                                                  </t>
    </r>
    <r>
      <rPr>
        <sz val="11"/>
        <rFont val="Times New Roman"/>
        <family val="1"/>
      </rPr>
      <t xml:space="preserve">  </t>
    </r>
  </si>
  <si>
    <t>кількість отримувачів додаткових гарантій, осіб</t>
  </si>
  <si>
    <t>середній розмір додаткових гарантій, грн.</t>
  </si>
  <si>
    <t>Мета: виплата компенсації за пільговий проїзд електротранспортом окремих категорій громадян</t>
  </si>
  <si>
    <t>Завдання 1. Проведення розрахунків за пільговий проїзд електротранспортом  Почесних донорів України - мешканців міста Суми (100 % пільги).</t>
  </si>
  <si>
    <t>в тому числі:</t>
  </si>
  <si>
    <t>онкохворих дітей разом з членами сім'ї, яким надана пільга (50%), чол.</t>
  </si>
  <si>
    <t>Почесних громадян, яким надана пільга (100%), чол.</t>
  </si>
  <si>
    <t>Почесних донорів, яким надана пільга (25%), чол.</t>
  </si>
  <si>
    <t>Завдання 1. Забезпечити надання матеріальної допомоги окремим громадянам.</t>
  </si>
  <si>
    <t>питома вага відшкодованих пільгових послуг до нарахованих, %</t>
  </si>
  <si>
    <t>Мета: Забезпечення надання соціальних гарантій, встановлених чинним законодавством та Сумською міською радою</t>
  </si>
  <si>
    <t>Завдання 2. Забезпечити надання соціальних гарантій, встановлених Сумською міською радою.</t>
  </si>
  <si>
    <t>Завдання 2. Забезпечити виплату соціальних гарантій громадянам, які мають заслуги перед містом</t>
  </si>
  <si>
    <t>Код програмної класифікації видатків та кредитування</t>
  </si>
  <si>
    <t>динаміка обсягу витрат на надання додаткових соціальних гарантій, порівняно з попереднім роком, %</t>
  </si>
  <si>
    <t>динаміка обсягу витрат на надання пільг у порівнянні з попереднім роком, %</t>
  </si>
  <si>
    <t>динаміка обсягу витрат на надання додаткових гарантій у порівнянні з попереднім роком, %</t>
  </si>
  <si>
    <t xml:space="preserve">Показник затрат: </t>
  </si>
  <si>
    <t>кількість одержувачів безоплатних ліків за рецептами лікарів, осіб</t>
  </si>
  <si>
    <t>середня вартість пільги на безоплатне придбання ліків на одну особу, грн./рік</t>
  </si>
  <si>
    <t>відсоток громадян, які одержали безоплатні ліки, %</t>
  </si>
  <si>
    <t>Кількість підприємств - отримувачів компенсації за пільговий проїзд окремих категорій громадян, од.</t>
  </si>
  <si>
    <t>Завдання 1. Забезпечити надання пільг по оплаті за житлово-комунальні послуги</t>
  </si>
  <si>
    <t>середній розмір витрат на поховання однієї особи, грн.</t>
  </si>
  <si>
    <t>- членів сімей загиблих під час проведення антитерористичної операції (50% пільги, а у разі втрати права на отримання пільг за рахунок коштів державного бюджету - 100% пільги), чол.</t>
  </si>
  <si>
    <t>Відповідальний виконавець: управління освіти і науки Сумської міської ради</t>
  </si>
  <si>
    <t>кількість днів харчування в дошкільнму навчальному закладі</t>
  </si>
  <si>
    <t xml:space="preserve">Відповідальний виконавець: управління освіти і науки Сумської міської ради </t>
  </si>
  <si>
    <t>кількість днів харчування в загальноосвітньому навчальному закладі</t>
  </si>
  <si>
    <t>2016 рік (план)</t>
  </si>
  <si>
    <t>2018 рік (прогноз)</t>
  </si>
  <si>
    <t>середньомісячний розмір компенсації на 1 пільговика за пільговий проїзд електротранспортом , грн.</t>
  </si>
  <si>
    <t>Мета: Забезпечення гарантій соціального захисту громадян, які постраждали внаслідок Чорнобильської катастрофи, щодо  безоплатного придбання ліків за рецептами лікарів.</t>
  </si>
  <si>
    <t>Завдання 1. Забезпечити безоплатне придбання ліків за рецептами лікарів  громадянам, які постраждали внаслідок Чорнобильської катастрофи.</t>
  </si>
  <si>
    <t>Підпрограма 6. Компенсаційні виплати на пільговий проїзд електротранспортом окремим категоріям громадян</t>
  </si>
  <si>
    <t>Підпрограма 7. Пільгове медичне обслуговування громадян, які постраждали внаслідок Чорнобильської катастрофи</t>
  </si>
  <si>
    <t xml:space="preserve">Показник затрат (вхідних ресурсів): </t>
  </si>
  <si>
    <t>кількість установ</t>
  </si>
  <si>
    <t>кількість штатних одиниць персоналу</t>
  </si>
  <si>
    <t>кількість осіб, які перебувають на обліку, чол.</t>
  </si>
  <si>
    <t>середні витрати на надання соціальних послуг  1 особі на рік</t>
  </si>
  <si>
    <t xml:space="preserve">відношення кількості осіб, яким надані послуги до кількості осіб, які перебувають на обліку, % </t>
  </si>
  <si>
    <t>середні витрати на оздоровлення однієї дитини, грн.</t>
  </si>
  <si>
    <t>Завдання 5. Забезпечити здійснення соціального замовлення на надання недержавними суб'єктами послуг із соціального супроводу мешканців міста Суми, які живуть з ВІЛ/СНІД, та членів їх сімей.</t>
  </si>
  <si>
    <t>середній розмір витрат на надання пільг на одного пільговика в рік, грн., в т.ч.:</t>
  </si>
  <si>
    <t>на одного члена сім'ї загиблого в Афганістані воїна-інтернаціоналіста, грн.</t>
  </si>
  <si>
    <t>кількість дітей раннього віку дошкільних навчальних закладів, батьки яких є учасниками антитерористичної операції або загинули під час проведення антитерористичної операції, звільнених від оплати за харчування, осіб</t>
  </si>
  <si>
    <t>середній розмір витрат на одну дитину в день, грн.</t>
  </si>
  <si>
    <t>кількість дітей дошкільного віку дошкільних навчальних закладів, батьки яких є учасниками антитерористичної операції або загинули під час проведення антитерористичної операції, звільнених від оплати за харчування, осіб</t>
  </si>
  <si>
    <t>кількість учнів загальноосвітніх навчальних закладів, батьки яких є учасниками антитерористичної операції або загинули під час проведення антитерористичної операції, забезпечених безоплатними обідами, осіб</t>
  </si>
  <si>
    <t>середній розмір витрат на одного учня в день, грн.</t>
  </si>
  <si>
    <t>динаміка обсягу витрат у порівнянні з попереднім роком, %</t>
  </si>
  <si>
    <t>на одного Почесного громадянина, грн</t>
  </si>
  <si>
    <t>на одного Почесного донора, грн</t>
  </si>
  <si>
    <t>на одну онкохвору дитину разом з членами сім'ї, грн.</t>
  </si>
  <si>
    <t>на одного члена сім'ї загиблого під час проведення антитерористичної операції, грн.</t>
  </si>
  <si>
    <t>кількість людей з обмеженими фізичними можливостями та інших осіб, які не можуть самостійно пересуватися, або пересуваються за допомогою милиць, палиць, візків, осіб</t>
  </si>
  <si>
    <t>середні витрати на надання транспортних послуг на одну особу в рік, грн.</t>
  </si>
  <si>
    <t>кількість роздрукованих повідомлень про призначення (непризначення) житлової субсидії, штук</t>
  </si>
  <si>
    <t>кількість доставлених повідомлень про призначення (непризначення) житлової субсидії, штук</t>
  </si>
  <si>
    <t>середній розмір вартості роздрукованого повідомлення про призначення (непризначення) житлової субсидії, грн.</t>
  </si>
  <si>
    <t xml:space="preserve">учасників антитерористичної операції та членів їх сімей, яким надана пільга (100%), чол. </t>
  </si>
  <si>
    <t>добровольців - учасників антитерористичної операції та членів їх сімей, яким надана пільга (75%), чол.</t>
  </si>
  <si>
    <t>на одного добровольця - учасника антитерористичної операції та членів їх сімей, грн.</t>
  </si>
  <si>
    <t>Завдання 4. Забезпечити поховання загиблих осіб, які захищали незалежність, суверенітет та територіальну цілісність України і брали безпоcередню участь в антитерористичній операції, забезпеченні її проведення, перебуваючи безпосередньо в районах проведення антитерористичної операції та осіб, які померли в період проходження військової служби під час проведення антитерористичної операції.</t>
  </si>
  <si>
    <t>кількість загиблих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проведення антитерористичної операції та осіб, які померли в період проходження військової служби під час проведення антитероритсичної операції, осіб</t>
  </si>
  <si>
    <t>- членам сімей осіб, які загинули під час участі у Революції Гідності  (50% пільги), чол.</t>
  </si>
  <si>
    <t>на одного члена сім'ї особи, яка загинула під час участі у Революції Гідності, грн.</t>
  </si>
  <si>
    <t xml:space="preserve">Відповідальні виконавці: ДСЗН Сумської міської ради </t>
  </si>
  <si>
    <r>
      <t xml:space="preserve">Завдання 2. </t>
    </r>
    <r>
      <rPr>
        <sz val="10"/>
        <rFont val="Times New Roman"/>
        <family val="1"/>
      </rPr>
      <t>Забезпечити передачу іншої субвенції обласному бюджету на здійснення компенсаційних виплат за пільговий проїзд інвалідів війни, учасників бойових дій та добровольців із числа учасників антитерористичної операції автомобільним транспортом на міжміських автобусних маршрутах загального користування у міжобласному та внутрішньообласному сполученнях.</t>
    </r>
  </si>
  <si>
    <t>Мета: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</si>
  <si>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r>
  </si>
  <si>
    <t>Підпрограма 12. Надання пільг, встановлених чинним законодавством</t>
  </si>
  <si>
    <t>Завдання 1. Забезпечення проведення розрахунків з підприємствами автомобільного транспорту за пільговий проїзд окремих категорій громадян</t>
  </si>
  <si>
    <t xml:space="preserve">кількість осіб, які мають право на пільговий проїзд автомобільним транспортом, осіб </t>
  </si>
  <si>
    <t>кількість підприємств-отримувачів компенсації за пільговий проїзд окремих категорій громадян, од.</t>
  </si>
  <si>
    <t>середньомісячний розмір компенсації за пільговий проїзд автомобільним транспортом, грн</t>
  </si>
  <si>
    <t xml:space="preserve">Завдання 2. Забезпечення проведення розрахунків за пільговий проїзд електротранспортом окремих категорій громадян </t>
  </si>
  <si>
    <t xml:space="preserve">кількість осіб, які мають право на пільговий проїзд електротранспортом, осіб </t>
  </si>
  <si>
    <t>питома вага пільговиків, які отримали пільгові послуги, %</t>
  </si>
  <si>
    <t>кількість отримувачів пільг на оплату послуг зв'язку (користування телефоном), осіб</t>
  </si>
  <si>
    <t>кількість отримувачів пільг на оплату послуг зв'язку (встановлення телефонів), осіб</t>
  </si>
  <si>
    <t>середньомісячна вартість витрат на надання пільг з послуг зв'язку (користування телефоном), грн.</t>
  </si>
  <si>
    <t>середня вартість витрат на надання пільг з послуг зв'язку (встановлення телефонів), грн.</t>
  </si>
  <si>
    <t>Показники затрат:</t>
  </si>
  <si>
    <t>Показники продукту:</t>
  </si>
  <si>
    <t>кількість отримувачів компенсації витрат на автомобільне паливо</t>
  </si>
  <si>
    <t>кількість осіб, які мають право на пільговий проїзд один раз на рік (один раз на 2 роки) залізничним транспортом</t>
  </si>
  <si>
    <t>Показники ефективності:</t>
  </si>
  <si>
    <t>середній розмір компенсації витрат на автомобільне паливо</t>
  </si>
  <si>
    <t xml:space="preserve">середня вартість пільгового проїзду один раз на рік (один раз на два роки) залізничним, водним, повітряним або міжміським автомобільним транспортом </t>
  </si>
  <si>
    <t>Показники якості:</t>
  </si>
  <si>
    <t xml:space="preserve">частка пільговиків, які отримали компенсацію витрат на автомобільне паливо </t>
  </si>
  <si>
    <t>обсяг видатків на пільговий проїзд один раз на рік (один раз на два роки) залізничним транспортом</t>
  </si>
  <si>
    <t>Підпрограма 13.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</si>
  <si>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середній розмір витрат на надання пільг щодо оплати комунальних послуг на одну громадську організацію, грн.</t>
  </si>
  <si>
    <t>Завдання 6. Забезпечити надання пільг громадським організаціям по оплаті за користування комунальними послугами.</t>
  </si>
  <si>
    <t>кількість громадських організацій, яким надані пільги по оплаті за користування комунальними послугами, од.</t>
  </si>
  <si>
    <t>кількість осіб, які подали заяви на проведення безоплатного капітального ремонту будинків (квартир)</t>
  </si>
  <si>
    <t xml:space="preserve">обсяг видатків на капітальний ремонт будинків і квартир </t>
  </si>
  <si>
    <t>середня вартість капітального ремонту будинків (квартир)</t>
  </si>
  <si>
    <t xml:space="preserve">частка пільговиків, які використали право на пільговий проїзд один раз на рік (один раз на два роки) залізничним транспортом </t>
  </si>
  <si>
    <t>частка пільговиків, яким відремонтовано будинки (квартири)</t>
  </si>
  <si>
    <t xml:space="preserve">Відповідальні виконавці: ДСЗН та виконавчий комітет Сумської міської ради </t>
  </si>
  <si>
    <t>Відповідальний виконавець:  ДСЗН Сумської міської ради</t>
  </si>
  <si>
    <t>Відповідальний виконавець: ДСЗН Сумської міської ради</t>
  </si>
  <si>
    <t>Результативні показники виконання завдань міської програми «Місто Суми - територія добра та милосердя»  на 2016-2018 роки»</t>
  </si>
  <si>
    <t>Завдання 1. Забезпечити безкоштовним харчуванням дітей раннього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</si>
  <si>
    <t>Завдання 2. Забезпечити безкоштовним харчуванням дітей дошкільного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</si>
  <si>
    <t>Завдання 1. Забезпечити безкоштовним харчуванням  учнів загальноосвітніх навчальних закладів, батьки яких безпосередньо беруть, брали участь у проведенні антитерористичної операції або занинули під час проведення антитерористичної операції.</t>
  </si>
  <si>
    <t>вартість одного новорічного подарунку, грн.</t>
  </si>
  <si>
    <t>Завдання 4. Організація оздоровлення та забезпечення відпочинком дітей, які потребують особливої соціальної уваги та підтримки.</t>
  </si>
  <si>
    <t>Підпрограма 10. Надання транспортних послуг "Соціальне таксі" при комунальній установі "Сумський міський територіальний центр соціального обслуговування (надання соціальних послуг) "Берегиня"</t>
  </si>
  <si>
    <t>Мета: забезпечення надання транспортних послуг "Соціальне таксі" людям з обмеженими фізичними можливостями та іншим особам, які не можуть самостійно пересуватися, або пересуваються за допомогою милиць, палиць, візків.</t>
  </si>
  <si>
    <t>Завдання 1. Надання  транспортних послуг "Соціальне таксі" людям з обмеженими фізичними можливостями.</t>
  </si>
  <si>
    <t>Відповідальні виконавці, КПКВК, завдання програми, результативні показники</t>
  </si>
  <si>
    <t>КПКВК 1011070</t>
  </si>
  <si>
    <t>Підпрограма 11. Забезпечення обробки інформації з нарахування та виплати допомог і компенсацій.</t>
  </si>
  <si>
    <t>Мета: Обробка інформації з нарахування та виплати допомог, компенсацій та субсидій.</t>
  </si>
  <si>
    <t>Завдання 1. Забезпечення інформування мешканців міста Суми про прийняте рішення про призначення (непризначення) житлової субсидії</t>
  </si>
  <si>
    <t>Показник затрат:</t>
  </si>
  <si>
    <t>обсяг витрат на письмове інформування заявників про прийняте рішення, тис. грн.</t>
  </si>
  <si>
    <t>середній розмір вартості доставки повідомлення про призначення (непризначення) житлової субсидії, грн.</t>
  </si>
  <si>
    <t>обсяг витрат на обробку інформації з нарахування та виплати допомог, компенсацій та субсидій за особовими справами, тис. грн.</t>
  </si>
  <si>
    <t>загальна кількість справ, штук</t>
  </si>
  <si>
    <t>середні витрати на обробку однієї справи, грн./рік</t>
  </si>
  <si>
    <t>рівень обробки інформації, %</t>
  </si>
  <si>
    <t>Завдання 2. Обробка інформації з нарахування та виплати допомог, компенсацій та субсидій за особовими справами, за якими здійснюються зазначені нарахування та виплати</t>
  </si>
  <si>
    <t xml:space="preserve">кількість осіб, які мають право на пільговий проїзд залізничним транспортом приміського сполучення, осіб </t>
  </si>
  <si>
    <t>середньомісячний розмір компенсації за пільговий проїзд залізничним транспортом приміського сполучення, грн</t>
  </si>
  <si>
    <t xml:space="preserve">кількість учнів загальноосвітніх навчальних закладів, батьки яких безпосередньо беруть, брали участь у проведенні антитерористичної операції або загинули під час проведення анттитерористичної операції, яким надані послуги з оздоровлення, осіб </t>
  </si>
  <si>
    <t xml:space="preserve">кількість учнів загальноосвітніх навчальних закладів,батьки яких є учасниками бойових дій в Афганістані, яким надані послуги з оздоровлення, осіб </t>
  </si>
  <si>
    <t xml:space="preserve">  </t>
  </si>
  <si>
    <t>Завдання 3. Забезпечити безкоштовним харчуванням дітей раннього віку дошкільних навчальних закладів:</t>
  </si>
  <si>
    <t>Завдання 4. Забезпечити безкоштовним харчуванням дітей дошкільного віку дошкільних навчальних закладів:</t>
  </si>
  <si>
    <t>Завдання 2. Забезпечити безкоштовним харчуванням  учнів загальноосвітніх навчальних закладів:</t>
  </si>
  <si>
    <t xml:space="preserve">кількість учнів загальноосвітніх навчальних закладів, батьки яких загинули або отримали тілесні ушкодження під час участі у Революції Гідності, яким надані послуги з оздоровлення, осіб </t>
  </si>
  <si>
    <t>Завдання 3. Забезпечити проведення заходів для ветеранів війни та праці, осіб з інвалідністю та дітей з інвалідністю, громадян постраждалих внаслідок аварії на ЧАЕС.</t>
  </si>
  <si>
    <t>___________</t>
  </si>
  <si>
    <t xml:space="preserve">  - сім’ям загиблих в Афганістані воїнів-інтернаціоналістів                          (100% пільги (за виключенням розміру пільг, які надаються за рахунок коштів державного бюджету));</t>
  </si>
  <si>
    <t>Додаток 6</t>
  </si>
  <si>
    <t>Завдання 7. Забезпечити новорічними подарунками дітей віком до 14 років з багатодітних сімей, де виховуються четверо і більше дітей, та які не перебувають на обліку в закладах освіти міста.</t>
  </si>
  <si>
    <t>кількість дітей віком до 14 років з багатодітних сімей, де виховуються четверо і більше дітей, та які не перебувають на обліку в закладах освіти міста, осіб</t>
  </si>
  <si>
    <t>Підпрограма 4.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</si>
  <si>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</si>
  <si>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осіб з інвалідністю І-ІІ гр. по зору разом з членами сім'ї, яким надана пільга (50%), чол.</t>
  </si>
  <si>
    <t>Завдання 1. Забезпечення надання пільг населенню на оплату житлово-комунальних послуг</t>
  </si>
  <si>
    <t>на одну особу з інвалідністю І-ІІ групи по зору разом з членами сім'ї, грн</t>
  </si>
  <si>
    <t>середній розмір витрат на надання пільг щодо оплати житлово-комунальних послуг на одного пільговика в рік, грн., в т.ч.:</t>
  </si>
  <si>
    <t>на одну особу з інвалідністю з дитинства з діагнозом ДЦП або дитину з інвалідністю з діагнозом ДЦП, грн</t>
  </si>
  <si>
    <t>КПКВК 0813036</t>
  </si>
  <si>
    <t>0813036</t>
  </si>
  <si>
    <t>КПКВК 0813050</t>
  </si>
  <si>
    <t>0813050</t>
  </si>
  <si>
    <t>КПКВК 0611010</t>
  </si>
  <si>
    <t>0611010</t>
  </si>
  <si>
    <t>Підпрограма 8. Соціальна підтримка вихованців дошкільних навчальних закладів, які потребують особливої соціальної уваги.</t>
  </si>
  <si>
    <t>Мета: забезпечення надання соціальних гарантій вихованцям дошкільних навчальних закладів, які потребують особливої соціальної уваги.</t>
  </si>
  <si>
    <t>кількість дітей, батьки яких є учасниками бойових дій в Афганістані, звільнених від оплати за харчування, осіб</t>
  </si>
  <si>
    <t>кількість дітей,  батьки яких загинули або отримали тілесні ушкодження під час участі у Революції Гідності, звільнених від оплати за харчування, осіб</t>
  </si>
  <si>
    <t>кількість дітей, батьки яких безпосередньо беруть, брали участь у проведенні антитерористичної операції або загинули під час проведення антитерористичної операції, які отримають новорічні подарунки, осіб</t>
  </si>
  <si>
    <t>кількість дітей, батьки яких є учасниками бойових дій в Афганістані, які отримають новорічні подарунки, осіб</t>
  </si>
  <si>
    <t>кількість дітей, батьки яких загинули або отримали тілесні ушкодження під час участі у Революції Гідності, які отримають новорічні подарунки, осіб</t>
  </si>
  <si>
    <t>кількість дітей з багатодітних сімей, де виховуються четверо і більше дітей, які отримають новорічні подарунки, осіб</t>
  </si>
  <si>
    <t>Підпрограма 9. Соціальна підтримка учнів та вихованців навчальних закладів, які потребують особливої соціальної уваги.</t>
  </si>
  <si>
    <t>Мета: забезпечення надання соціальних гарантій учням навчальних закладів, які потребують особливої соціальної уваги.</t>
  </si>
  <si>
    <t>КПКВК 0611020</t>
  </si>
  <si>
    <t>0611020</t>
  </si>
  <si>
    <t>кількість учнів, батьки яких є учасниками бойових дій в Афганістані, забезпечених безоплатними обідами, осіб</t>
  </si>
  <si>
    <t>Завдання 3. Забезпечити новорічними подарунками учнів загальноосвітніх навчальних закладів, вихованців та учнів навчально-виховних комплексів.</t>
  </si>
  <si>
    <t>кількість учнів, батьки яких безпосередньо беруть, брали участь у проведенні антитерористичної операції або загинули під час проведення анттитерористичної операції, які отримають новорічні подарунки, осіб</t>
  </si>
  <si>
    <t>кількість учнів та вихованців, батьки яких є учасниками бойових дій в Афганістані, які отримають новорічні подарунки, осіб</t>
  </si>
  <si>
    <t>кількість учнів та вихованців, батьки яких отримали тілесні ушкодження під час участі у Революції Гідності, які отримають новорічні подарунки, осіб</t>
  </si>
  <si>
    <t>кількість учнів та вихованців віком до 14 років з багатодітних сімей, де виховуються четверо і більше дітей, які отримають новорічні подарунки, осіб</t>
  </si>
  <si>
    <t>КПКВК 0613140</t>
  </si>
  <si>
    <t>0613140</t>
  </si>
  <si>
    <t>Завдання 5. Забезпечити новорічними подарунками учнів спеціального загальноосвітнього навчального закладу, батьки яких безпосередньо беруть, брали участь у проведенні антитерористичної операції або загинули під час проведення антитерористичної операції, учнів батьки яких є учасниками бойових дій в Афганістані, а також учнів віком до 14 років з багатодітних сімей, де виховуються четверо і більше дітей.</t>
  </si>
  <si>
    <t>кількість учнів спеціального загальноосвітнього навчального закладу, батьки яких безпосередньо беруть, брали участь у проведенні антитерористичної операції або загинули під час проведення антитерористичної операції, учнів батьки яких є учасниками бойових дій в Афганістані, а також учнів віком до 14 років з багатодітних сімей, де виховуються четверо і більше дітей, які отримають новорічні подарунки, осіб</t>
  </si>
  <si>
    <t>КПКВК 0813104</t>
  </si>
  <si>
    <t>0813104</t>
  </si>
  <si>
    <t>Мета: забезпечення надання пільг  окремим категоріям громадян з оплати послуг зв’язку, проїзду, ремонту будинків і квартир, компенсації витрат на автомобільне паливо</t>
  </si>
  <si>
    <t>0813030</t>
  </si>
  <si>
    <t>КПКВК 0813033</t>
  </si>
  <si>
    <t>КПКВК 0813032</t>
  </si>
  <si>
    <t>КПКВК 0813031</t>
  </si>
  <si>
    <t xml:space="preserve"> обсяг видатків для надання інших передбачених законодавством пільг громадянам, які постраждали внаслідок Чорнобильської катастрофи </t>
  </si>
  <si>
    <t>кількість громадянам, які постраждали внаслідок Чорнобильської катастрофи, яким надані інші пільги, осіб</t>
  </si>
  <si>
    <t>середня вартість пільги, наданої громадянам, які постраждали внаслідок Чорнобильської катастрофи</t>
  </si>
  <si>
    <t>частка громадян. які постраждали внаслідок Чорнобильської катастрофи, яким надані інші пільги</t>
  </si>
  <si>
    <t>КПКВК 0819770</t>
  </si>
  <si>
    <t>0819770</t>
  </si>
  <si>
    <t>Завдання 5. Забезпечити новорічними подарунками вихованців дошкільних навчальних закладів.</t>
  </si>
  <si>
    <t>кількість учнів, батьки яких загинули або отримали тілесні ушкодження під час участі у Революції Гідності, забезпечених безоплатними обідами, осіб</t>
  </si>
  <si>
    <t>осіб з інвалідністю з дитинства I та II групи з діагнозом ДЦП (крім осіб з інвалідністю І А групи) та дітям з інвалідністю з діагнозом ДЦП, яким надана пільга (50 % пільги), а також особам з інвалідністю з дитинства І А групи з діагнозом ДЦП, яким надана пільга (100% пільги), чол.;</t>
  </si>
  <si>
    <t>Продовження додатка 6</t>
  </si>
  <si>
    <t>КПКВК 0813242, КПКВК 0213242</t>
  </si>
  <si>
    <t>0813242</t>
  </si>
  <si>
    <t>0213242</t>
  </si>
  <si>
    <t>КПКВК 0813192</t>
  </si>
  <si>
    <t>0813192</t>
  </si>
  <si>
    <t>КПКВК 0813180</t>
  </si>
  <si>
    <t>0813180</t>
  </si>
  <si>
    <t>КПКВК  0813191</t>
  </si>
  <si>
    <t>0813191</t>
  </si>
  <si>
    <t>КПКВК 0813200</t>
  </si>
  <si>
    <t>0813200</t>
  </si>
  <si>
    <t>Підпрограма 5. Соціальні пільги та гарантії громадянам, які мають заслуги перед містом та сім'ям загиблих</t>
  </si>
  <si>
    <t>на одного учасника антитерористичної операції та членів їх сімей, грн.</t>
  </si>
  <si>
    <t>Підпрограма 3. Надання фінансової підтримки громадським організаціям ветеранів і осіб з інвалідністю, діяльність яких має соціальну спрямованість.</t>
  </si>
  <si>
    <t>Мета: Фінансова допомога громадським організаціям ветеранів і осіб з інвалідністю для захисту інтересів ветеранів і осіб з інвалідністю, інтеграції осіб з інвалідністю у суспільство.</t>
  </si>
  <si>
    <t>Завдання 1. Реалізація соціального захисту та соціального забезпечення ветеранів і осіб з інвалідністю  шляхом надання фінансової підтримки таким громадським організаціям.</t>
  </si>
  <si>
    <t>кількість громадських організацій ветеранів і осіб з інвалідністю, яким надана фінансова підтримка, од.</t>
  </si>
  <si>
    <t>кількість заходів, проведених громадськими організаціями ветеранів і осіб з інвалідністю, од.</t>
  </si>
  <si>
    <t>середні витрати на проведення одного заходу громадськими організаціями ветеранів та громадськими організаціями осіб з інвалідністю, тис. грн.</t>
  </si>
  <si>
    <t>динаміка кількості заходів, спрямованих на забезпечення ефективного розв'язання соціальних проблем ветеранів та осіб з інвалідністю, у порівнянні з попереднім роком, %</t>
  </si>
  <si>
    <t>Завдання 3. Забезпечення надання пільг з оплати послуг зв'язку</t>
  </si>
  <si>
    <t>Завдання 4. Забезпечення надання  інших пільг окремим категоріям громадян відповідно до законодавства:</t>
  </si>
  <si>
    <t>обсяг видатків на компенсацію витрат на автомобільне паливо</t>
  </si>
  <si>
    <t>Завдання 5.  Проведення розрахунків за пільговий проїзд окремих категорій громадян залізничним транспортом приміського сполучення</t>
  </si>
  <si>
    <t xml:space="preserve"> </t>
  </si>
  <si>
    <t>до рішення Сумської міської ради                                                         "Про внесення змін до рішення Сумської міської ради від 24 грудня 2015 року № 148-МР "Про затвердження міської програми "Місто Суми - територія добра та милосердя" на 2016-2018 роки" (зі змінами)</t>
  </si>
  <si>
    <t>Виконавець: Масік Т.О.</t>
  </si>
  <si>
    <t>2017 рік (план)</t>
  </si>
  <si>
    <t>КПКВК 0813035</t>
  </si>
  <si>
    <t>від 28 березня 2018 року № 3181-МР</t>
  </si>
  <si>
    <t>Секретар Сумської міської ради</t>
  </si>
  <si>
    <t>А.В.Баранов</t>
  </si>
</sst>
</file>

<file path=xl/styles.xml><?xml version="1.0" encoding="utf-8"?>
<styleSheet xmlns="http://schemas.openxmlformats.org/spreadsheetml/2006/main">
  <numFmts count="6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0"/>
    <numFmt numFmtId="217" formatCode="0.000"/>
    <numFmt numFmtId="218" formatCode="#,##0.0"/>
    <numFmt numFmtId="219" formatCode="#,##0.0\ &quot;грн.&quot;"/>
    <numFmt numFmtId="220" formatCode="0.00000"/>
    <numFmt numFmtId="221" formatCode="0.0000"/>
    <numFmt numFmtId="222" formatCode="#,##0.000"/>
  </numFmts>
  <fonts count="74">
    <font>
      <sz val="10"/>
      <name val="Arial"/>
      <family val="0"/>
    </font>
    <font>
      <sz val="10"/>
      <name val="Times New Roman"/>
      <family val="1"/>
    </font>
    <font>
      <b/>
      <sz val="12"/>
      <name val="Times New Roman"/>
      <family val="1"/>
    </font>
    <font>
      <b/>
      <sz val="11"/>
      <name val="Times New Roman"/>
      <family val="1"/>
    </font>
    <font>
      <sz val="11"/>
      <name val="Times New Roman"/>
      <family val="1"/>
    </font>
    <font>
      <b/>
      <sz val="13"/>
      <name val="Times New Roman"/>
      <family val="1"/>
    </font>
    <font>
      <sz val="12"/>
      <name val="Times New Roman"/>
      <family val="1"/>
    </font>
    <font>
      <b/>
      <sz val="10"/>
      <name val="Times New Roman"/>
      <family val="1"/>
    </font>
    <font>
      <b/>
      <sz val="14"/>
      <name val="Times New Roman"/>
      <family val="1"/>
    </font>
    <font>
      <sz val="14"/>
      <name val="Times New Roman"/>
      <family val="1"/>
    </font>
    <font>
      <u val="single"/>
      <sz val="10"/>
      <color indexed="12"/>
      <name val="Arial"/>
      <family val="2"/>
    </font>
    <font>
      <u val="single"/>
      <sz val="10"/>
      <color indexed="36"/>
      <name val="Arial"/>
      <family val="2"/>
    </font>
    <font>
      <b/>
      <sz val="11"/>
      <name val="Arial"/>
      <family val="2"/>
    </font>
    <font>
      <sz val="12"/>
      <name val="Arial"/>
      <family val="2"/>
    </font>
    <font>
      <sz val="13"/>
      <name val="Times New Roman"/>
      <family val="1"/>
    </font>
    <font>
      <sz val="13"/>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indexed="10"/>
      <name val="Times New Roman"/>
      <family val="1"/>
    </font>
    <font>
      <sz val="10"/>
      <color indexed="10"/>
      <name val="Arial"/>
      <family val="2"/>
    </font>
    <font>
      <sz val="14"/>
      <color indexed="10"/>
      <name val="Times New Roman"/>
      <family val="1"/>
    </font>
    <font>
      <sz val="12"/>
      <color indexed="10"/>
      <name val="Times New Roman"/>
      <family val="1"/>
    </font>
    <font>
      <b/>
      <sz val="14"/>
      <color indexed="10"/>
      <name val="Times New Roman"/>
      <family val="1"/>
    </font>
    <font>
      <b/>
      <sz val="13"/>
      <color indexed="10"/>
      <name val="Times New Roman"/>
      <family val="1"/>
    </font>
    <font>
      <b/>
      <sz val="12"/>
      <color indexed="10"/>
      <name val="Times New Roman"/>
      <family val="1"/>
    </font>
    <font>
      <b/>
      <sz val="10"/>
      <color indexed="10"/>
      <name val="Arial"/>
      <family val="2"/>
    </font>
    <font>
      <b/>
      <sz val="11"/>
      <color indexed="10"/>
      <name val="Times New Roman"/>
      <family val="1"/>
    </font>
    <font>
      <sz val="13"/>
      <color indexed="10"/>
      <name val="Times New Roman"/>
      <family val="1"/>
    </font>
    <font>
      <sz val="12"/>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1"/>
      <color rgb="FFFF0000"/>
      <name val="Times New Roman"/>
      <family val="1"/>
    </font>
    <font>
      <sz val="10"/>
      <color rgb="FFFF0000"/>
      <name val="Arial"/>
      <family val="2"/>
    </font>
    <font>
      <sz val="14"/>
      <color rgb="FFFF0000"/>
      <name val="Times New Roman"/>
      <family val="1"/>
    </font>
    <font>
      <sz val="12"/>
      <color rgb="FFFF0000"/>
      <name val="Times New Roman"/>
      <family val="1"/>
    </font>
    <font>
      <b/>
      <sz val="14"/>
      <color rgb="FFFF0000"/>
      <name val="Times New Roman"/>
      <family val="1"/>
    </font>
    <font>
      <b/>
      <sz val="13"/>
      <color rgb="FFFF0000"/>
      <name val="Times New Roman"/>
      <family val="1"/>
    </font>
    <font>
      <b/>
      <sz val="12"/>
      <color rgb="FFFF0000"/>
      <name val="Times New Roman"/>
      <family val="1"/>
    </font>
    <font>
      <b/>
      <sz val="10"/>
      <color rgb="FFFF0000"/>
      <name val="Arial"/>
      <family val="2"/>
    </font>
    <font>
      <b/>
      <sz val="11"/>
      <color rgb="FFFF0000"/>
      <name val="Times New Roman"/>
      <family val="1"/>
    </font>
    <font>
      <sz val="13"/>
      <color rgb="FFFF0000"/>
      <name val="Times New Roman"/>
      <family val="1"/>
    </font>
    <font>
      <sz val="1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0"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11"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32" borderId="0" applyNumberFormat="0" applyBorder="0" applyAlignment="0" applyProtection="0"/>
  </cellStyleXfs>
  <cellXfs count="215">
    <xf numFmtId="0" fontId="0" fillId="0" borderId="0" xfId="0" applyAlignment="1">
      <alignment/>
    </xf>
    <xf numFmtId="0" fontId="15" fillId="0" borderId="0" xfId="0" applyFont="1" applyFill="1" applyAlignment="1">
      <alignment/>
    </xf>
    <xf numFmtId="0" fontId="9" fillId="0" borderId="0" xfId="0" applyFont="1" applyFill="1" applyAlignment="1">
      <alignment horizontal="left"/>
    </xf>
    <xf numFmtId="0" fontId="9" fillId="0" borderId="0" xfId="0" applyFont="1" applyFill="1" applyAlignment="1">
      <alignment/>
    </xf>
    <xf numFmtId="0" fontId="0" fillId="0" borderId="0" xfId="0" applyFont="1" applyFill="1" applyAlignment="1">
      <alignment/>
    </xf>
    <xf numFmtId="0" fontId="4" fillId="0" borderId="10" xfId="0" applyFont="1" applyFill="1" applyBorder="1" applyAlignment="1">
      <alignment horizontal="justify" vertical="center" wrapText="1"/>
    </xf>
    <xf numFmtId="0" fontId="3" fillId="0" borderId="10" xfId="0" applyFont="1" applyFill="1" applyBorder="1" applyAlignment="1">
      <alignment horizontal="justify" vertical="center" wrapText="1" shrinkToFit="1"/>
    </xf>
    <xf numFmtId="0" fontId="4" fillId="0" borderId="10" xfId="0" applyFont="1" applyFill="1" applyBorder="1" applyAlignment="1">
      <alignment horizontal="justify" vertical="top" wrapText="1"/>
    </xf>
    <xf numFmtId="0" fontId="3" fillId="0" borderId="10" xfId="0" applyFont="1" applyFill="1" applyBorder="1" applyAlignment="1">
      <alignment horizontal="justify" vertical="top" wrapText="1"/>
    </xf>
    <xf numFmtId="0" fontId="4" fillId="0" borderId="10" xfId="0" applyFont="1" applyFill="1" applyBorder="1" applyAlignment="1">
      <alignment horizontal="justify" vertical="center" wrapText="1" shrinkToFit="1"/>
    </xf>
    <xf numFmtId="0" fontId="0" fillId="0" borderId="0" xfId="0" applyFont="1" applyFill="1" applyBorder="1" applyAlignment="1">
      <alignment/>
    </xf>
    <xf numFmtId="0" fontId="4" fillId="0" borderId="0" xfId="0" applyFont="1" applyFill="1" applyBorder="1" applyAlignment="1">
      <alignment horizontal="left" vertical="top" wrapText="1"/>
    </xf>
    <xf numFmtId="0" fontId="62" fillId="0" borderId="0" xfId="0" applyFont="1" applyFill="1" applyAlignment="1">
      <alignment horizontal="center"/>
    </xf>
    <xf numFmtId="0" fontId="3" fillId="0" borderId="10" xfId="0" applyFont="1" applyFill="1" applyBorder="1" applyAlignment="1">
      <alignment horizontal="center" vertical="center" wrapText="1"/>
    </xf>
    <xf numFmtId="0" fontId="2" fillId="0" borderId="10" xfId="0" applyFont="1" applyFill="1" applyBorder="1" applyAlignment="1">
      <alignment horizontal="justify" vertical="top"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left" vertical="center" wrapText="1" shrinkToFit="1"/>
    </xf>
    <xf numFmtId="1" fontId="4" fillId="0" borderId="10" xfId="0" applyNumberFormat="1" applyFont="1" applyFill="1" applyBorder="1" applyAlignment="1">
      <alignment horizontal="left" wrapText="1"/>
    </xf>
    <xf numFmtId="1" fontId="3" fillId="0" borderId="10" xfId="0" applyNumberFormat="1" applyFont="1" applyFill="1" applyBorder="1" applyAlignment="1">
      <alignment horizontal="left" wrapText="1"/>
    </xf>
    <xf numFmtId="0" fontId="4" fillId="0" borderId="10" xfId="0" applyFont="1" applyFill="1" applyBorder="1" applyAlignment="1">
      <alignment horizontal="left" vertical="center" wrapText="1" shrinkToFit="1"/>
    </xf>
    <xf numFmtId="0" fontId="3" fillId="0" borderId="10" xfId="0" applyFont="1" applyFill="1" applyBorder="1" applyAlignment="1">
      <alignment horizontal="justify" vertical="center" wrapText="1"/>
    </xf>
    <xf numFmtId="0" fontId="63" fillId="0" borderId="0" xfId="0" applyFont="1" applyFill="1" applyBorder="1" applyAlignment="1">
      <alignment horizontal="justify" vertical="top" wrapText="1"/>
    </xf>
    <xf numFmtId="1" fontId="4" fillId="0" borderId="10" xfId="0" applyNumberFormat="1" applyFont="1" applyFill="1" applyBorder="1" applyAlignment="1">
      <alignment horizontal="justify" vertical="center" wrapText="1"/>
    </xf>
    <xf numFmtId="0" fontId="3" fillId="0" borderId="10" xfId="0" applyFont="1" applyFill="1" applyBorder="1" applyAlignment="1">
      <alignment/>
    </xf>
    <xf numFmtId="0" fontId="4" fillId="0" borderId="10" xfId="0" applyFont="1" applyFill="1" applyBorder="1" applyAlignment="1">
      <alignment horizontal="justify" wrapText="1"/>
    </xf>
    <xf numFmtId="2" fontId="3" fillId="0" borderId="10" xfId="0" applyNumberFormat="1" applyFont="1" applyFill="1" applyBorder="1" applyAlignment="1">
      <alignment horizontal="justify" vertical="center" wrapText="1" shrinkToFit="1"/>
    </xf>
    <xf numFmtId="0" fontId="4" fillId="0" borderId="1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0" xfId="0" applyFont="1" applyFill="1" applyBorder="1" applyAlignment="1">
      <alignment horizontal="justify" vertical="center"/>
    </xf>
    <xf numFmtId="0" fontId="2" fillId="0" borderId="10" xfId="0" applyFont="1" applyFill="1" applyBorder="1" applyAlignment="1">
      <alignment horizontal="center" vertical="center"/>
    </xf>
    <xf numFmtId="49" fontId="3" fillId="0" borderId="10" xfId="0" applyNumberFormat="1" applyFont="1" applyFill="1" applyBorder="1" applyAlignment="1">
      <alignment horizontal="justify" vertical="center" wrapText="1"/>
    </xf>
    <xf numFmtId="49" fontId="4" fillId="0" borderId="10" xfId="0" applyNumberFormat="1" applyFont="1" applyFill="1" applyBorder="1" applyAlignment="1">
      <alignment horizontal="justify" vertical="top" wrapText="1"/>
    </xf>
    <xf numFmtId="0" fontId="4" fillId="0" borderId="10" xfId="0" applyFont="1" applyFill="1" applyBorder="1" applyAlignment="1">
      <alignment horizontal="left" vertical="top" wrapText="1"/>
    </xf>
    <xf numFmtId="0" fontId="4" fillId="0" borderId="10" xfId="0" applyFont="1" applyFill="1" applyBorder="1" applyAlignment="1">
      <alignment wrapText="1"/>
    </xf>
    <xf numFmtId="0" fontId="2" fillId="0" borderId="10" xfId="0" applyFont="1" applyFill="1" applyBorder="1" applyAlignment="1">
      <alignment horizontal="left"/>
    </xf>
    <xf numFmtId="49" fontId="4" fillId="0" borderId="10" xfId="0" applyNumberFormat="1" applyFont="1" applyFill="1" applyBorder="1" applyAlignment="1">
      <alignment horizontal="justify" vertical="center" wrapText="1" shrinkToFit="1"/>
    </xf>
    <xf numFmtId="0" fontId="3" fillId="0" borderId="10" xfId="0" applyFont="1" applyFill="1" applyBorder="1" applyAlignment="1">
      <alignment horizontal="left" vertical="top" wrapText="1"/>
    </xf>
    <xf numFmtId="0" fontId="2" fillId="0" borderId="10" xfId="0" applyFont="1" applyFill="1" applyBorder="1" applyAlignment="1">
      <alignment horizontal="center" vertical="top" wrapText="1"/>
    </xf>
    <xf numFmtId="0" fontId="2" fillId="0" borderId="10" xfId="0" applyFont="1" applyFill="1" applyBorder="1" applyAlignment="1">
      <alignment horizontal="left" vertical="center"/>
    </xf>
    <xf numFmtId="0" fontId="3" fillId="0" borderId="10" xfId="0" applyFont="1" applyFill="1" applyBorder="1" applyAlignment="1">
      <alignment vertical="top" wrapText="1"/>
    </xf>
    <xf numFmtId="0" fontId="4" fillId="0" borderId="10" xfId="0" applyFont="1" applyFill="1" applyBorder="1" applyAlignment="1">
      <alignment vertical="top" wrapText="1"/>
    </xf>
    <xf numFmtId="49" fontId="3" fillId="0" borderId="10" xfId="0" applyNumberFormat="1" applyFont="1" applyFill="1" applyBorder="1" applyAlignment="1">
      <alignment horizontal="justify" vertical="center" wrapText="1" shrinkToFit="1"/>
    </xf>
    <xf numFmtId="49" fontId="4" fillId="0" borderId="10" xfId="0" applyNumberFormat="1" applyFont="1" applyFill="1" applyBorder="1" applyAlignment="1">
      <alignment horizontal="justify" vertical="top" wrapText="1" shrinkToFit="1"/>
    </xf>
    <xf numFmtId="0" fontId="4" fillId="0" borderId="10" xfId="0" applyFont="1" applyFill="1" applyBorder="1" applyAlignment="1">
      <alignment horizontal="justify" vertical="center"/>
    </xf>
    <xf numFmtId="49" fontId="1" fillId="0" borderId="10" xfId="0" applyNumberFormat="1" applyFont="1" applyFill="1" applyBorder="1" applyAlignment="1">
      <alignment horizontal="justify" vertical="center" wrapText="1"/>
    </xf>
    <xf numFmtId="49" fontId="3" fillId="0" borderId="10" xfId="0" applyNumberFormat="1" applyFont="1" applyFill="1" applyBorder="1" applyAlignment="1">
      <alignment horizontal="justify" vertical="center"/>
    </xf>
    <xf numFmtId="0" fontId="7" fillId="0" borderId="10" xfId="0" applyFont="1" applyFill="1" applyBorder="1" applyAlignment="1">
      <alignment vertical="top" wrapText="1"/>
    </xf>
    <xf numFmtId="0" fontId="5" fillId="0" borderId="10" xfId="0" applyFont="1" applyFill="1" applyBorder="1" applyAlignment="1">
      <alignment horizontal="center" vertical="top" wrapText="1"/>
    </xf>
    <xf numFmtId="0" fontId="7" fillId="0" borderId="10" xfId="0" applyFont="1" applyFill="1" applyBorder="1" applyAlignment="1">
      <alignment horizontal="justify" vertical="top" wrapText="1"/>
    </xf>
    <xf numFmtId="0" fontId="4" fillId="0" borderId="10" xfId="0" applyFont="1" applyFill="1" applyBorder="1" applyAlignment="1">
      <alignment/>
    </xf>
    <xf numFmtId="0" fontId="4" fillId="0" borderId="10" xfId="0" applyFont="1" applyFill="1" applyBorder="1" applyAlignment="1">
      <alignment horizontal="left" vertical="center"/>
    </xf>
    <xf numFmtId="0" fontId="5" fillId="0" borderId="10" xfId="0" applyFont="1" applyFill="1" applyBorder="1" applyAlignment="1">
      <alignment horizontal="center" vertical="center" wrapText="1"/>
    </xf>
    <xf numFmtId="1" fontId="3" fillId="0" borderId="10" xfId="0" applyNumberFormat="1" applyFont="1" applyFill="1" applyBorder="1" applyAlignment="1">
      <alignment horizontal="justify" vertical="center" wrapText="1"/>
    </xf>
    <xf numFmtId="0" fontId="7" fillId="0" borderId="10" xfId="0" applyFont="1" applyFill="1" applyBorder="1" applyAlignment="1">
      <alignment horizontal="justify" vertical="center" wrapText="1"/>
    </xf>
    <xf numFmtId="0" fontId="7" fillId="0" borderId="10" xfId="0" applyFont="1" applyFill="1" applyBorder="1" applyAlignment="1">
      <alignment horizontal="justify" vertical="center" wrapText="1" shrinkToFit="1"/>
    </xf>
    <xf numFmtId="0" fontId="64" fillId="0" borderId="0" xfId="0" applyFont="1" applyFill="1" applyAlignment="1">
      <alignment/>
    </xf>
    <xf numFmtId="0" fontId="9" fillId="0" borderId="0" xfId="0" applyFont="1" applyFill="1" applyAlignment="1">
      <alignment vertical="center" wrapText="1"/>
    </xf>
    <xf numFmtId="0" fontId="4" fillId="0" borderId="0" xfId="0" applyFont="1" applyFill="1" applyAlignment="1">
      <alignment vertical="center" wrapText="1"/>
    </xf>
    <xf numFmtId="0" fontId="7" fillId="0" borderId="10" xfId="0" applyFont="1" applyFill="1" applyBorder="1" applyAlignment="1">
      <alignment horizontal="left" vertical="center" wrapText="1"/>
    </xf>
    <xf numFmtId="4" fontId="5" fillId="0" borderId="10" xfId="0" applyNumberFormat="1" applyFont="1" applyFill="1" applyBorder="1" applyAlignment="1">
      <alignment horizontal="center" vertical="center" wrapText="1"/>
    </xf>
    <xf numFmtId="4" fontId="4" fillId="0" borderId="10" xfId="0" applyNumberFormat="1" applyFont="1" applyFill="1" applyBorder="1" applyAlignment="1">
      <alignment/>
    </xf>
    <xf numFmtId="3" fontId="14" fillId="0" borderId="10" xfId="0" applyNumberFormat="1" applyFont="1" applyFill="1" applyBorder="1" applyAlignment="1">
      <alignment horizontal="center" vertical="center"/>
    </xf>
    <xf numFmtId="0" fontId="65" fillId="0" borderId="0" xfId="0" applyFont="1" applyFill="1" applyAlignment="1">
      <alignment horizontal="center" vertical="center" textRotation="180"/>
    </xf>
    <xf numFmtId="0" fontId="66" fillId="0" borderId="0" xfId="0" applyFont="1" applyFill="1" applyAlignment="1">
      <alignment horizontal="left" wrapText="1"/>
    </xf>
    <xf numFmtId="0" fontId="6" fillId="0" borderId="0" xfId="0" applyFont="1" applyFill="1" applyAlignment="1">
      <alignment horizontal="left"/>
    </xf>
    <xf numFmtId="0" fontId="67"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9" fillId="0" borderId="0" xfId="0" applyFont="1" applyFill="1" applyAlignment="1">
      <alignment horizontal="center" vertical="center" textRotation="180"/>
    </xf>
    <xf numFmtId="0" fontId="3" fillId="0" borderId="10" xfId="0" applyFont="1" applyFill="1" applyBorder="1" applyAlignment="1">
      <alignment horizontal="center" wrapText="1"/>
    </xf>
    <xf numFmtId="0" fontId="3" fillId="0" borderId="0" xfId="0" applyFont="1" applyFill="1" applyBorder="1" applyAlignment="1">
      <alignment horizontal="center" wrapText="1"/>
    </xf>
    <xf numFmtId="0" fontId="7" fillId="0" borderId="10" xfId="0" applyFont="1" applyFill="1" applyBorder="1" applyAlignment="1">
      <alignment horizontal="center" vertical="top" wrapText="1"/>
    </xf>
    <xf numFmtId="0" fontId="63" fillId="0" borderId="10" xfId="0" applyFont="1" applyFill="1" applyBorder="1" applyAlignment="1">
      <alignment horizontal="justify" vertical="top" wrapText="1"/>
    </xf>
    <xf numFmtId="4" fontId="5" fillId="0" borderId="10" xfId="0" applyNumberFormat="1" applyFont="1" applyFill="1" applyBorder="1" applyAlignment="1">
      <alignment horizontal="center" vertical="top" wrapText="1"/>
    </xf>
    <xf numFmtId="4" fontId="63" fillId="0" borderId="0" xfId="0" applyNumberFormat="1" applyFont="1" applyFill="1" applyBorder="1" applyAlignment="1">
      <alignment horizontal="center" vertical="top" wrapText="1"/>
    </xf>
    <xf numFmtId="4" fontId="64" fillId="0" borderId="0" xfId="0" applyNumberFormat="1" applyFont="1" applyFill="1" applyAlignment="1">
      <alignment/>
    </xf>
    <xf numFmtId="0" fontId="0" fillId="0" borderId="10" xfId="0" applyFont="1" applyFill="1" applyBorder="1" applyAlignment="1">
      <alignment/>
    </xf>
    <xf numFmtId="0" fontId="4" fillId="0" borderId="10" xfId="0" applyFont="1" applyFill="1" applyBorder="1" applyAlignment="1">
      <alignment horizontal="center" vertical="center"/>
    </xf>
    <xf numFmtId="0" fontId="63" fillId="0" borderId="0" xfId="0" applyFont="1" applyFill="1" applyBorder="1" applyAlignment="1">
      <alignment horizontal="center" vertical="center"/>
    </xf>
    <xf numFmtId="1" fontId="68" fillId="0" borderId="0" xfId="0" applyNumberFormat="1" applyFont="1" applyFill="1" applyBorder="1" applyAlignment="1">
      <alignment horizontal="left" wrapText="1"/>
    </xf>
    <xf numFmtId="1" fontId="66" fillId="0" borderId="0" xfId="0" applyNumberFormat="1" applyFont="1" applyFill="1" applyBorder="1" applyAlignment="1">
      <alignment horizontal="left" wrapText="1"/>
    </xf>
    <xf numFmtId="4" fontId="69" fillId="0" borderId="0" xfId="0" applyNumberFormat="1" applyFont="1" applyFill="1" applyBorder="1" applyAlignment="1">
      <alignment horizontal="center" vertical="center" wrapText="1"/>
    </xf>
    <xf numFmtId="0" fontId="70" fillId="0" borderId="0" xfId="0" applyFont="1" applyFill="1" applyAlignment="1">
      <alignment/>
    </xf>
    <xf numFmtId="0" fontId="67" fillId="0" borderId="0" xfId="0" applyFont="1" applyFill="1" applyAlignment="1">
      <alignment horizontal="center" vertical="center" textRotation="180"/>
    </xf>
    <xf numFmtId="49" fontId="12" fillId="0" borderId="10" xfId="0" applyNumberFormat="1" applyFont="1" applyFill="1" applyBorder="1" applyAlignment="1">
      <alignment horizontal="center"/>
    </xf>
    <xf numFmtId="4" fontId="5" fillId="0" borderId="10" xfId="0" applyNumberFormat="1" applyFont="1" applyFill="1" applyBorder="1" applyAlignment="1">
      <alignment horizontal="center" vertical="center"/>
    </xf>
    <xf numFmtId="0" fontId="63" fillId="0" borderId="0" xfId="0" applyFont="1" applyFill="1" applyBorder="1" applyAlignment="1">
      <alignment horizontal="right" vertical="center" textRotation="180" wrapText="1"/>
    </xf>
    <xf numFmtId="0" fontId="64" fillId="0" borderId="10" xfId="0" applyFont="1" applyFill="1" applyBorder="1" applyAlignment="1">
      <alignment/>
    </xf>
    <xf numFmtId="4" fontId="63" fillId="0" borderId="0" xfId="0" applyNumberFormat="1" applyFont="1" applyFill="1" applyBorder="1" applyAlignment="1">
      <alignment/>
    </xf>
    <xf numFmtId="0" fontId="63" fillId="0" borderId="0" xfId="0" applyNumberFormat="1" applyFont="1" applyFill="1" applyBorder="1" applyAlignment="1">
      <alignment horizontal="center" vertical="center"/>
    </xf>
    <xf numFmtId="4" fontId="14" fillId="0" borderId="10" xfId="0" applyNumberFormat="1" applyFont="1" applyFill="1" applyBorder="1" applyAlignment="1">
      <alignment/>
    </xf>
    <xf numFmtId="4" fontId="14" fillId="0" borderId="10" xfId="0" applyNumberFormat="1" applyFont="1" applyFill="1" applyBorder="1" applyAlignment="1">
      <alignment horizontal="center" vertical="center"/>
    </xf>
    <xf numFmtId="4" fontId="14" fillId="0" borderId="10" xfId="0" applyNumberFormat="1" applyFont="1" applyFill="1" applyBorder="1" applyAlignment="1">
      <alignment horizontal="center" vertical="center" wrapText="1"/>
    </xf>
    <xf numFmtId="4" fontId="63" fillId="0" borderId="0" xfId="0" applyNumberFormat="1" applyFont="1" applyFill="1" applyBorder="1" applyAlignment="1">
      <alignment horizontal="center" vertical="center"/>
    </xf>
    <xf numFmtId="218" fontId="14" fillId="0" borderId="10" xfId="0" applyNumberFormat="1" applyFont="1" applyFill="1" applyBorder="1" applyAlignment="1">
      <alignment horizontal="center" vertical="center"/>
    </xf>
    <xf numFmtId="218" fontId="14" fillId="0" borderId="10" xfId="0" applyNumberFormat="1" applyFont="1" applyFill="1" applyBorder="1" applyAlignment="1">
      <alignment horizontal="center" vertical="center" wrapText="1"/>
    </xf>
    <xf numFmtId="4" fontId="71" fillId="0" borderId="0" xfId="0" applyNumberFormat="1" applyFont="1" applyFill="1" applyBorder="1" applyAlignment="1">
      <alignment horizontal="center" vertical="center"/>
    </xf>
    <xf numFmtId="0" fontId="14" fillId="0" borderId="10" xfId="0" applyNumberFormat="1" applyFont="1" applyFill="1" applyBorder="1" applyAlignment="1">
      <alignment horizontal="center" vertical="center"/>
    </xf>
    <xf numFmtId="0" fontId="64" fillId="0" borderId="0" xfId="0" applyFont="1" applyFill="1" applyBorder="1" applyAlignment="1">
      <alignment/>
    </xf>
    <xf numFmtId="4" fontId="4" fillId="0" borderId="0" xfId="0" applyNumberFormat="1" applyFont="1" applyFill="1" applyBorder="1" applyAlignment="1">
      <alignment horizontal="center" vertical="center"/>
    </xf>
    <xf numFmtId="216" fontId="4" fillId="0" borderId="0" xfId="0" applyNumberFormat="1" applyFont="1" applyFill="1" applyBorder="1" applyAlignment="1">
      <alignment horizontal="center" vertical="center"/>
    </xf>
    <xf numFmtId="4" fontId="72" fillId="0" borderId="10" xfId="0" applyNumberFormat="1" applyFont="1" applyFill="1" applyBorder="1" applyAlignment="1">
      <alignment/>
    </xf>
    <xf numFmtId="4" fontId="63" fillId="0" borderId="0"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 fontId="3" fillId="0" borderId="0" xfId="0" applyNumberFormat="1" applyFont="1" applyFill="1" applyBorder="1" applyAlignment="1">
      <alignment horizontal="center" vertical="center"/>
    </xf>
    <xf numFmtId="0" fontId="4" fillId="0" borderId="0" xfId="0" applyFont="1" applyFill="1" applyBorder="1" applyAlignment="1">
      <alignment horizontal="right" vertical="center" textRotation="180" wrapText="1"/>
    </xf>
    <xf numFmtId="1" fontId="14" fillId="0" borderId="10" xfId="0" applyNumberFormat="1" applyFont="1" applyFill="1" applyBorder="1" applyAlignment="1">
      <alignment horizontal="center" vertical="center" wrapText="1"/>
    </xf>
    <xf numFmtId="4" fontId="4" fillId="0" borderId="0" xfId="0" applyNumberFormat="1" applyFont="1" applyFill="1" applyBorder="1" applyAlignment="1">
      <alignment/>
    </xf>
    <xf numFmtId="0" fontId="4" fillId="0" borderId="0" xfId="0" applyNumberFormat="1" applyFont="1" applyFill="1" applyBorder="1" applyAlignment="1">
      <alignment horizontal="center" vertical="center"/>
    </xf>
    <xf numFmtId="4" fontId="63" fillId="0" borderId="10" xfId="0" applyNumberFormat="1" applyFont="1" applyFill="1" applyBorder="1" applyAlignment="1">
      <alignment horizontal="center" vertical="center"/>
    </xf>
    <xf numFmtId="0" fontId="5" fillId="0" borderId="0" xfId="0" applyFont="1" applyFill="1" applyBorder="1" applyAlignment="1">
      <alignment vertical="center" wrapText="1"/>
    </xf>
    <xf numFmtId="0" fontId="6" fillId="0" borderId="0" xfId="0" applyFont="1" applyFill="1" applyBorder="1" applyAlignment="1">
      <alignment vertical="center" wrapText="1"/>
    </xf>
    <xf numFmtId="4" fontId="3" fillId="0" borderId="0" xfId="0" applyNumberFormat="1" applyFont="1" applyFill="1" applyBorder="1" applyAlignment="1">
      <alignment horizontal="center" vertical="center" wrapText="1"/>
    </xf>
    <xf numFmtId="0" fontId="13" fillId="0" borderId="0" xfId="0" applyFont="1" applyFill="1" applyAlignment="1">
      <alignment horizontal="center" textRotation="180"/>
    </xf>
    <xf numFmtId="4" fontId="63" fillId="0" borderId="10" xfId="0" applyNumberFormat="1" applyFont="1" applyFill="1" applyBorder="1" applyAlignment="1">
      <alignment/>
    </xf>
    <xf numFmtId="0" fontId="68" fillId="0" borderId="0" xfId="0" applyFont="1" applyFill="1" applyBorder="1" applyAlignment="1">
      <alignment horizontal="left" vertical="top" wrapText="1"/>
    </xf>
    <xf numFmtId="0" fontId="69" fillId="0" borderId="0" xfId="0" applyFont="1" applyFill="1" applyBorder="1" applyAlignment="1">
      <alignment vertical="top" wrapText="1"/>
    </xf>
    <xf numFmtId="0" fontId="66" fillId="0" borderId="0" xfId="0" applyFont="1" applyFill="1" applyBorder="1" applyAlignment="1">
      <alignment horizontal="left" wrapText="1"/>
    </xf>
    <xf numFmtId="4" fontId="71" fillId="0" borderId="0" xfId="0" applyNumberFormat="1" applyFont="1" applyFill="1" applyBorder="1" applyAlignment="1">
      <alignment horizontal="center" vertical="center" wrapText="1"/>
    </xf>
    <xf numFmtId="0" fontId="70" fillId="0" borderId="10" xfId="0" applyFont="1" applyFill="1" applyBorder="1" applyAlignment="1">
      <alignment/>
    </xf>
    <xf numFmtId="0" fontId="14" fillId="0" borderId="10" xfId="0" applyFont="1" applyFill="1" applyBorder="1" applyAlignment="1">
      <alignment horizontal="center" vertical="center"/>
    </xf>
    <xf numFmtId="0" fontId="63" fillId="0" borderId="0" xfId="0" applyFont="1" applyFill="1" applyBorder="1" applyAlignment="1">
      <alignment horizontal="justify" vertical="center" wrapText="1" shrinkToFit="1"/>
    </xf>
    <xf numFmtId="2" fontId="4" fillId="0" borderId="0" xfId="0" applyNumberFormat="1" applyFont="1" applyFill="1" applyBorder="1" applyAlignment="1">
      <alignment horizontal="center" vertical="center"/>
    </xf>
    <xf numFmtId="216" fontId="14" fillId="0" borderId="10" xfId="0" applyNumberFormat="1" applyFont="1" applyFill="1" applyBorder="1" applyAlignment="1">
      <alignment horizontal="center" vertical="center"/>
    </xf>
    <xf numFmtId="0" fontId="6" fillId="0" borderId="0" xfId="0" applyFont="1" applyFill="1" applyBorder="1" applyAlignment="1">
      <alignment horizontal="left"/>
    </xf>
    <xf numFmtId="0" fontId="66" fillId="0" borderId="10" xfId="0" applyFont="1" applyFill="1" applyBorder="1" applyAlignment="1">
      <alignment horizontal="left"/>
    </xf>
    <xf numFmtId="4" fontId="5" fillId="0" borderId="10" xfId="0" applyNumberFormat="1" applyFont="1" applyFill="1" applyBorder="1" applyAlignment="1">
      <alignment horizontal="center"/>
    </xf>
    <xf numFmtId="4" fontId="71" fillId="0" borderId="0" xfId="0" applyNumberFormat="1" applyFont="1" applyFill="1" applyBorder="1" applyAlignment="1">
      <alignment horizontal="center"/>
    </xf>
    <xf numFmtId="2" fontId="64" fillId="0" borderId="0" xfId="0" applyNumberFormat="1" applyFont="1" applyFill="1" applyAlignment="1">
      <alignment/>
    </xf>
    <xf numFmtId="0" fontId="5" fillId="0" borderId="0" xfId="0" applyFont="1" applyFill="1" applyBorder="1" applyAlignment="1">
      <alignment horizontal="left"/>
    </xf>
    <xf numFmtId="0" fontId="6" fillId="0" borderId="0" xfId="0" applyFont="1" applyFill="1" applyBorder="1" applyAlignment="1">
      <alignment horizontal="left" vertical="center"/>
    </xf>
    <xf numFmtId="4" fontId="0" fillId="0" borderId="10" xfId="0" applyNumberFormat="1" applyFont="1" applyFill="1" applyBorder="1" applyAlignment="1">
      <alignment/>
    </xf>
    <xf numFmtId="4" fontId="0" fillId="0" borderId="0" xfId="0" applyNumberFormat="1" applyFont="1" applyFill="1" applyBorder="1" applyAlignment="1">
      <alignment/>
    </xf>
    <xf numFmtId="4" fontId="0" fillId="0" borderId="10" xfId="0" applyNumberFormat="1" applyFont="1" applyFill="1" applyBorder="1" applyAlignment="1">
      <alignment horizontal="center" vertical="center"/>
    </xf>
    <xf numFmtId="4" fontId="0" fillId="0" borderId="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5" fillId="0" borderId="0" xfId="0" applyFont="1" applyFill="1" applyBorder="1" applyAlignment="1">
      <alignment vertical="top" wrapText="1"/>
    </xf>
    <xf numFmtId="0" fontId="6" fillId="0" borderId="0" xfId="0" applyFont="1" applyFill="1" applyBorder="1" applyAlignment="1">
      <alignment vertical="top" wrapText="1"/>
    </xf>
    <xf numFmtId="49" fontId="12" fillId="0" borderId="10" xfId="0" applyNumberFormat="1" applyFont="1" applyFill="1" applyBorder="1" applyAlignment="1">
      <alignment horizontal="center" vertical="center" wrapText="1"/>
    </xf>
    <xf numFmtId="0" fontId="4" fillId="0" borderId="0" xfId="0" applyFont="1" applyFill="1" applyBorder="1" applyAlignment="1">
      <alignment horizontal="justify" vertical="top" wrapText="1"/>
    </xf>
    <xf numFmtId="0" fontId="2" fillId="0" borderId="0" xfId="0" applyFont="1" applyFill="1" applyBorder="1" applyAlignment="1">
      <alignment vertical="top" wrapText="1"/>
    </xf>
    <xf numFmtId="0" fontId="63" fillId="0" borderId="0" xfId="0" applyFont="1" applyFill="1" applyBorder="1" applyAlignment="1">
      <alignment vertical="center" wrapText="1"/>
    </xf>
    <xf numFmtId="0" fontId="66" fillId="0" borderId="10" xfId="0" applyFont="1" applyFill="1" applyBorder="1" applyAlignment="1">
      <alignment horizontal="justify" vertical="top" wrapText="1"/>
    </xf>
    <xf numFmtId="0" fontId="66" fillId="0" borderId="0" xfId="0" applyFont="1" applyFill="1" applyBorder="1" applyAlignment="1">
      <alignment horizontal="justify" vertical="top" wrapText="1"/>
    </xf>
    <xf numFmtId="2" fontId="5" fillId="0" borderId="10" xfId="0" applyNumberFormat="1" applyFont="1" applyFill="1" applyBorder="1" applyAlignment="1">
      <alignment horizontal="center" vertical="center"/>
    </xf>
    <xf numFmtId="4" fontId="4" fillId="0" borderId="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0" xfId="0" applyNumberFormat="1" applyFont="1" applyFill="1" applyBorder="1" applyAlignment="1">
      <alignment horizontal="center" vertical="center" wrapText="1"/>
    </xf>
    <xf numFmtId="2" fontId="14" fillId="0" borderId="10" xfId="0" applyNumberFormat="1" applyFont="1" applyFill="1" applyBorder="1" applyAlignment="1">
      <alignment horizontal="center" vertical="center" wrapText="1"/>
    </xf>
    <xf numFmtId="216" fontId="14" fillId="0" borderId="10" xfId="0" applyNumberFormat="1" applyFont="1" applyFill="1" applyBorder="1" applyAlignment="1">
      <alignment horizontal="center" vertical="center" wrapText="1"/>
    </xf>
    <xf numFmtId="0" fontId="63" fillId="0" borderId="0" xfId="0" applyFont="1" applyFill="1" applyBorder="1" applyAlignment="1">
      <alignment horizontal="center" vertical="center" wrapText="1"/>
    </xf>
    <xf numFmtId="216" fontId="72" fillId="0" borderId="10"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68" fillId="0" borderId="0" xfId="0" applyFont="1" applyFill="1" applyBorder="1" applyAlignment="1">
      <alignment vertical="top" wrapText="1"/>
    </xf>
    <xf numFmtId="0" fontId="66" fillId="0" borderId="0" xfId="0" applyFont="1" applyFill="1" applyBorder="1" applyAlignment="1">
      <alignment vertical="center" wrapText="1"/>
    </xf>
    <xf numFmtId="0" fontId="6" fillId="0" borderId="10" xfId="0" applyFont="1" applyFill="1" applyBorder="1" applyAlignment="1">
      <alignment horizontal="justify" vertical="top" wrapText="1"/>
    </xf>
    <xf numFmtId="218" fontId="72" fillId="0" borderId="10" xfId="0" applyNumberFormat="1" applyFont="1" applyFill="1" applyBorder="1" applyAlignment="1">
      <alignment horizontal="center" vertical="center" wrapText="1"/>
    </xf>
    <xf numFmtId="3" fontId="14" fillId="0" borderId="10" xfId="0" applyNumberFormat="1" applyFont="1" applyFill="1" applyBorder="1" applyAlignment="1">
      <alignment horizontal="center" vertical="center" wrapText="1"/>
    </xf>
    <xf numFmtId="4" fontId="72" fillId="0" borderId="10" xfId="0" applyNumberFormat="1" applyFont="1" applyFill="1" applyBorder="1" applyAlignment="1">
      <alignment horizontal="center" vertical="center" wrapText="1"/>
    </xf>
    <xf numFmtId="0" fontId="14" fillId="0" borderId="10" xfId="0" applyFont="1" applyFill="1" applyBorder="1" applyAlignment="1">
      <alignment/>
    </xf>
    <xf numFmtId="216" fontId="14" fillId="0" borderId="10" xfId="0" applyNumberFormat="1" applyFont="1" applyFill="1" applyBorder="1" applyAlignment="1">
      <alignment horizontal="center"/>
    </xf>
    <xf numFmtId="0" fontId="12" fillId="0" borderId="10" xfId="0" applyFont="1" applyFill="1" applyBorder="1" applyAlignment="1">
      <alignment horizontal="center" vertical="top" wrapText="1"/>
    </xf>
    <xf numFmtId="49" fontId="65" fillId="0" borderId="0" xfId="0" applyNumberFormat="1" applyFont="1" applyFill="1" applyAlignment="1">
      <alignment horizontal="center" vertical="center" textRotation="180"/>
    </xf>
    <xf numFmtId="2" fontId="14" fillId="0" borderId="10" xfId="0" applyNumberFormat="1" applyFont="1" applyFill="1" applyBorder="1" applyAlignment="1">
      <alignment horizontal="center" vertical="center"/>
    </xf>
    <xf numFmtId="0" fontId="2" fillId="0" borderId="0" xfId="0" applyFont="1" applyFill="1" applyBorder="1" applyAlignment="1">
      <alignment vertical="center" wrapText="1"/>
    </xf>
    <xf numFmtId="0" fontId="4" fillId="0" borderId="0" xfId="0" applyFont="1" applyFill="1" applyBorder="1" applyAlignment="1">
      <alignment vertical="center"/>
    </xf>
    <xf numFmtId="4" fontId="2" fillId="0" borderId="10" xfId="0" applyNumberFormat="1" applyFont="1" applyFill="1" applyBorder="1" applyAlignment="1">
      <alignment horizontal="center" vertical="center"/>
    </xf>
    <xf numFmtId="0" fontId="4" fillId="0" borderId="0" xfId="0" applyFont="1" applyFill="1" applyBorder="1" applyAlignment="1">
      <alignment horizontal="justify" vertical="center"/>
    </xf>
    <xf numFmtId="4" fontId="3"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0" fontId="68" fillId="0" borderId="10" xfId="0" applyFont="1" applyFill="1" applyBorder="1" applyAlignment="1">
      <alignment vertical="top" wrapText="1"/>
    </xf>
    <xf numFmtId="0" fontId="5" fillId="0" borderId="10" xfId="0" applyFont="1" applyFill="1" applyBorder="1" applyAlignment="1">
      <alignment vertical="top" wrapText="1"/>
    </xf>
    <xf numFmtId="0" fontId="63" fillId="0" borderId="10" xfId="0" applyFont="1" applyFill="1" applyBorder="1" applyAlignment="1">
      <alignment horizontal="left" vertical="center" wrapText="1"/>
    </xf>
    <xf numFmtId="4" fontId="3" fillId="0" borderId="10" xfId="0" applyNumberFormat="1" applyFont="1" applyFill="1" applyBorder="1" applyAlignment="1">
      <alignment/>
    </xf>
    <xf numFmtId="4" fontId="5" fillId="0" borderId="10" xfId="0" applyNumberFormat="1" applyFont="1" applyFill="1" applyBorder="1" applyAlignment="1">
      <alignment/>
    </xf>
    <xf numFmtId="0" fontId="1"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68" fillId="0" borderId="10" xfId="0" applyFont="1" applyFill="1" applyBorder="1" applyAlignment="1">
      <alignment horizontal="center" vertical="top" wrapText="1"/>
    </xf>
    <xf numFmtId="0" fontId="62" fillId="0" borderId="10" xfId="0" applyFont="1" applyFill="1" applyBorder="1" applyAlignment="1">
      <alignment horizontal="center" vertical="center" wrapText="1"/>
    </xf>
    <xf numFmtId="218" fontId="5" fillId="0" borderId="10"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wrapText="1"/>
    </xf>
    <xf numFmtId="218" fontId="72" fillId="0" borderId="10" xfId="0" applyNumberFormat="1" applyFont="1" applyFill="1" applyBorder="1" applyAlignment="1">
      <alignment horizontal="center" vertical="center"/>
    </xf>
    <xf numFmtId="218" fontId="5"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top" wrapText="1"/>
    </xf>
    <xf numFmtId="0" fontId="69" fillId="0" borderId="0" xfId="0" applyFont="1" applyFill="1" applyBorder="1" applyAlignment="1">
      <alignment vertical="center" wrapText="1"/>
    </xf>
    <xf numFmtId="0" fontId="63" fillId="0" borderId="0" xfId="0" applyFont="1" applyFill="1" applyBorder="1" applyAlignment="1">
      <alignment vertical="center"/>
    </xf>
    <xf numFmtId="49" fontId="9" fillId="0" borderId="0" xfId="0" applyNumberFormat="1" applyFont="1" applyFill="1" applyBorder="1" applyAlignment="1">
      <alignment horizontal="center" vertical="center" textRotation="180"/>
    </xf>
    <xf numFmtId="49" fontId="9" fillId="0" borderId="0" xfId="0" applyNumberFormat="1" applyFont="1" applyFill="1" applyAlignment="1">
      <alignment horizontal="center" vertical="center" textRotation="180"/>
    </xf>
    <xf numFmtId="0" fontId="9" fillId="0" borderId="0" xfId="0" applyFont="1" applyFill="1" applyAlignment="1">
      <alignment/>
    </xf>
    <xf numFmtId="0" fontId="73" fillId="0" borderId="0" xfId="0" applyFont="1" applyFill="1" applyAlignment="1">
      <alignment horizontal="center" textRotation="180"/>
    </xf>
    <xf numFmtId="0" fontId="3" fillId="0" borderId="10" xfId="0" applyFont="1" applyFill="1" applyBorder="1" applyAlignment="1">
      <alignment horizontal="center" wrapText="1"/>
    </xf>
    <xf numFmtId="1" fontId="5" fillId="0" borderId="10" xfId="0" applyNumberFormat="1" applyFont="1" applyFill="1" applyBorder="1" applyAlignment="1">
      <alignment horizontal="left" wrapText="1"/>
    </xf>
    <xf numFmtId="0" fontId="3" fillId="0" borderId="10" xfId="0" applyFont="1" applyFill="1" applyBorder="1" applyAlignment="1">
      <alignment horizontal="justify" vertical="center" wrapText="1"/>
    </xf>
    <xf numFmtId="0" fontId="3" fillId="0" borderId="10" xfId="0" applyFont="1" applyFill="1" applyBorder="1" applyAlignment="1">
      <alignment horizontal="center" vertical="center" wrapText="1"/>
    </xf>
    <xf numFmtId="0" fontId="5" fillId="0" borderId="10" xfId="0" applyFont="1" applyFill="1" applyBorder="1" applyAlignment="1">
      <alignment horizontal="left" vertical="top" wrapText="1"/>
    </xf>
    <xf numFmtId="0" fontId="5" fillId="0" borderId="10" xfId="0" applyFont="1" applyFill="1" applyBorder="1" applyAlignment="1">
      <alignment horizontal="left"/>
    </xf>
    <xf numFmtId="0" fontId="6" fillId="0" borderId="10" xfId="0" applyFont="1" applyFill="1" applyBorder="1" applyAlignment="1">
      <alignment horizontal="left"/>
    </xf>
    <xf numFmtId="0" fontId="6" fillId="0" borderId="10" xfId="0" applyFont="1" applyFill="1" applyBorder="1" applyAlignment="1">
      <alignment horizontal="left" wrapText="1"/>
    </xf>
    <xf numFmtId="216" fontId="4" fillId="0" borderId="0" xfId="0" applyNumberFormat="1" applyFont="1" applyFill="1" applyBorder="1" applyAlignment="1">
      <alignment horizontal="right" vertical="center"/>
    </xf>
    <xf numFmtId="0" fontId="5"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9" fillId="0" borderId="0" xfId="0" applyFont="1" applyFill="1" applyAlignment="1">
      <alignment horizontal="center"/>
    </xf>
    <xf numFmtId="0" fontId="8" fillId="0" borderId="0" xfId="0" applyFont="1" applyFill="1" applyAlignment="1">
      <alignment horizontal="center" vertical="center" wrapText="1"/>
    </xf>
    <xf numFmtId="0" fontId="9" fillId="0" borderId="0" xfId="0" applyFont="1" applyFill="1" applyAlignment="1">
      <alignment horizontal="justify" vertical="center" wrapText="1"/>
    </xf>
    <xf numFmtId="1" fontId="6" fillId="0" borderId="10" xfId="0" applyNumberFormat="1" applyFont="1" applyFill="1" applyBorder="1" applyAlignment="1">
      <alignment horizontal="left" wrapText="1"/>
    </xf>
    <xf numFmtId="0" fontId="6" fillId="0" borderId="10" xfId="0" applyFont="1" applyFill="1" applyBorder="1" applyAlignment="1">
      <alignment horizontal="left" vertical="center"/>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top" wrapText="1"/>
    </xf>
    <xf numFmtId="0" fontId="6" fillId="0"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lef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47"/>
  <sheetViews>
    <sheetView tabSelected="1" zoomScaleSheetLayoutView="75" zoomScalePageLayoutView="0" workbookViewId="0" topLeftCell="A439">
      <selection activeCell="I445" sqref="I445"/>
    </sheetView>
  </sheetViews>
  <sheetFormatPr defaultColWidth="9.140625" defaultRowHeight="12.75"/>
  <cols>
    <col min="1" max="1" width="62.7109375" style="55" customWidth="1"/>
    <col min="2" max="2" width="14.7109375" style="55" customWidth="1"/>
    <col min="3" max="3" width="16.140625" style="4" customWidth="1"/>
    <col min="4" max="4" width="16.57421875" style="4" customWidth="1"/>
    <col min="5" max="5" width="14.140625" style="4" customWidth="1"/>
    <col min="6" max="6" width="17.421875" style="55" customWidth="1"/>
    <col min="7" max="7" width="16.421875" style="55" customWidth="1"/>
    <col min="8" max="8" width="13.7109375" style="55" customWidth="1"/>
    <col min="9" max="9" width="16.28125" style="55" customWidth="1"/>
    <col min="10" max="10" width="17.28125" style="55" customWidth="1"/>
    <col min="11" max="11" width="14.421875" style="55" customWidth="1"/>
    <col min="12" max="12" width="7.140625" style="55" customWidth="1"/>
    <col min="13" max="13" width="4.00390625" style="55" customWidth="1"/>
    <col min="14" max="14" width="36.00390625" style="62" customWidth="1"/>
    <col min="15" max="15" width="12.7109375" style="55" bestFit="1" customWidth="1"/>
    <col min="16" max="16384" width="9.140625" style="55" customWidth="1"/>
  </cols>
  <sheetData>
    <row r="1" spans="1:11" ht="20.25" customHeight="1">
      <c r="A1" s="4"/>
      <c r="B1" s="4"/>
      <c r="F1" s="4"/>
      <c r="G1" s="4"/>
      <c r="H1" s="204" t="s">
        <v>164</v>
      </c>
      <c r="I1" s="204"/>
      <c r="J1" s="204"/>
      <c r="K1" s="1"/>
    </row>
    <row r="2" spans="1:12" ht="123" customHeight="1">
      <c r="A2" s="10"/>
      <c r="B2" s="4"/>
      <c r="F2" s="4"/>
      <c r="G2" s="4"/>
      <c r="H2" s="206" t="s">
        <v>244</v>
      </c>
      <c r="I2" s="206"/>
      <c r="J2" s="206"/>
      <c r="K2" s="206"/>
      <c r="L2" s="63"/>
    </row>
    <row r="3" spans="1:11" ht="18.75">
      <c r="A3" s="11"/>
      <c r="B3" s="4"/>
      <c r="F3" s="4"/>
      <c r="G3" s="4"/>
      <c r="H3" s="2" t="s">
        <v>248</v>
      </c>
      <c r="I3" s="3"/>
      <c r="J3" s="3"/>
      <c r="K3" s="4"/>
    </row>
    <row r="4" spans="1:11" ht="15.75">
      <c r="A4" s="4"/>
      <c r="B4" s="4"/>
      <c r="F4" s="4"/>
      <c r="G4" s="4"/>
      <c r="H4" s="64"/>
      <c r="I4" s="64"/>
      <c r="J4" s="64"/>
      <c r="K4" s="4"/>
    </row>
    <row r="5" spans="1:12" ht="30.75" customHeight="1">
      <c r="A5" s="205" t="s">
        <v>130</v>
      </c>
      <c r="B5" s="205"/>
      <c r="C5" s="205"/>
      <c r="D5" s="205"/>
      <c r="E5" s="205"/>
      <c r="F5" s="205"/>
      <c r="G5" s="205"/>
      <c r="H5" s="205"/>
      <c r="I5" s="205"/>
      <c r="J5" s="205"/>
      <c r="K5" s="205"/>
      <c r="L5" s="65"/>
    </row>
    <row r="6" ht="12.75">
      <c r="A6" s="12"/>
    </row>
    <row r="7" spans="1:14" s="4" customFormat="1" ht="32.25" customHeight="1">
      <c r="A7" s="196" t="s">
        <v>139</v>
      </c>
      <c r="B7" s="196" t="s">
        <v>37</v>
      </c>
      <c r="C7" s="196" t="s">
        <v>53</v>
      </c>
      <c r="D7" s="196"/>
      <c r="E7" s="196"/>
      <c r="F7" s="196" t="s">
        <v>246</v>
      </c>
      <c r="G7" s="196"/>
      <c r="H7" s="196"/>
      <c r="I7" s="196" t="s">
        <v>54</v>
      </c>
      <c r="J7" s="196"/>
      <c r="K7" s="196"/>
      <c r="L7" s="66"/>
      <c r="N7" s="67"/>
    </row>
    <row r="8" spans="1:14" s="4" customFormat="1" ht="15" customHeight="1">
      <c r="A8" s="196"/>
      <c r="B8" s="196"/>
      <c r="C8" s="196"/>
      <c r="D8" s="196"/>
      <c r="E8" s="196"/>
      <c r="F8" s="196"/>
      <c r="G8" s="196"/>
      <c r="H8" s="196"/>
      <c r="I8" s="196"/>
      <c r="J8" s="196"/>
      <c r="K8" s="196"/>
      <c r="L8" s="66"/>
      <c r="N8" s="67"/>
    </row>
    <row r="9" spans="1:14" s="4" customFormat="1" ht="18.75" customHeight="1">
      <c r="A9" s="196"/>
      <c r="B9" s="196"/>
      <c r="C9" s="193" t="s">
        <v>0</v>
      </c>
      <c r="D9" s="193" t="s">
        <v>1</v>
      </c>
      <c r="E9" s="193"/>
      <c r="F9" s="193" t="s">
        <v>0</v>
      </c>
      <c r="G9" s="193" t="s">
        <v>1</v>
      </c>
      <c r="H9" s="193"/>
      <c r="I9" s="193" t="s">
        <v>0</v>
      </c>
      <c r="J9" s="193" t="s">
        <v>1</v>
      </c>
      <c r="K9" s="193"/>
      <c r="L9" s="69"/>
      <c r="N9" s="67"/>
    </row>
    <row r="10" spans="1:14" s="4" customFormat="1" ht="28.5">
      <c r="A10" s="196"/>
      <c r="B10" s="196"/>
      <c r="C10" s="193"/>
      <c r="D10" s="68" t="s">
        <v>2</v>
      </c>
      <c r="E10" s="68" t="s">
        <v>3</v>
      </c>
      <c r="F10" s="193"/>
      <c r="G10" s="68" t="s">
        <v>2</v>
      </c>
      <c r="H10" s="68" t="s">
        <v>3</v>
      </c>
      <c r="I10" s="193"/>
      <c r="J10" s="68" t="s">
        <v>2</v>
      </c>
      <c r="K10" s="68" t="s">
        <v>3</v>
      </c>
      <c r="L10" s="69"/>
      <c r="N10" s="67"/>
    </row>
    <row r="11" spans="1:14" s="4" customFormat="1" ht="15.75" customHeight="1">
      <c r="A11" s="13">
        <v>1</v>
      </c>
      <c r="B11" s="70">
        <v>2</v>
      </c>
      <c r="C11" s="68">
        <v>3</v>
      </c>
      <c r="D11" s="68">
        <v>4</v>
      </c>
      <c r="E11" s="68">
        <v>5</v>
      </c>
      <c r="F11" s="68">
        <v>6</v>
      </c>
      <c r="G11" s="68">
        <v>7</v>
      </c>
      <c r="H11" s="68">
        <v>8</v>
      </c>
      <c r="I11" s="68">
        <v>9</v>
      </c>
      <c r="J11" s="68">
        <v>10</v>
      </c>
      <c r="K11" s="68">
        <v>11</v>
      </c>
      <c r="L11" s="69"/>
      <c r="N11" s="67"/>
    </row>
    <row r="12" spans="1:15" ht="29.25" customHeight="1">
      <c r="A12" s="14" t="s">
        <v>4</v>
      </c>
      <c r="B12" s="71"/>
      <c r="C12" s="72">
        <f>D12+E12</f>
        <v>32886871</v>
      </c>
      <c r="D12" s="72">
        <f>D17+D91+D108+D138+D169+D182+D198+D257+D319+D332+D359+D433</f>
        <v>32139871</v>
      </c>
      <c r="E12" s="72">
        <f>E17+E91+E108+E138+E169+E182+E198+E257+E319+E332+E359+E433</f>
        <v>747000</v>
      </c>
      <c r="F12" s="72">
        <f>G12+H12</f>
        <v>55150734</v>
      </c>
      <c r="G12" s="72">
        <f>G17+G91+G108+G138+G169+G182+G198+G257+G319+G331+G359+G433</f>
        <v>54946122</v>
      </c>
      <c r="H12" s="72">
        <f>H17+H91+H108+H138+H169+H182+H198+H257+H319+H332+H359+H433</f>
        <v>204612</v>
      </c>
      <c r="I12" s="72">
        <f>J12+K12</f>
        <v>62522329</v>
      </c>
      <c r="J12" s="72">
        <f>J17+J91+J108+J138+J169+J182+J198+J257+J319+J331+J359+J433</f>
        <v>62233329</v>
      </c>
      <c r="K12" s="72">
        <f>K17+K91+K108+K138+K169+K182+K198+K257+K319+K332+K359+K433</f>
        <v>289000</v>
      </c>
      <c r="L12" s="73"/>
      <c r="O12" s="74"/>
    </row>
    <row r="13" spans="1:12" ht="17.25" customHeight="1">
      <c r="A13" s="15" t="s">
        <v>219</v>
      </c>
      <c r="B13" s="75"/>
      <c r="C13" s="76"/>
      <c r="D13" s="76"/>
      <c r="E13" s="76"/>
      <c r="F13" s="76"/>
      <c r="G13" s="76"/>
      <c r="H13" s="76"/>
      <c r="I13" s="76"/>
      <c r="J13" s="76"/>
      <c r="K13" s="76"/>
      <c r="L13" s="77"/>
    </row>
    <row r="14" spans="1:12" ht="33" customHeight="1">
      <c r="A14" s="16" t="s">
        <v>127</v>
      </c>
      <c r="B14" s="75"/>
      <c r="C14" s="76"/>
      <c r="D14" s="76"/>
      <c r="E14" s="76"/>
      <c r="F14" s="76"/>
      <c r="G14" s="76"/>
      <c r="H14" s="76"/>
      <c r="I14" s="76"/>
      <c r="J14" s="76"/>
      <c r="K14" s="76"/>
      <c r="L14" s="77"/>
    </row>
    <row r="15" spans="1:12" ht="15.75" customHeight="1">
      <c r="A15" s="194" t="s">
        <v>8</v>
      </c>
      <c r="B15" s="194"/>
      <c r="C15" s="194"/>
      <c r="D15" s="194"/>
      <c r="E15" s="194"/>
      <c r="F15" s="194"/>
      <c r="G15" s="194"/>
      <c r="H15" s="194"/>
      <c r="I15" s="194"/>
      <c r="J15" s="194"/>
      <c r="K15" s="194"/>
      <c r="L15" s="78"/>
    </row>
    <row r="16" spans="1:12" ht="17.25" customHeight="1">
      <c r="A16" s="207" t="s">
        <v>34</v>
      </c>
      <c r="B16" s="207"/>
      <c r="C16" s="207"/>
      <c r="D16" s="207"/>
      <c r="E16" s="207"/>
      <c r="F16" s="207"/>
      <c r="G16" s="207"/>
      <c r="H16" s="207"/>
      <c r="I16" s="207"/>
      <c r="J16" s="207"/>
      <c r="K16" s="207"/>
      <c r="L16" s="79"/>
    </row>
    <row r="17" spans="1:14" s="81" customFormat="1" ht="23.25" customHeight="1">
      <c r="A17" s="196" t="s">
        <v>7</v>
      </c>
      <c r="B17" s="75" t="s">
        <v>28</v>
      </c>
      <c r="C17" s="59">
        <f>D17</f>
        <v>7015216</v>
      </c>
      <c r="D17" s="59">
        <f>+D18+D19</f>
        <v>7015216</v>
      </c>
      <c r="E17" s="59">
        <v>0</v>
      </c>
      <c r="F17" s="59">
        <f>G17</f>
        <v>7361800</v>
      </c>
      <c r="G17" s="59">
        <f>+G18+G19</f>
        <v>7361800</v>
      </c>
      <c r="H17" s="59">
        <v>0</v>
      </c>
      <c r="I17" s="59">
        <f>J17+K17</f>
        <v>8819208</v>
      </c>
      <c r="J17" s="59">
        <f>+J18+J19</f>
        <v>8744208</v>
      </c>
      <c r="K17" s="59">
        <f>K28+K41+K49+K57+K723</f>
        <v>75000</v>
      </c>
      <c r="L17" s="80"/>
      <c r="N17" s="82"/>
    </row>
    <row r="18" spans="1:14" s="81" customFormat="1" ht="23.25" customHeight="1">
      <c r="A18" s="196"/>
      <c r="B18" s="83" t="s">
        <v>220</v>
      </c>
      <c r="C18" s="59">
        <f>D18</f>
        <v>6780916</v>
      </c>
      <c r="D18" s="59">
        <f>+D20+D29+D41+D57</f>
        <v>6780916</v>
      </c>
      <c r="E18" s="59">
        <v>0</v>
      </c>
      <c r="F18" s="59">
        <f>G18</f>
        <v>7193946</v>
      </c>
      <c r="G18" s="59">
        <f>+G20+G29+G41+G49+G57+G71+G79</f>
        <v>7193946</v>
      </c>
      <c r="H18" s="59">
        <v>0</v>
      </c>
      <c r="I18" s="59">
        <f>J18+K18</f>
        <v>8663542</v>
      </c>
      <c r="J18" s="59">
        <f>+J20+J29+J41+J49+J57+J71+J79</f>
        <v>8588542</v>
      </c>
      <c r="K18" s="59">
        <f>K28+K41+K57+K71</f>
        <v>75000</v>
      </c>
      <c r="L18" s="80"/>
      <c r="N18" s="82"/>
    </row>
    <row r="19" spans="1:14" s="81" customFormat="1" ht="23.25" customHeight="1">
      <c r="A19" s="196"/>
      <c r="B19" s="83" t="s">
        <v>221</v>
      </c>
      <c r="C19" s="59">
        <f>D19</f>
        <v>234300</v>
      </c>
      <c r="D19" s="59">
        <f>+D30+D49</f>
        <v>234300</v>
      </c>
      <c r="E19" s="59">
        <v>0</v>
      </c>
      <c r="F19" s="59">
        <f>G19</f>
        <v>167854</v>
      </c>
      <c r="G19" s="59">
        <f>+G30+G49</f>
        <v>167854</v>
      </c>
      <c r="H19" s="59">
        <v>0</v>
      </c>
      <c r="I19" s="59">
        <f>J19</f>
        <v>155666</v>
      </c>
      <c r="J19" s="59">
        <f>+J30+J49</f>
        <v>155666</v>
      </c>
      <c r="K19" s="59">
        <v>0</v>
      </c>
      <c r="L19" s="80"/>
      <c r="N19" s="82"/>
    </row>
    <row r="20" spans="1:12" ht="31.5" customHeight="1">
      <c r="A20" s="8" t="s">
        <v>32</v>
      </c>
      <c r="B20" s="83" t="s">
        <v>220</v>
      </c>
      <c r="C20" s="84">
        <f>D20</f>
        <v>6380696</v>
      </c>
      <c r="D20" s="84">
        <v>6380696</v>
      </c>
      <c r="E20" s="84">
        <v>0</v>
      </c>
      <c r="F20" s="59">
        <f>G20</f>
        <v>6849951</v>
      </c>
      <c r="G20" s="59">
        <f>6813862+36089</f>
        <v>6849951</v>
      </c>
      <c r="H20" s="59">
        <v>0</v>
      </c>
      <c r="I20" s="59">
        <f>J20</f>
        <v>7749550</v>
      </c>
      <c r="J20" s="59">
        <f>5690352+150000-55000+100000+1000000+674198+190000</f>
        <v>7749550</v>
      </c>
      <c r="K20" s="59">
        <v>0</v>
      </c>
      <c r="L20" s="85"/>
    </row>
    <row r="21" spans="1:12" ht="18" customHeight="1">
      <c r="A21" s="7" t="s">
        <v>5</v>
      </c>
      <c r="B21" s="86"/>
      <c r="C21" s="60"/>
      <c r="D21" s="60"/>
      <c r="E21" s="60"/>
      <c r="F21" s="60"/>
      <c r="G21" s="60"/>
      <c r="H21" s="60"/>
      <c r="I21" s="60"/>
      <c r="J21" s="60"/>
      <c r="K21" s="60"/>
      <c r="L21" s="87"/>
    </row>
    <row r="22" spans="1:12" ht="15">
      <c r="A22" s="8" t="s">
        <v>6</v>
      </c>
      <c r="B22" s="86"/>
      <c r="C22" s="60"/>
      <c r="D22" s="60"/>
      <c r="E22" s="60"/>
      <c r="F22" s="60"/>
      <c r="G22" s="60"/>
      <c r="H22" s="60"/>
      <c r="I22" s="60"/>
      <c r="J22" s="60"/>
      <c r="K22" s="60"/>
      <c r="L22" s="87"/>
    </row>
    <row r="23" spans="1:13" ht="18" customHeight="1">
      <c r="A23" s="17" t="s">
        <v>12</v>
      </c>
      <c r="B23" s="86"/>
      <c r="C23" s="61">
        <f>D23+E23</f>
        <v>2832</v>
      </c>
      <c r="D23" s="61">
        <v>2832</v>
      </c>
      <c r="E23" s="61">
        <v>0</v>
      </c>
      <c r="F23" s="61">
        <f>G23+H23</f>
        <v>2065</v>
      </c>
      <c r="G23" s="61">
        <f>2053+12</f>
        <v>2065</v>
      </c>
      <c r="H23" s="61">
        <v>0</v>
      </c>
      <c r="I23" s="61">
        <f>J23+K23</f>
        <v>2455</v>
      </c>
      <c r="J23" s="61">
        <f>1786+1-11+1+674+4</f>
        <v>2455</v>
      </c>
      <c r="K23" s="61">
        <v>0</v>
      </c>
      <c r="L23" s="88"/>
      <c r="M23" s="192"/>
    </row>
    <row r="24" spans="1:13" ht="17.25" customHeight="1">
      <c r="A24" s="18" t="s">
        <v>21</v>
      </c>
      <c r="B24" s="86"/>
      <c r="C24" s="89"/>
      <c r="D24" s="89"/>
      <c r="E24" s="89"/>
      <c r="F24" s="89"/>
      <c r="G24" s="89"/>
      <c r="H24" s="89"/>
      <c r="I24" s="89"/>
      <c r="J24" s="89"/>
      <c r="K24" s="89"/>
      <c r="L24" s="87"/>
      <c r="M24" s="192"/>
    </row>
    <row r="25" spans="1:12" ht="16.5">
      <c r="A25" s="19" t="s">
        <v>15</v>
      </c>
      <c r="B25" s="86"/>
      <c r="C25" s="90">
        <f>D25+E25</f>
        <v>2253.0706214689267</v>
      </c>
      <c r="D25" s="90">
        <f>D20/D23</f>
        <v>2253.0706214689267</v>
      </c>
      <c r="E25" s="90">
        <v>0</v>
      </c>
      <c r="F25" s="90">
        <f>G25+H25</f>
        <v>3317.167554479419</v>
      </c>
      <c r="G25" s="91">
        <f>G20/G23</f>
        <v>3317.167554479419</v>
      </c>
      <c r="H25" s="90">
        <v>0</v>
      </c>
      <c r="I25" s="90">
        <f>J25+K25</f>
        <v>3156.6395112016294</v>
      </c>
      <c r="J25" s="91">
        <f>J20/J23</f>
        <v>3156.6395112016294</v>
      </c>
      <c r="K25" s="90">
        <v>0</v>
      </c>
      <c r="L25" s="92"/>
    </row>
    <row r="26" spans="1:12" ht="16.5">
      <c r="A26" s="16" t="s">
        <v>20</v>
      </c>
      <c r="B26" s="86"/>
      <c r="C26" s="90"/>
      <c r="D26" s="90"/>
      <c r="E26" s="90"/>
      <c r="F26" s="90"/>
      <c r="G26" s="91"/>
      <c r="H26" s="90"/>
      <c r="I26" s="90"/>
      <c r="J26" s="91"/>
      <c r="K26" s="90"/>
      <c r="L26" s="92"/>
    </row>
    <row r="27" spans="1:12" ht="38.25" customHeight="1">
      <c r="A27" s="19" t="s">
        <v>38</v>
      </c>
      <c r="B27" s="86"/>
      <c r="C27" s="93">
        <f>D27+E27</f>
        <v>186.16789228415342</v>
      </c>
      <c r="D27" s="93">
        <f>D20/3427388*100</f>
        <v>186.16789228415342</v>
      </c>
      <c r="E27" s="93">
        <v>0</v>
      </c>
      <c r="F27" s="93">
        <f>G27+H27</f>
        <v>107.35429175751361</v>
      </c>
      <c r="G27" s="94">
        <f>G20/D20*100</f>
        <v>107.35429175751361</v>
      </c>
      <c r="H27" s="93">
        <v>0</v>
      </c>
      <c r="I27" s="93">
        <f>J27+K27</f>
        <v>113.13292606034699</v>
      </c>
      <c r="J27" s="94">
        <f>J20/G20*100</f>
        <v>113.13292606034699</v>
      </c>
      <c r="K27" s="93">
        <v>0</v>
      </c>
      <c r="L27" s="92"/>
    </row>
    <row r="28" spans="1:12" ht="22.5" customHeight="1">
      <c r="A28" s="195" t="s">
        <v>35</v>
      </c>
      <c r="B28" s="75" t="s">
        <v>28</v>
      </c>
      <c r="C28" s="84">
        <f>C29+C30</f>
        <v>398333</v>
      </c>
      <c r="D28" s="84">
        <f>D29+D30</f>
        <v>398333</v>
      </c>
      <c r="E28" s="84">
        <f>E29+E30</f>
        <v>0</v>
      </c>
      <c r="F28" s="84">
        <f aca="true" t="shared" si="0" ref="F28:K28">F29+F30</f>
        <v>342547</v>
      </c>
      <c r="G28" s="84">
        <f t="shared" si="0"/>
        <v>342547</v>
      </c>
      <c r="H28" s="84">
        <f t="shared" si="0"/>
        <v>0</v>
      </c>
      <c r="I28" s="84">
        <f t="shared" si="0"/>
        <v>860434</v>
      </c>
      <c r="J28" s="84">
        <f t="shared" si="0"/>
        <v>785434</v>
      </c>
      <c r="K28" s="84">
        <f t="shared" si="0"/>
        <v>75000</v>
      </c>
      <c r="L28" s="95"/>
    </row>
    <row r="29" spans="1:13" ht="22.5" customHeight="1">
      <c r="A29" s="195"/>
      <c r="B29" s="83" t="s">
        <v>220</v>
      </c>
      <c r="C29" s="84">
        <f>D29+E29</f>
        <v>261080</v>
      </c>
      <c r="D29" s="84">
        <v>261080</v>
      </c>
      <c r="E29" s="84">
        <v>0</v>
      </c>
      <c r="F29" s="84">
        <f>G29+H29</f>
        <v>174693</v>
      </c>
      <c r="G29" s="59">
        <v>174693</v>
      </c>
      <c r="H29" s="59">
        <v>0</v>
      </c>
      <c r="I29" s="84">
        <f>J29+K29</f>
        <v>704768</v>
      </c>
      <c r="J29" s="59">
        <f>574768+55000</f>
        <v>629768</v>
      </c>
      <c r="K29" s="59">
        <v>75000</v>
      </c>
      <c r="L29" s="85"/>
      <c r="M29" s="192"/>
    </row>
    <row r="30" spans="1:13" ht="22.5" customHeight="1">
      <c r="A30" s="195"/>
      <c r="B30" s="83" t="s">
        <v>221</v>
      </c>
      <c r="C30" s="84">
        <f>D30+E30</f>
        <v>137253</v>
      </c>
      <c r="D30" s="84">
        <v>137253</v>
      </c>
      <c r="E30" s="84">
        <v>0</v>
      </c>
      <c r="F30" s="84">
        <f>G30+H30</f>
        <v>167854</v>
      </c>
      <c r="G30" s="59">
        <v>167854</v>
      </c>
      <c r="H30" s="84">
        <v>0</v>
      </c>
      <c r="I30" s="84">
        <f>J30+K30</f>
        <v>155666</v>
      </c>
      <c r="J30" s="59">
        <v>155666</v>
      </c>
      <c r="K30" s="84">
        <v>0</v>
      </c>
      <c r="L30" s="95"/>
      <c r="M30" s="192"/>
    </row>
    <row r="31" spans="1:12" ht="16.5">
      <c r="A31" s="7" t="s">
        <v>5</v>
      </c>
      <c r="B31" s="86"/>
      <c r="C31" s="89"/>
      <c r="D31" s="89"/>
      <c r="E31" s="89"/>
      <c r="F31" s="89"/>
      <c r="G31" s="89"/>
      <c r="H31" s="89"/>
      <c r="I31" s="89"/>
      <c r="J31" s="89"/>
      <c r="K31" s="89"/>
      <c r="L31" s="87"/>
    </row>
    <row r="32" spans="1:12" ht="16.5">
      <c r="A32" s="8" t="s">
        <v>6</v>
      </c>
      <c r="B32" s="86"/>
      <c r="C32" s="89"/>
      <c r="D32" s="89"/>
      <c r="E32" s="89"/>
      <c r="F32" s="89"/>
      <c r="G32" s="89"/>
      <c r="H32" s="89"/>
      <c r="I32" s="89"/>
      <c r="J32" s="89"/>
      <c r="K32" s="89"/>
      <c r="L32" s="87"/>
    </row>
    <row r="33" spans="1:12" ht="17.25" customHeight="1">
      <c r="A33" s="17" t="s">
        <v>13</v>
      </c>
      <c r="B33" s="86"/>
      <c r="C33" s="96">
        <f>D33+E33</f>
        <v>186</v>
      </c>
      <c r="D33" s="96">
        <v>186</v>
      </c>
      <c r="E33" s="96">
        <v>0</v>
      </c>
      <c r="F33" s="96">
        <f>G33+H33</f>
        <v>183</v>
      </c>
      <c r="G33" s="96">
        <v>183</v>
      </c>
      <c r="H33" s="96">
        <v>0</v>
      </c>
      <c r="I33" s="96">
        <f>J33+K33</f>
        <v>300</v>
      </c>
      <c r="J33" s="96">
        <f>288+11</f>
        <v>299</v>
      </c>
      <c r="K33" s="96">
        <v>1</v>
      </c>
      <c r="L33" s="88"/>
    </row>
    <row r="34" spans="1:12" ht="19.5" customHeight="1">
      <c r="A34" s="21"/>
      <c r="B34" s="97"/>
      <c r="C34" s="98"/>
      <c r="D34" s="98"/>
      <c r="E34" s="98"/>
      <c r="F34" s="92"/>
      <c r="G34" s="92"/>
      <c r="H34" s="92"/>
      <c r="I34" s="92"/>
      <c r="J34" s="92"/>
      <c r="K34" s="92"/>
      <c r="L34" s="92"/>
    </row>
    <row r="35" spans="1:14" s="4" customFormat="1" ht="26.25" customHeight="1">
      <c r="A35" s="11"/>
      <c r="B35" s="10"/>
      <c r="C35" s="99"/>
      <c r="D35" s="99"/>
      <c r="E35" s="99"/>
      <c r="F35" s="99"/>
      <c r="G35" s="99"/>
      <c r="H35" s="99"/>
      <c r="I35" s="201" t="s">
        <v>218</v>
      </c>
      <c r="J35" s="201"/>
      <c r="K35" s="201"/>
      <c r="L35" s="99"/>
      <c r="N35" s="67"/>
    </row>
    <row r="36" spans="1:14" s="4" customFormat="1" ht="14.25">
      <c r="A36" s="13">
        <v>1</v>
      </c>
      <c r="B36" s="70">
        <v>2</v>
      </c>
      <c r="C36" s="68">
        <v>3</v>
      </c>
      <c r="D36" s="68">
        <v>4</v>
      </c>
      <c r="E36" s="68">
        <v>5</v>
      </c>
      <c r="F36" s="68">
        <v>6</v>
      </c>
      <c r="G36" s="68">
        <v>7</v>
      </c>
      <c r="H36" s="68">
        <v>8</v>
      </c>
      <c r="I36" s="68">
        <v>9</v>
      </c>
      <c r="J36" s="68">
        <v>10</v>
      </c>
      <c r="K36" s="68">
        <v>11</v>
      </c>
      <c r="L36" s="69"/>
      <c r="N36" s="67"/>
    </row>
    <row r="37" spans="1:12" ht="18.75" customHeight="1">
      <c r="A37" s="18" t="s">
        <v>21</v>
      </c>
      <c r="B37" s="86"/>
      <c r="C37" s="89"/>
      <c r="D37" s="89"/>
      <c r="E37" s="89"/>
      <c r="F37" s="100"/>
      <c r="G37" s="100"/>
      <c r="H37" s="100"/>
      <c r="I37" s="100"/>
      <c r="J37" s="100"/>
      <c r="K37" s="100"/>
      <c r="L37" s="87"/>
    </row>
    <row r="38" spans="1:12" ht="15.75" customHeight="1">
      <c r="A38" s="19" t="s">
        <v>16</v>
      </c>
      <c r="B38" s="86"/>
      <c r="C38" s="90">
        <f>D38+E38</f>
        <v>2141.5752688172042</v>
      </c>
      <c r="D38" s="90">
        <f>D28/D33</f>
        <v>2141.5752688172042</v>
      </c>
      <c r="E38" s="90">
        <v>0</v>
      </c>
      <c r="F38" s="90">
        <f>G38+H38</f>
        <v>1871.8415300546449</v>
      </c>
      <c r="G38" s="91">
        <f>G28/G33</f>
        <v>1871.8415300546449</v>
      </c>
      <c r="H38" s="91">
        <v>0</v>
      </c>
      <c r="I38" s="90">
        <f>I28/I33</f>
        <v>2868.1133333333332</v>
      </c>
      <c r="J38" s="91">
        <f>J28/J33</f>
        <v>2626.8695652173915</v>
      </c>
      <c r="K38" s="91">
        <f>K28/K33</f>
        <v>75000</v>
      </c>
      <c r="L38" s="101"/>
    </row>
    <row r="39" spans="1:12" ht="16.5">
      <c r="A39" s="16" t="s">
        <v>20</v>
      </c>
      <c r="B39" s="86"/>
      <c r="C39" s="90"/>
      <c r="D39" s="90"/>
      <c r="E39" s="90"/>
      <c r="F39" s="90"/>
      <c r="G39" s="91"/>
      <c r="H39" s="91"/>
      <c r="I39" s="90"/>
      <c r="J39" s="91"/>
      <c r="K39" s="91"/>
      <c r="L39" s="101"/>
    </row>
    <row r="40" spans="1:12" ht="31.5" customHeight="1">
      <c r="A40" s="19" t="s">
        <v>38</v>
      </c>
      <c r="B40" s="86"/>
      <c r="C40" s="93">
        <f>C28/364840*100</f>
        <v>109.18018857581406</v>
      </c>
      <c r="D40" s="93">
        <f>D28/324840*100</f>
        <v>122.62436892008373</v>
      </c>
      <c r="E40" s="93">
        <v>0</v>
      </c>
      <c r="F40" s="93">
        <f>F28/C28*100</f>
        <v>85.99513472396211</v>
      </c>
      <c r="G40" s="94">
        <f>G28/D28*100</f>
        <v>85.99513472396211</v>
      </c>
      <c r="H40" s="94">
        <v>0</v>
      </c>
      <c r="I40" s="93">
        <f>I28/F28*100</f>
        <v>251.18713636376907</v>
      </c>
      <c r="J40" s="94">
        <f>J28/G28*100</f>
        <v>229.29233068746774</v>
      </c>
      <c r="K40" s="94">
        <v>0</v>
      </c>
      <c r="L40" s="101"/>
    </row>
    <row r="41" spans="1:12" ht="57" customHeight="1">
      <c r="A41" s="20" t="s">
        <v>161</v>
      </c>
      <c r="B41" s="102" t="s">
        <v>220</v>
      </c>
      <c r="C41" s="84">
        <f>D41+E41</f>
        <v>124140</v>
      </c>
      <c r="D41" s="84">
        <v>124140</v>
      </c>
      <c r="E41" s="84">
        <v>0</v>
      </c>
      <c r="F41" s="84">
        <f>G41+H41</f>
        <v>134600</v>
      </c>
      <c r="G41" s="59">
        <v>134600</v>
      </c>
      <c r="H41" s="84">
        <v>0</v>
      </c>
      <c r="I41" s="84">
        <f>J41+K41</f>
        <v>174000</v>
      </c>
      <c r="J41" s="59">
        <f>30000+144000</f>
        <v>174000</v>
      </c>
      <c r="K41" s="84">
        <v>0</v>
      </c>
      <c r="L41" s="95"/>
    </row>
    <row r="42" spans="1:12" ht="15">
      <c r="A42" s="7" t="s">
        <v>5</v>
      </c>
      <c r="B42" s="75"/>
      <c r="C42" s="60"/>
      <c r="D42" s="60"/>
      <c r="E42" s="60"/>
      <c r="F42" s="60"/>
      <c r="G42" s="60"/>
      <c r="H42" s="60"/>
      <c r="I42" s="60"/>
      <c r="J42" s="60"/>
      <c r="K42" s="60"/>
      <c r="L42" s="87"/>
    </row>
    <row r="43" spans="1:12" ht="15">
      <c r="A43" s="8" t="s">
        <v>6</v>
      </c>
      <c r="B43" s="75"/>
      <c r="C43" s="60"/>
      <c r="D43" s="60"/>
      <c r="E43" s="60"/>
      <c r="F43" s="60"/>
      <c r="G43" s="60"/>
      <c r="H43" s="60"/>
      <c r="I43" s="60"/>
      <c r="J43" s="60"/>
      <c r="K43" s="60"/>
      <c r="L43" s="87"/>
    </row>
    <row r="44" spans="1:12" ht="29.25" customHeight="1">
      <c r="A44" s="22" t="s">
        <v>14</v>
      </c>
      <c r="B44" s="75"/>
      <c r="C44" s="96">
        <f>D44+E44</f>
        <v>572</v>
      </c>
      <c r="D44" s="96">
        <v>572</v>
      </c>
      <c r="E44" s="96">
        <v>0</v>
      </c>
      <c r="F44" s="96">
        <f>G44+H44</f>
        <v>504</v>
      </c>
      <c r="G44" s="96">
        <v>504</v>
      </c>
      <c r="H44" s="96">
        <v>0</v>
      </c>
      <c r="I44" s="96">
        <f>J44+K44</f>
        <v>521</v>
      </c>
      <c r="J44" s="96">
        <f>60+461</f>
        <v>521</v>
      </c>
      <c r="K44" s="96">
        <v>0</v>
      </c>
      <c r="L44" s="88"/>
    </row>
    <row r="45" spans="1:12" ht="15">
      <c r="A45" s="18" t="s">
        <v>21</v>
      </c>
      <c r="B45" s="75"/>
      <c r="C45" s="103"/>
      <c r="D45" s="103"/>
      <c r="E45" s="103"/>
      <c r="F45" s="103"/>
      <c r="G45" s="103"/>
      <c r="H45" s="103"/>
      <c r="I45" s="103"/>
      <c r="J45" s="103"/>
      <c r="K45" s="103"/>
      <c r="L45" s="92"/>
    </row>
    <row r="46" spans="1:12" ht="18" customHeight="1">
      <c r="A46" s="19" t="s">
        <v>17</v>
      </c>
      <c r="B46" s="75"/>
      <c r="C46" s="90">
        <f>D46+E46</f>
        <v>217.02797202797203</v>
      </c>
      <c r="D46" s="90">
        <f>D41/D44</f>
        <v>217.02797202797203</v>
      </c>
      <c r="E46" s="90">
        <v>0</v>
      </c>
      <c r="F46" s="90">
        <f>G46+H46</f>
        <v>267.06349206349205</v>
      </c>
      <c r="G46" s="91">
        <f>G41/G44</f>
        <v>267.06349206349205</v>
      </c>
      <c r="H46" s="90">
        <v>0</v>
      </c>
      <c r="I46" s="90">
        <f>J46+K46</f>
        <v>333.97312859884835</v>
      </c>
      <c r="J46" s="91">
        <f>J41/J44</f>
        <v>333.97312859884835</v>
      </c>
      <c r="K46" s="90">
        <v>0</v>
      </c>
      <c r="L46" s="92"/>
    </row>
    <row r="47" spans="1:12" ht="18" customHeight="1">
      <c r="A47" s="16" t="s">
        <v>20</v>
      </c>
      <c r="B47" s="75"/>
      <c r="C47" s="90"/>
      <c r="D47" s="90"/>
      <c r="E47" s="90"/>
      <c r="F47" s="90"/>
      <c r="G47" s="91"/>
      <c r="H47" s="90"/>
      <c r="I47" s="90"/>
      <c r="J47" s="91"/>
      <c r="K47" s="90"/>
      <c r="L47" s="92"/>
    </row>
    <row r="48" spans="1:12" ht="33" customHeight="1">
      <c r="A48" s="9" t="s">
        <v>38</v>
      </c>
      <c r="B48" s="75"/>
      <c r="C48" s="93">
        <f>D48+E48</f>
        <v>111.23655913978494</v>
      </c>
      <c r="D48" s="93">
        <f>D41/111600*100</f>
        <v>111.23655913978494</v>
      </c>
      <c r="E48" s="93">
        <v>0</v>
      </c>
      <c r="F48" s="93">
        <f>F41/C41*100</f>
        <v>108.42597067826647</v>
      </c>
      <c r="G48" s="94">
        <f>G41/D41*100</f>
        <v>108.42597067826647</v>
      </c>
      <c r="H48" s="93">
        <v>0</v>
      </c>
      <c r="I48" s="93">
        <f>I41/F41*100</f>
        <v>129.27191679049034</v>
      </c>
      <c r="J48" s="94">
        <f>J41/G41*100</f>
        <v>129.27191679049034</v>
      </c>
      <c r="K48" s="93">
        <v>0</v>
      </c>
      <c r="L48" s="92"/>
    </row>
    <row r="49" spans="1:14" s="4" customFormat="1" ht="117" customHeight="1">
      <c r="A49" s="20" t="s">
        <v>88</v>
      </c>
      <c r="B49" s="104" t="s">
        <v>221</v>
      </c>
      <c r="C49" s="84">
        <f>D49+E49</f>
        <v>97047</v>
      </c>
      <c r="D49" s="84">
        <v>97047</v>
      </c>
      <c r="E49" s="84">
        <v>0</v>
      </c>
      <c r="F49" s="84">
        <f>G49+H49</f>
        <v>0</v>
      </c>
      <c r="G49" s="59">
        <v>0</v>
      </c>
      <c r="H49" s="84">
        <v>0</v>
      </c>
      <c r="I49" s="84">
        <f>J49+K49</f>
        <v>0</v>
      </c>
      <c r="J49" s="59">
        <f>G49*1.043</f>
        <v>0</v>
      </c>
      <c r="K49" s="84">
        <v>0</v>
      </c>
      <c r="L49" s="105"/>
      <c r="N49" s="67"/>
    </row>
    <row r="50" spans="1:14" s="4" customFormat="1" ht="19.5" customHeight="1">
      <c r="A50" s="7" t="s">
        <v>5</v>
      </c>
      <c r="B50" s="75"/>
      <c r="C50" s="103"/>
      <c r="D50" s="103"/>
      <c r="E50" s="103"/>
      <c r="F50" s="103"/>
      <c r="G50" s="103"/>
      <c r="H50" s="103"/>
      <c r="I50" s="103"/>
      <c r="J50" s="103"/>
      <c r="K50" s="103"/>
      <c r="L50" s="106"/>
      <c r="N50" s="67"/>
    </row>
    <row r="51" spans="1:14" s="4" customFormat="1" ht="14.25">
      <c r="A51" s="23" t="s">
        <v>6</v>
      </c>
      <c r="B51" s="70"/>
      <c r="C51" s="68"/>
      <c r="D51" s="68"/>
      <c r="E51" s="68"/>
      <c r="F51" s="68"/>
      <c r="G51" s="68"/>
      <c r="H51" s="68"/>
      <c r="I51" s="68"/>
      <c r="J51" s="68"/>
      <c r="K51" s="68"/>
      <c r="L51" s="106"/>
      <c r="N51" s="67"/>
    </row>
    <row r="52" spans="1:14" s="4" customFormat="1" ht="75" customHeight="1">
      <c r="A52" s="24" t="s">
        <v>89</v>
      </c>
      <c r="B52" s="70"/>
      <c r="C52" s="107">
        <f>D52+E52</f>
        <v>9</v>
      </c>
      <c r="D52" s="107">
        <v>9</v>
      </c>
      <c r="E52" s="107">
        <v>0</v>
      </c>
      <c r="F52" s="107">
        <f>H52+G52</f>
        <v>0</v>
      </c>
      <c r="G52" s="107">
        <v>0</v>
      </c>
      <c r="H52" s="107">
        <v>0</v>
      </c>
      <c r="I52" s="107">
        <f>J52+K52</f>
        <v>0</v>
      </c>
      <c r="J52" s="107">
        <v>0</v>
      </c>
      <c r="K52" s="107">
        <v>0</v>
      </c>
      <c r="L52" s="106"/>
      <c r="N52" s="67"/>
    </row>
    <row r="53" spans="1:14" s="4" customFormat="1" ht="15" customHeight="1">
      <c r="A53" s="18" t="s">
        <v>21</v>
      </c>
      <c r="B53" s="75"/>
      <c r="C53" s="103"/>
      <c r="D53" s="103"/>
      <c r="E53" s="103"/>
      <c r="F53" s="103"/>
      <c r="G53" s="103"/>
      <c r="H53" s="103"/>
      <c r="I53" s="103"/>
      <c r="J53" s="103"/>
      <c r="K53" s="103"/>
      <c r="L53" s="98"/>
      <c r="N53" s="67"/>
    </row>
    <row r="54" spans="1:14" s="4" customFormat="1" ht="21" customHeight="1">
      <c r="A54" s="9" t="s">
        <v>47</v>
      </c>
      <c r="B54" s="75"/>
      <c r="C54" s="90">
        <f>D54+E54</f>
        <v>10783</v>
      </c>
      <c r="D54" s="90">
        <f>D49/D52</f>
        <v>10783</v>
      </c>
      <c r="E54" s="90">
        <v>0</v>
      </c>
      <c r="F54" s="90">
        <f>G54+H54</f>
        <v>0</v>
      </c>
      <c r="G54" s="91">
        <v>0</v>
      </c>
      <c r="H54" s="90">
        <v>0</v>
      </c>
      <c r="I54" s="90">
        <f>J54+K54</f>
        <v>0</v>
      </c>
      <c r="J54" s="91">
        <f>G54*1.043</f>
        <v>0</v>
      </c>
      <c r="K54" s="90">
        <v>0</v>
      </c>
      <c r="L54" s="98"/>
      <c r="N54" s="67"/>
    </row>
    <row r="55" spans="1:14" s="4" customFormat="1" ht="19.5" customHeight="1">
      <c r="A55" s="16" t="s">
        <v>20</v>
      </c>
      <c r="B55" s="75"/>
      <c r="C55" s="90"/>
      <c r="D55" s="90"/>
      <c r="E55" s="90"/>
      <c r="F55" s="90"/>
      <c r="G55" s="90"/>
      <c r="H55" s="90"/>
      <c r="I55" s="90"/>
      <c r="J55" s="90"/>
      <c r="K55" s="90"/>
      <c r="L55" s="98"/>
      <c r="N55" s="67"/>
    </row>
    <row r="56" spans="1:14" s="4" customFormat="1" ht="29.25" customHeight="1">
      <c r="A56" s="9" t="s">
        <v>38</v>
      </c>
      <c r="B56" s="75"/>
      <c r="C56" s="93">
        <f>+D56+E56</f>
        <v>105.5</v>
      </c>
      <c r="D56" s="93">
        <v>105.5</v>
      </c>
      <c r="E56" s="93">
        <v>0</v>
      </c>
      <c r="F56" s="93">
        <v>0</v>
      </c>
      <c r="G56" s="93">
        <v>0</v>
      </c>
      <c r="H56" s="93">
        <v>0</v>
      </c>
      <c r="I56" s="93">
        <v>0</v>
      </c>
      <c r="J56" s="93">
        <v>0</v>
      </c>
      <c r="K56" s="93">
        <v>0</v>
      </c>
      <c r="L56" s="98"/>
      <c r="N56" s="67"/>
    </row>
    <row r="57" spans="1:14" s="4" customFormat="1" ht="61.5" customHeight="1">
      <c r="A57" s="25" t="s">
        <v>67</v>
      </c>
      <c r="B57" s="102" t="s">
        <v>220</v>
      </c>
      <c r="C57" s="84">
        <f>D57+E57</f>
        <v>15000</v>
      </c>
      <c r="D57" s="84">
        <v>15000</v>
      </c>
      <c r="E57" s="84">
        <v>0</v>
      </c>
      <c r="F57" s="84">
        <f>G57+H57</f>
        <v>0</v>
      </c>
      <c r="G57" s="84">
        <v>0</v>
      </c>
      <c r="H57" s="84">
        <v>0</v>
      </c>
      <c r="I57" s="84">
        <f>J57+K57</f>
        <v>0</v>
      </c>
      <c r="J57" s="84">
        <v>0</v>
      </c>
      <c r="K57" s="84">
        <v>0</v>
      </c>
      <c r="L57" s="98"/>
      <c r="N57" s="67"/>
    </row>
    <row r="58" spans="1:14" s="4" customFormat="1" ht="17.25" customHeight="1">
      <c r="A58" s="26" t="s">
        <v>5</v>
      </c>
      <c r="B58" s="75"/>
      <c r="C58" s="93"/>
      <c r="D58" s="93"/>
      <c r="E58" s="93"/>
      <c r="F58" s="93"/>
      <c r="G58" s="93"/>
      <c r="H58" s="93"/>
      <c r="I58" s="93"/>
      <c r="J58" s="93"/>
      <c r="K58" s="93"/>
      <c r="L58" s="98"/>
      <c r="N58" s="67"/>
    </row>
    <row r="59" spans="1:14" s="4" customFormat="1" ht="17.25" customHeight="1">
      <c r="A59" s="16" t="s">
        <v>60</v>
      </c>
      <c r="B59" s="75"/>
      <c r="C59" s="93"/>
      <c r="D59" s="93"/>
      <c r="E59" s="93"/>
      <c r="F59" s="93"/>
      <c r="G59" s="93"/>
      <c r="H59" s="93"/>
      <c r="I59" s="93"/>
      <c r="J59" s="93"/>
      <c r="K59" s="93"/>
      <c r="L59" s="98"/>
      <c r="N59" s="67"/>
    </row>
    <row r="60" spans="1:14" s="4" customFormat="1" ht="17.25" customHeight="1">
      <c r="A60" s="19" t="s">
        <v>61</v>
      </c>
      <c r="B60" s="75"/>
      <c r="C60" s="61">
        <f>D60+E60</f>
        <v>1</v>
      </c>
      <c r="D60" s="61">
        <v>1</v>
      </c>
      <c r="E60" s="61">
        <v>0</v>
      </c>
      <c r="F60" s="61">
        <f>G60+H60</f>
        <v>0</v>
      </c>
      <c r="G60" s="61">
        <v>0</v>
      </c>
      <c r="H60" s="61">
        <v>0</v>
      </c>
      <c r="I60" s="61">
        <f>J60+K60</f>
        <v>0</v>
      </c>
      <c r="J60" s="61">
        <v>0</v>
      </c>
      <c r="K60" s="61">
        <v>0</v>
      </c>
      <c r="L60" s="98"/>
      <c r="N60" s="67"/>
    </row>
    <row r="61" spans="1:14" s="4" customFormat="1" ht="17.25" customHeight="1">
      <c r="A61" s="19" t="s">
        <v>62</v>
      </c>
      <c r="B61" s="75"/>
      <c r="C61" s="61">
        <f>D61+E61</f>
        <v>4</v>
      </c>
      <c r="D61" s="61">
        <v>4</v>
      </c>
      <c r="E61" s="61">
        <v>0</v>
      </c>
      <c r="F61" s="61">
        <f>G61+H61</f>
        <v>0</v>
      </c>
      <c r="G61" s="61">
        <v>0</v>
      </c>
      <c r="H61" s="61">
        <v>0</v>
      </c>
      <c r="I61" s="61">
        <f>J61+K61</f>
        <v>0</v>
      </c>
      <c r="J61" s="61">
        <v>0</v>
      </c>
      <c r="K61" s="61">
        <v>0</v>
      </c>
      <c r="L61" s="98"/>
      <c r="N61" s="67"/>
    </row>
    <row r="62" spans="1:14" s="4" customFormat="1" ht="19.5" customHeight="1">
      <c r="A62" s="27" t="s">
        <v>6</v>
      </c>
      <c r="B62" s="75"/>
      <c r="C62" s="93"/>
      <c r="D62" s="93"/>
      <c r="E62" s="93"/>
      <c r="F62" s="93"/>
      <c r="G62" s="93"/>
      <c r="H62" s="93"/>
      <c r="I62" s="93"/>
      <c r="J62" s="93"/>
      <c r="K62" s="93"/>
      <c r="L62" s="98"/>
      <c r="N62" s="67"/>
    </row>
    <row r="63" spans="1:14" s="4" customFormat="1" ht="19.5" customHeight="1">
      <c r="A63" s="19" t="s">
        <v>63</v>
      </c>
      <c r="B63" s="75"/>
      <c r="C63" s="61">
        <f>D63+E63</f>
        <v>50</v>
      </c>
      <c r="D63" s="61">
        <v>50</v>
      </c>
      <c r="E63" s="61">
        <v>0</v>
      </c>
      <c r="F63" s="61">
        <f>G63+H63</f>
        <v>0</v>
      </c>
      <c r="G63" s="61">
        <v>0</v>
      </c>
      <c r="H63" s="61">
        <v>0</v>
      </c>
      <c r="I63" s="61">
        <f>J63+K63</f>
        <v>0</v>
      </c>
      <c r="J63" s="61">
        <v>0</v>
      </c>
      <c r="K63" s="61">
        <v>0</v>
      </c>
      <c r="L63" s="98"/>
      <c r="N63" s="67"/>
    </row>
    <row r="64" spans="1:12" ht="19.5" customHeight="1">
      <c r="A64" s="21"/>
      <c r="B64" s="97"/>
      <c r="C64" s="98"/>
      <c r="D64" s="98"/>
      <c r="E64" s="98"/>
      <c r="F64" s="92"/>
      <c r="G64" s="92"/>
      <c r="H64" s="92"/>
      <c r="I64" s="92"/>
      <c r="J64" s="92"/>
      <c r="K64" s="92"/>
      <c r="L64" s="92"/>
    </row>
    <row r="65" spans="1:14" s="4" customFormat="1" ht="26.25" customHeight="1">
      <c r="A65" s="11"/>
      <c r="B65" s="10"/>
      <c r="C65" s="99"/>
      <c r="D65" s="99"/>
      <c r="E65" s="99"/>
      <c r="F65" s="99"/>
      <c r="G65" s="99"/>
      <c r="H65" s="99"/>
      <c r="I65" s="201" t="s">
        <v>218</v>
      </c>
      <c r="J65" s="201"/>
      <c r="K65" s="201"/>
      <c r="L65" s="99"/>
      <c r="N65" s="67"/>
    </row>
    <row r="66" spans="1:14" s="4" customFormat="1" ht="14.25">
      <c r="A66" s="13">
        <v>1</v>
      </c>
      <c r="B66" s="70">
        <v>2</v>
      </c>
      <c r="C66" s="68">
        <v>3</v>
      </c>
      <c r="D66" s="68">
        <v>4</v>
      </c>
      <c r="E66" s="68">
        <v>5</v>
      </c>
      <c r="F66" s="68">
        <v>6</v>
      </c>
      <c r="G66" s="68">
        <v>7</v>
      </c>
      <c r="H66" s="68">
        <v>8</v>
      </c>
      <c r="I66" s="68">
        <v>9</v>
      </c>
      <c r="J66" s="68">
        <v>10</v>
      </c>
      <c r="K66" s="68">
        <v>11</v>
      </c>
      <c r="L66" s="69"/>
      <c r="N66" s="67"/>
    </row>
    <row r="67" spans="1:14" s="4" customFormat="1" ht="17.25" customHeight="1">
      <c r="A67" s="18" t="s">
        <v>21</v>
      </c>
      <c r="B67" s="75"/>
      <c r="C67" s="93"/>
      <c r="D67" s="93"/>
      <c r="E67" s="93"/>
      <c r="F67" s="93"/>
      <c r="G67" s="93"/>
      <c r="H67" s="93"/>
      <c r="I67" s="93"/>
      <c r="J67" s="93"/>
      <c r="K67" s="93"/>
      <c r="L67" s="98"/>
      <c r="N67" s="67"/>
    </row>
    <row r="68" spans="1:14" s="4" customFormat="1" ht="19.5" customHeight="1">
      <c r="A68" s="19" t="s">
        <v>64</v>
      </c>
      <c r="B68" s="75"/>
      <c r="C68" s="93">
        <f>D68+E68</f>
        <v>300</v>
      </c>
      <c r="D68" s="93">
        <v>300</v>
      </c>
      <c r="E68" s="93">
        <v>0</v>
      </c>
      <c r="F68" s="93">
        <f>G68+H68</f>
        <v>0</v>
      </c>
      <c r="G68" s="93">
        <v>0</v>
      </c>
      <c r="H68" s="93">
        <v>0</v>
      </c>
      <c r="I68" s="93">
        <f>J68+K68</f>
        <v>0</v>
      </c>
      <c r="J68" s="93">
        <v>0</v>
      </c>
      <c r="K68" s="93">
        <v>0</v>
      </c>
      <c r="L68" s="98"/>
      <c r="N68" s="67"/>
    </row>
    <row r="69" spans="1:14" s="4" customFormat="1" ht="19.5" customHeight="1">
      <c r="A69" s="16" t="s">
        <v>20</v>
      </c>
      <c r="B69" s="75"/>
      <c r="C69" s="93"/>
      <c r="D69" s="93"/>
      <c r="E69" s="93"/>
      <c r="F69" s="93"/>
      <c r="G69" s="93"/>
      <c r="H69" s="93"/>
      <c r="I69" s="93"/>
      <c r="J69" s="93"/>
      <c r="K69" s="93"/>
      <c r="L69" s="98"/>
      <c r="N69" s="67"/>
    </row>
    <row r="70" spans="1:14" s="4" customFormat="1" ht="29.25" customHeight="1">
      <c r="A70" s="19" t="s">
        <v>65</v>
      </c>
      <c r="B70" s="75"/>
      <c r="C70" s="93">
        <f>D70+E70</f>
        <v>100</v>
      </c>
      <c r="D70" s="93">
        <v>100</v>
      </c>
      <c r="E70" s="93">
        <v>0</v>
      </c>
      <c r="F70" s="93">
        <f>G70+H70</f>
        <v>0</v>
      </c>
      <c r="G70" s="93">
        <v>0</v>
      </c>
      <c r="H70" s="93">
        <v>0</v>
      </c>
      <c r="I70" s="93">
        <f>J70+K70</f>
        <v>0</v>
      </c>
      <c r="J70" s="93">
        <v>0</v>
      </c>
      <c r="K70" s="93">
        <v>0</v>
      </c>
      <c r="L70" s="98"/>
      <c r="N70" s="67"/>
    </row>
    <row r="71" spans="1:14" s="4" customFormat="1" ht="48" customHeight="1">
      <c r="A71" s="28" t="s">
        <v>120</v>
      </c>
      <c r="B71" s="102" t="s">
        <v>220</v>
      </c>
      <c r="C71" s="84">
        <f>D71+E71</f>
        <v>0</v>
      </c>
      <c r="D71" s="84">
        <v>0</v>
      </c>
      <c r="E71" s="84">
        <v>0</v>
      </c>
      <c r="F71" s="84">
        <f>G71+H71</f>
        <v>14402</v>
      </c>
      <c r="G71" s="59">
        <v>14402</v>
      </c>
      <c r="H71" s="84">
        <v>0</v>
      </c>
      <c r="I71" s="84">
        <f>J71+K71</f>
        <v>14924</v>
      </c>
      <c r="J71" s="59">
        <v>14924</v>
      </c>
      <c r="K71" s="84">
        <v>0</v>
      </c>
      <c r="L71" s="105"/>
      <c r="N71" s="67"/>
    </row>
    <row r="72" spans="1:14" s="4" customFormat="1" ht="19.5" customHeight="1">
      <c r="A72" s="7" t="s">
        <v>5</v>
      </c>
      <c r="B72" s="75"/>
      <c r="C72" s="103"/>
      <c r="D72" s="103"/>
      <c r="E72" s="103"/>
      <c r="F72" s="103"/>
      <c r="G72" s="103"/>
      <c r="H72" s="103"/>
      <c r="I72" s="103"/>
      <c r="J72" s="103"/>
      <c r="K72" s="103"/>
      <c r="L72" s="98"/>
      <c r="N72" s="67"/>
    </row>
    <row r="73" spans="1:14" s="4" customFormat="1" ht="16.5">
      <c r="A73" s="16" t="s">
        <v>41</v>
      </c>
      <c r="B73" s="75"/>
      <c r="C73" s="89"/>
      <c r="D73" s="89"/>
      <c r="E73" s="89"/>
      <c r="F73" s="89"/>
      <c r="G73" s="89"/>
      <c r="H73" s="89"/>
      <c r="I73" s="89"/>
      <c r="J73" s="89"/>
      <c r="K73" s="89"/>
      <c r="L73" s="108"/>
      <c r="N73" s="67"/>
    </row>
    <row r="74" spans="1:14" s="4" customFormat="1" ht="30">
      <c r="A74" s="19" t="s">
        <v>121</v>
      </c>
      <c r="B74" s="75"/>
      <c r="C74" s="96">
        <v>0</v>
      </c>
      <c r="D74" s="96">
        <v>0</v>
      </c>
      <c r="E74" s="96">
        <v>0</v>
      </c>
      <c r="F74" s="96">
        <f>G74+H74</f>
        <v>1</v>
      </c>
      <c r="G74" s="96">
        <v>1</v>
      </c>
      <c r="H74" s="96">
        <v>0</v>
      </c>
      <c r="I74" s="96">
        <f>J74+K74</f>
        <v>1</v>
      </c>
      <c r="J74" s="96">
        <v>1</v>
      </c>
      <c r="K74" s="96">
        <v>0</v>
      </c>
      <c r="L74" s="108"/>
      <c r="N74" s="67"/>
    </row>
    <row r="75" spans="1:14" s="4" customFormat="1" ht="15" customHeight="1">
      <c r="A75" s="18" t="s">
        <v>21</v>
      </c>
      <c r="B75" s="75"/>
      <c r="C75" s="103"/>
      <c r="D75" s="103"/>
      <c r="E75" s="103"/>
      <c r="F75" s="103"/>
      <c r="G75" s="103"/>
      <c r="H75" s="103"/>
      <c r="I75" s="103"/>
      <c r="J75" s="103"/>
      <c r="K75" s="103"/>
      <c r="L75" s="98"/>
      <c r="N75" s="67"/>
    </row>
    <row r="76" spans="1:14" s="4" customFormat="1" ht="29.25" customHeight="1">
      <c r="A76" s="19" t="s">
        <v>119</v>
      </c>
      <c r="B76" s="75"/>
      <c r="C76" s="90">
        <f>D76+E76</f>
        <v>0</v>
      </c>
      <c r="D76" s="90">
        <v>0</v>
      </c>
      <c r="E76" s="90">
        <v>0</v>
      </c>
      <c r="F76" s="90">
        <f>G76+H76</f>
        <v>14402</v>
      </c>
      <c r="G76" s="91">
        <f>+G71/G74</f>
        <v>14402</v>
      </c>
      <c r="H76" s="90">
        <v>0</v>
      </c>
      <c r="I76" s="90">
        <f>J76+K76</f>
        <v>14924</v>
      </c>
      <c r="J76" s="91">
        <f>+J71/J74</f>
        <v>14924</v>
      </c>
      <c r="K76" s="90">
        <v>0</v>
      </c>
      <c r="L76" s="98"/>
      <c r="N76" s="67"/>
    </row>
    <row r="77" spans="1:14" s="4" customFormat="1" ht="19.5" customHeight="1">
      <c r="A77" s="16" t="s">
        <v>20</v>
      </c>
      <c r="B77" s="75"/>
      <c r="C77" s="90"/>
      <c r="D77" s="90"/>
      <c r="E77" s="90"/>
      <c r="F77" s="90"/>
      <c r="G77" s="90"/>
      <c r="H77" s="90"/>
      <c r="I77" s="90"/>
      <c r="J77" s="90"/>
      <c r="K77" s="90"/>
      <c r="L77" s="98"/>
      <c r="N77" s="67"/>
    </row>
    <row r="78" spans="1:14" s="4" customFormat="1" ht="29.25" customHeight="1">
      <c r="A78" s="19" t="s">
        <v>38</v>
      </c>
      <c r="B78" s="75"/>
      <c r="C78" s="93">
        <v>0</v>
      </c>
      <c r="D78" s="93">
        <v>0</v>
      </c>
      <c r="E78" s="93">
        <v>0</v>
      </c>
      <c r="F78" s="93">
        <v>0</v>
      </c>
      <c r="G78" s="93">
        <v>0</v>
      </c>
      <c r="H78" s="93">
        <v>0</v>
      </c>
      <c r="I78" s="93">
        <f>+J78+K78</f>
        <v>103.62449659769477</v>
      </c>
      <c r="J78" s="94">
        <f>J71/G71*100</f>
        <v>103.62449659769477</v>
      </c>
      <c r="K78" s="93">
        <v>0</v>
      </c>
      <c r="L78" s="98"/>
      <c r="N78" s="67"/>
    </row>
    <row r="79" spans="1:14" s="4" customFormat="1" ht="57.75" customHeight="1">
      <c r="A79" s="20" t="s">
        <v>165</v>
      </c>
      <c r="B79" s="102" t="s">
        <v>220</v>
      </c>
      <c r="C79" s="84">
        <f>D79+E79</f>
        <v>0</v>
      </c>
      <c r="D79" s="84">
        <v>0</v>
      </c>
      <c r="E79" s="84">
        <v>0</v>
      </c>
      <c r="F79" s="84">
        <f>G79+H79</f>
        <v>20300</v>
      </c>
      <c r="G79" s="59">
        <v>20300</v>
      </c>
      <c r="H79" s="84">
        <v>0</v>
      </c>
      <c r="I79" s="84">
        <f>J79+K79</f>
        <v>20300</v>
      </c>
      <c r="J79" s="59">
        <v>20300</v>
      </c>
      <c r="K79" s="84">
        <v>0</v>
      </c>
      <c r="L79" s="105"/>
      <c r="N79" s="67"/>
    </row>
    <row r="80" spans="1:14" s="4" customFormat="1" ht="15">
      <c r="A80" s="7" t="s">
        <v>5</v>
      </c>
      <c r="B80" s="75"/>
      <c r="C80" s="60"/>
      <c r="D80" s="60"/>
      <c r="E80" s="60"/>
      <c r="F80" s="60"/>
      <c r="G80" s="60"/>
      <c r="H80" s="60"/>
      <c r="I80" s="60"/>
      <c r="J80" s="60"/>
      <c r="K80" s="60"/>
      <c r="L80" s="108"/>
      <c r="N80" s="67"/>
    </row>
    <row r="81" spans="1:14" s="4" customFormat="1" ht="15">
      <c r="A81" s="8" t="s">
        <v>6</v>
      </c>
      <c r="B81" s="75"/>
      <c r="C81" s="60"/>
      <c r="D81" s="60"/>
      <c r="E81" s="60"/>
      <c r="F81" s="60"/>
      <c r="G81" s="60"/>
      <c r="H81" s="60"/>
      <c r="I81" s="60"/>
      <c r="J81" s="60"/>
      <c r="K81" s="60"/>
      <c r="L81" s="108"/>
      <c r="N81" s="67"/>
    </row>
    <row r="82" spans="1:14" s="4" customFormat="1" ht="45.75" customHeight="1">
      <c r="A82" s="22" t="s">
        <v>166</v>
      </c>
      <c r="B82" s="75"/>
      <c r="C82" s="96">
        <f>D82+E82</f>
        <v>0</v>
      </c>
      <c r="D82" s="96">
        <v>0</v>
      </c>
      <c r="E82" s="96">
        <v>0</v>
      </c>
      <c r="F82" s="96">
        <f>G82+H82</f>
        <v>290</v>
      </c>
      <c r="G82" s="96">
        <v>290</v>
      </c>
      <c r="H82" s="96">
        <v>0</v>
      </c>
      <c r="I82" s="96">
        <f>J82+K82</f>
        <v>290</v>
      </c>
      <c r="J82" s="96">
        <v>290</v>
      </c>
      <c r="K82" s="96">
        <v>0</v>
      </c>
      <c r="L82" s="109"/>
      <c r="N82" s="67"/>
    </row>
    <row r="83" spans="1:14" s="4" customFormat="1" ht="15">
      <c r="A83" s="18" t="s">
        <v>21</v>
      </c>
      <c r="B83" s="75"/>
      <c r="C83" s="103"/>
      <c r="D83" s="103"/>
      <c r="E83" s="103"/>
      <c r="F83" s="103"/>
      <c r="G83" s="103"/>
      <c r="H83" s="103"/>
      <c r="I83" s="103"/>
      <c r="J83" s="103"/>
      <c r="K83" s="103"/>
      <c r="L83" s="98"/>
      <c r="N83" s="67"/>
    </row>
    <row r="84" spans="1:14" s="4" customFormat="1" ht="18" customHeight="1">
      <c r="A84" s="19" t="s">
        <v>134</v>
      </c>
      <c r="B84" s="75"/>
      <c r="C84" s="90">
        <f>D84+E84</f>
        <v>0</v>
      </c>
      <c r="D84" s="90">
        <v>0</v>
      </c>
      <c r="E84" s="90">
        <v>0</v>
      </c>
      <c r="F84" s="90">
        <f>G84+H84</f>
        <v>70</v>
      </c>
      <c r="G84" s="91">
        <f>G79/G82</f>
        <v>70</v>
      </c>
      <c r="H84" s="90">
        <v>0</v>
      </c>
      <c r="I84" s="90">
        <f>J84+K84</f>
        <v>70</v>
      </c>
      <c r="J84" s="91">
        <f>+J79/J82</f>
        <v>70</v>
      </c>
      <c r="K84" s="90">
        <v>0</v>
      </c>
      <c r="L84" s="98"/>
      <c r="N84" s="67"/>
    </row>
    <row r="85" spans="1:14" s="4" customFormat="1" ht="18" customHeight="1">
      <c r="A85" s="16" t="s">
        <v>20</v>
      </c>
      <c r="B85" s="75"/>
      <c r="C85" s="90"/>
      <c r="D85" s="90"/>
      <c r="E85" s="90"/>
      <c r="F85" s="90"/>
      <c r="G85" s="91"/>
      <c r="H85" s="90"/>
      <c r="I85" s="90"/>
      <c r="J85" s="91"/>
      <c r="K85" s="90"/>
      <c r="L85" s="98"/>
      <c r="N85" s="67"/>
    </row>
    <row r="86" spans="1:14" s="4" customFormat="1" ht="21" customHeight="1">
      <c r="A86" s="9" t="s">
        <v>75</v>
      </c>
      <c r="B86" s="75"/>
      <c r="C86" s="93">
        <f>D86+E86</f>
        <v>0</v>
      </c>
      <c r="D86" s="93">
        <f>D79/111600*100</f>
        <v>0</v>
      </c>
      <c r="E86" s="93">
        <v>0</v>
      </c>
      <c r="F86" s="93">
        <v>0</v>
      </c>
      <c r="G86" s="94">
        <v>0</v>
      </c>
      <c r="H86" s="93">
        <v>0</v>
      </c>
      <c r="I86" s="93">
        <f>I79/F79*100</f>
        <v>100</v>
      </c>
      <c r="J86" s="94">
        <f>J79/G79*100</f>
        <v>100</v>
      </c>
      <c r="K86" s="93">
        <v>0</v>
      </c>
      <c r="L86" s="98"/>
      <c r="N86" s="67"/>
    </row>
    <row r="87" spans="1:12" ht="15.75" customHeight="1">
      <c r="A87" s="29" t="s">
        <v>222</v>
      </c>
      <c r="B87" s="102" t="s">
        <v>223</v>
      </c>
      <c r="C87" s="103"/>
      <c r="D87" s="103"/>
      <c r="E87" s="103"/>
      <c r="F87" s="110"/>
      <c r="G87" s="110"/>
      <c r="H87" s="110"/>
      <c r="I87" s="110"/>
      <c r="J87" s="110"/>
      <c r="K87" s="110"/>
      <c r="L87" s="92"/>
    </row>
    <row r="88" spans="1:12" ht="22.5" customHeight="1">
      <c r="A88" s="16" t="s">
        <v>128</v>
      </c>
      <c r="B88" s="86"/>
      <c r="C88" s="103"/>
      <c r="D88" s="103"/>
      <c r="E88" s="103"/>
      <c r="F88" s="110"/>
      <c r="G88" s="110"/>
      <c r="H88" s="110"/>
      <c r="I88" s="110"/>
      <c r="J88" s="110"/>
      <c r="K88" s="110"/>
      <c r="L88" s="92"/>
    </row>
    <row r="89" spans="1:12" ht="18.75" customHeight="1">
      <c r="A89" s="202" t="s">
        <v>232</v>
      </c>
      <c r="B89" s="202"/>
      <c r="C89" s="202"/>
      <c r="D89" s="202"/>
      <c r="E89" s="202"/>
      <c r="F89" s="202"/>
      <c r="G89" s="202"/>
      <c r="H89" s="202"/>
      <c r="I89" s="202"/>
      <c r="J89" s="202"/>
      <c r="K89" s="202"/>
      <c r="L89" s="111"/>
    </row>
    <row r="90" spans="1:12" ht="21.75" customHeight="1">
      <c r="A90" s="203" t="s">
        <v>233</v>
      </c>
      <c r="B90" s="203"/>
      <c r="C90" s="203"/>
      <c r="D90" s="203"/>
      <c r="E90" s="203"/>
      <c r="F90" s="203"/>
      <c r="G90" s="203"/>
      <c r="H90" s="203"/>
      <c r="I90" s="203"/>
      <c r="J90" s="203"/>
      <c r="K90" s="203"/>
      <c r="L90" s="112"/>
    </row>
    <row r="91" spans="1:14" s="4" customFormat="1" ht="45.75" customHeight="1">
      <c r="A91" s="8" t="s">
        <v>234</v>
      </c>
      <c r="B91" s="75"/>
      <c r="C91" s="84">
        <f>E91+D91</f>
        <v>831800</v>
      </c>
      <c r="D91" s="84">
        <f>798900+32900</f>
        <v>831800</v>
      </c>
      <c r="E91" s="84">
        <v>0</v>
      </c>
      <c r="F91" s="84">
        <f>H91+G91</f>
        <v>1114010</v>
      </c>
      <c r="G91" s="59">
        <f>1580+1112430</f>
        <v>1114010</v>
      </c>
      <c r="H91" s="59">
        <f>E91*1.05</f>
        <v>0</v>
      </c>
      <c r="I91" s="84">
        <f>K91+J91</f>
        <v>1192100</v>
      </c>
      <c r="J91" s="59">
        <v>1192100</v>
      </c>
      <c r="K91" s="59">
        <f>H91*1.043</f>
        <v>0</v>
      </c>
      <c r="L91" s="113"/>
      <c r="N91" s="67"/>
    </row>
    <row r="92" spans="1:14" s="4" customFormat="1" ht="16.5">
      <c r="A92" s="19" t="s">
        <v>5</v>
      </c>
      <c r="B92" s="75"/>
      <c r="C92" s="89"/>
      <c r="D92" s="89"/>
      <c r="E92" s="89"/>
      <c r="F92" s="89"/>
      <c r="G92" s="89"/>
      <c r="H92" s="89"/>
      <c r="I92" s="89"/>
      <c r="J92" s="89"/>
      <c r="K92" s="89"/>
      <c r="L92" s="108"/>
      <c r="N92" s="67"/>
    </row>
    <row r="93" spans="1:14" s="4" customFormat="1" ht="16.5">
      <c r="A93" s="16" t="s">
        <v>41</v>
      </c>
      <c r="B93" s="75"/>
      <c r="C93" s="89"/>
      <c r="D93" s="89"/>
      <c r="E93" s="89"/>
      <c r="F93" s="89"/>
      <c r="G93" s="89"/>
      <c r="H93" s="89"/>
      <c r="I93" s="89"/>
      <c r="J93" s="89"/>
      <c r="K93" s="89"/>
      <c r="L93" s="108"/>
      <c r="N93" s="67"/>
    </row>
    <row r="94" spans="1:14" s="4" customFormat="1" ht="30">
      <c r="A94" s="9" t="s">
        <v>235</v>
      </c>
      <c r="B94" s="75"/>
      <c r="C94" s="96">
        <f>D94+E94</f>
        <v>4</v>
      </c>
      <c r="D94" s="96">
        <v>4</v>
      </c>
      <c r="E94" s="96">
        <v>0</v>
      </c>
      <c r="F94" s="96">
        <f>G94+H94</f>
        <v>4</v>
      </c>
      <c r="G94" s="96">
        <v>4</v>
      </c>
      <c r="H94" s="96">
        <v>0</v>
      </c>
      <c r="I94" s="96">
        <f>J94+K94</f>
        <v>4</v>
      </c>
      <c r="J94" s="96">
        <v>4</v>
      </c>
      <c r="K94" s="96">
        <v>0</v>
      </c>
      <c r="L94" s="108"/>
      <c r="N94" s="67"/>
    </row>
    <row r="95" spans="1:14" s="4" customFormat="1" ht="16.5">
      <c r="A95" s="23" t="s">
        <v>6</v>
      </c>
      <c r="B95" s="75"/>
      <c r="C95" s="89"/>
      <c r="D95" s="89"/>
      <c r="E95" s="89"/>
      <c r="F95" s="89"/>
      <c r="G95" s="89"/>
      <c r="H95" s="89"/>
      <c r="I95" s="89"/>
      <c r="J95" s="89"/>
      <c r="K95" s="89"/>
      <c r="L95" s="108"/>
      <c r="N95" s="67"/>
    </row>
    <row r="96" spans="1:14" s="4" customFormat="1" ht="30" customHeight="1">
      <c r="A96" s="19" t="s">
        <v>236</v>
      </c>
      <c r="B96" s="75"/>
      <c r="C96" s="96">
        <f>D96+E96</f>
        <v>35</v>
      </c>
      <c r="D96" s="96">
        <v>35</v>
      </c>
      <c r="E96" s="96">
        <v>0</v>
      </c>
      <c r="F96" s="96">
        <f>G96+H96</f>
        <v>35</v>
      </c>
      <c r="G96" s="96">
        <v>35</v>
      </c>
      <c r="H96" s="96">
        <v>0</v>
      </c>
      <c r="I96" s="96">
        <f>J96+K96</f>
        <v>35</v>
      </c>
      <c r="J96" s="96">
        <v>35</v>
      </c>
      <c r="K96" s="96">
        <v>0</v>
      </c>
      <c r="L96" s="109"/>
      <c r="N96" s="67"/>
    </row>
    <row r="97" spans="1:12" ht="19.5" customHeight="1">
      <c r="A97" s="21"/>
      <c r="B97" s="97"/>
      <c r="C97" s="98"/>
      <c r="D97" s="98"/>
      <c r="E97" s="98"/>
      <c r="F97" s="92"/>
      <c r="G97" s="92"/>
      <c r="H97" s="92"/>
      <c r="I97" s="92"/>
      <c r="J97" s="92"/>
      <c r="K97" s="92"/>
      <c r="L97" s="92"/>
    </row>
    <row r="98" spans="1:14" s="4" customFormat="1" ht="26.25" customHeight="1">
      <c r="A98" s="11"/>
      <c r="B98" s="10"/>
      <c r="C98" s="99"/>
      <c r="D98" s="99"/>
      <c r="E98" s="99"/>
      <c r="F98" s="99"/>
      <c r="G98" s="99"/>
      <c r="H98" s="99"/>
      <c r="I98" s="201" t="s">
        <v>218</v>
      </c>
      <c r="J98" s="201"/>
      <c r="K98" s="201"/>
      <c r="L98" s="99"/>
      <c r="N98" s="67"/>
    </row>
    <row r="99" spans="1:14" s="4" customFormat="1" ht="14.25">
      <c r="A99" s="13">
        <v>1</v>
      </c>
      <c r="B99" s="70">
        <v>2</v>
      </c>
      <c r="C99" s="68">
        <v>3</v>
      </c>
      <c r="D99" s="68">
        <v>4</v>
      </c>
      <c r="E99" s="68">
        <v>5</v>
      </c>
      <c r="F99" s="68">
        <v>6</v>
      </c>
      <c r="G99" s="68">
        <v>7</v>
      </c>
      <c r="H99" s="68">
        <v>8</v>
      </c>
      <c r="I99" s="68">
        <v>9</v>
      </c>
      <c r="J99" s="68">
        <v>10</v>
      </c>
      <c r="K99" s="68">
        <v>11</v>
      </c>
      <c r="L99" s="69"/>
      <c r="N99" s="67"/>
    </row>
    <row r="100" spans="1:14" s="4" customFormat="1" ht="16.5">
      <c r="A100" s="16" t="s">
        <v>21</v>
      </c>
      <c r="B100" s="75"/>
      <c r="C100" s="89"/>
      <c r="D100" s="89"/>
      <c r="E100" s="89"/>
      <c r="F100" s="89"/>
      <c r="G100" s="89"/>
      <c r="H100" s="89"/>
      <c r="I100" s="89"/>
      <c r="J100" s="89"/>
      <c r="K100" s="89"/>
      <c r="L100" s="108"/>
      <c r="N100" s="67"/>
    </row>
    <row r="101" spans="1:14" s="4" customFormat="1" ht="47.25" customHeight="1">
      <c r="A101" s="5" t="s">
        <v>237</v>
      </c>
      <c r="B101" s="75"/>
      <c r="C101" s="90">
        <f>D101+E101</f>
        <v>4.3</v>
      </c>
      <c r="D101" s="90">
        <v>4.3</v>
      </c>
      <c r="E101" s="90">
        <v>0</v>
      </c>
      <c r="F101" s="90">
        <f>G101+H101</f>
        <v>4.5</v>
      </c>
      <c r="G101" s="91">
        <v>4.5</v>
      </c>
      <c r="H101" s="90">
        <v>0</v>
      </c>
      <c r="I101" s="90">
        <f>J101+K101</f>
        <v>4.7</v>
      </c>
      <c r="J101" s="91">
        <v>4.7</v>
      </c>
      <c r="K101" s="90">
        <v>0</v>
      </c>
      <c r="L101" s="106"/>
      <c r="N101" s="67"/>
    </row>
    <row r="102" spans="1:14" s="4" customFormat="1" ht="17.25" customHeight="1">
      <c r="A102" s="16" t="s">
        <v>20</v>
      </c>
      <c r="B102" s="75"/>
      <c r="C102" s="89"/>
      <c r="D102" s="89"/>
      <c r="E102" s="89"/>
      <c r="F102" s="89"/>
      <c r="G102" s="89"/>
      <c r="H102" s="89"/>
      <c r="I102" s="89"/>
      <c r="J102" s="89"/>
      <c r="K102" s="89"/>
      <c r="L102" s="108"/>
      <c r="N102" s="67"/>
    </row>
    <row r="103" spans="1:14" s="4" customFormat="1" ht="49.5" customHeight="1">
      <c r="A103" s="9" t="s">
        <v>238</v>
      </c>
      <c r="B103" s="75"/>
      <c r="C103" s="93">
        <f>D103+E103</f>
        <v>100</v>
      </c>
      <c r="D103" s="93">
        <v>100</v>
      </c>
      <c r="E103" s="93">
        <v>0</v>
      </c>
      <c r="F103" s="93">
        <f>G103+H103</f>
        <v>100</v>
      </c>
      <c r="G103" s="93">
        <f>G96/D96*100</f>
        <v>100</v>
      </c>
      <c r="H103" s="93">
        <v>0</v>
      </c>
      <c r="I103" s="93">
        <f>J103+K103</f>
        <v>100</v>
      </c>
      <c r="J103" s="93">
        <f>J96/G96*100</f>
        <v>100</v>
      </c>
      <c r="K103" s="93">
        <v>0</v>
      </c>
      <c r="L103" s="98"/>
      <c r="M103" s="114"/>
      <c r="N103" s="67"/>
    </row>
    <row r="104" spans="1:12" ht="18.75" customHeight="1">
      <c r="A104" s="15" t="s">
        <v>224</v>
      </c>
      <c r="B104" s="83" t="s">
        <v>225</v>
      </c>
      <c r="C104" s="60"/>
      <c r="D104" s="60"/>
      <c r="E104" s="60"/>
      <c r="F104" s="115"/>
      <c r="G104" s="115"/>
      <c r="H104" s="115"/>
      <c r="I104" s="115"/>
      <c r="J104" s="115"/>
      <c r="K104" s="115"/>
      <c r="L104" s="87"/>
    </row>
    <row r="105" spans="1:12" ht="15">
      <c r="A105" s="16" t="s">
        <v>129</v>
      </c>
      <c r="B105" s="75"/>
      <c r="C105" s="60"/>
      <c r="D105" s="60"/>
      <c r="E105" s="60"/>
      <c r="F105" s="115"/>
      <c r="G105" s="115"/>
      <c r="H105" s="115"/>
      <c r="I105" s="115"/>
      <c r="J105" s="115"/>
      <c r="K105" s="115"/>
      <c r="L105" s="87"/>
    </row>
    <row r="106" spans="1:15" ht="39.75" customHeight="1">
      <c r="A106" s="197" t="s">
        <v>167</v>
      </c>
      <c r="B106" s="197"/>
      <c r="C106" s="197"/>
      <c r="D106" s="197"/>
      <c r="E106" s="197"/>
      <c r="F106" s="197"/>
      <c r="G106" s="197"/>
      <c r="H106" s="197"/>
      <c r="I106" s="197"/>
      <c r="J106" s="197"/>
      <c r="K106" s="197"/>
      <c r="L106" s="85"/>
      <c r="M106" s="116"/>
      <c r="N106" s="117"/>
      <c r="O106" s="62"/>
    </row>
    <row r="107" spans="1:12" ht="30.75" customHeight="1">
      <c r="A107" s="200" t="s">
        <v>168</v>
      </c>
      <c r="B107" s="200"/>
      <c r="C107" s="200"/>
      <c r="D107" s="200"/>
      <c r="E107" s="200"/>
      <c r="F107" s="200"/>
      <c r="G107" s="200"/>
      <c r="H107" s="200"/>
      <c r="I107" s="200"/>
      <c r="J107" s="200"/>
      <c r="K107" s="200"/>
      <c r="L107" s="118"/>
    </row>
    <row r="108" spans="1:12" ht="31.5" customHeight="1">
      <c r="A108" s="30" t="s">
        <v>170</v>
      </c>
      <c r="B108" s="86"/>
      <c r="C108" s="84">
        <f>E108+D108</f>
        <v>1948082</v>
      </c>
      <c r="D108" s="84">
        <v>1948082</v>
      </c>
      <c r="E108" s="84">
        <v>0</v>
      </c>
      <c r="F108" s="84">
        <f>H108+G108</f>
        <v>999100</v>
      </c>
      <c r="G108" s="59">
        <v>999100</v>
      </c>
      <c r="H108" s="59">
        <f>E108*1.05</f>
        <v>0</v>
      </c>
      <c r="I108" s="84">
        <f>K108+J108</f>
        <v>1135400</v>
      </c>
      <c r="J108" s="59">
        <v>1135400</v>
      </c>
      <c r="K108" s="59">
        <f>H108*1.043</f>
        <v>0</v>
      </c>
      <c r="L108" s="119"/>
    </row>
    <row r="109" spans="1:12" ht="16.5">
      <c r="A109" s="19" t="s">
        <v>5</v>
      </c>
      <c r="B109" s="86"/>
      <c r="C109" s="89"/>
      <c r="D109" s="89"/>
      <c r="E109" s="89"/>
      <c r="F109" s="100"/>
      <c r="G109" s="100"/>
      <c r="H109" s="100"/>
      <c r="I109" s="100"/>
      <c r="J109" s="100"/>
      <c r="K109" s="100"/>
      <c r="L109" s="87"/>
    </row>
    <row r="110" spans="1:12" ht="16.5">
      <c r="A110" s="16" t="s">
        <v>6</v>
      </c>
      <c r="B110" s="86"/>
      <c r="C110" s="89"/>
      <c r="D110" s="89"/>
      <c r="E110" s="89"/>
      <c r="F110" s="100"/>
      <c r="G110" s="100"/>
      <c r="H110" s="100"/>
      <c r="I110" s="100"/>
      <c r="J110" s="100"/>
      <c r="K110" s="100"/>
      <c r="L110" s="87"/>
    </row>
    <row r="111" spans="1:12" ht="16.5" customHeight="1">
      <c r="A111" s="19" t="s">
        <v>22</v>
      </c>
      <c r="B111" s="120"/>
      <c r="C111" s="61">
        <f aca="true" t="shared" si="1" ref="C111:C118">D111+E111</f>
        <v>1700</v>
      </c>
      <c r="D111" s="61">
        <f>+D112+D113+D114+D115+D116+D117+D118</f>
        <v>1700</v>
      </c>
      <c r="E111" s="61">
        <v>0</v>
      </c>
      <c r="F111" s="61">
        <f>G111+H111</f>
        <v>1152</v>
      </c>
      <c r="G111" s="61">
        <f>G112+G113+G114+G115+G116+G117+G118</f>
        <v>1152</v>
      </c>
      <c r="H111" s="61">
        <v>0</v>
      </c>
      <c r="I111" s="61">
        <f aca="true" t="shared" si="2" ref="I111:I118">J111+K111</f>
        <v>1153</v>
      </c>
      <c r="J111" s="61">
        <f>J112+J113+J114+J115+J116+J117+J118</f>
        <v>1153</v>
      </c>
      <c r="K111" s="61">
        <v>0</v>
      </c>
      <c r="L111" s="88"/>
    </row>
    <row r="112" spans="1:12" ht="16.5" customHeight="1">
      <c r="A112" s="19" t="s">
        <v>30</v>
      </c>
      <c r="B112" s="86"/>
      <c r="C112" s="121">
        <f t="shared" si="1"/>
        <v>1</v>
      </c>
      <c r="D112" s="121">
        <v>1</v>
      </c>
      <c r="E112" s="121">
        <v>0</v>
      </c>
      <c r="F112" s="121">
        <f aca="true" t="shared" si="3" ref="F112:F118">G112+H112</f>
        <v>1</v>
      </c>
      <c r="G112" s="121">
        <f>D112</f>
        <v>1</v>
      </c>
      <c r="H112" s="121">
        <v>0</v>
      </c>
      <c r="I112" s="121">
        <f t="shared" si="2"/>
        <v>1</v>
      </c>
      <c r="J112" s="121">
        <f>G112</f>
        <v>1</v>
      </c>
      <c r="K112" s="121">
        <v>0</v>
      </c>
      <c r="L112" s="77"/>
    </row>
    <row r="113" spans="1:12" ht="14.25" customHeight="1">
      <c r="A113" s="19" t="s">
        <v>31</v>
      </c>
      <c r="B113" s="86"/>
      <c r="C113" s="121">
        <f t="shared" si="1"/>
        <v>665</v>
      </c>
      <c r="D113" s="121">
        <v>665</v>
      </c>
      <c r="E113" s="121">
        <v>0</v>
      </c>
      <c r="F113" s="121">
        <f t="shared" si="3"/>
        <v>645</v>
      </c>
      <c r="G113" s="121">
        <v>645</v>
      </c>
      <c r="H113" s="121">
        <v>0</v>
      </c>
      <c r="I113" s="121">
        <f t="shared" si="2"/>
        <v>675</v>
      </c>
      <c r="J113" s="121">
        <v>675</v>
      </c>
      <c r="K113" s="121">
        <v>0</v>
      </c>
      <c r="L113" s="77"/>
    </row>
    <row r="114" spans="1:12" ht="30.75" customHeight="1">
      <c r="A114" s="9" t="s">
        <v>169</v>
      </c>
      <c r="B114" s="86"/>
      <c r="C114" s="121">
        <f t="shared" si="1"/>
        <v>167</v>
      </c>
      <c r="D114" s="121">
        <v>167</v>
      </c>
      <c r="E114" s="121">
        <v>0</v>
      </c>
      <c r="F114" s="121">
        <f t="shared" si="3"/>
        <v>177</v>
      </c>
      <c r="G114" s="121">
        <v>177</v>
      </c>
      <c r="H114" s="121">
        <v>0</v>
      </c>
      <c r="I114" s="121">
        <f t="shared" si="2"/>
        <v>155</v>
      </c>
      <c r="J114" s="121">
        <v>155</v>
      </c>
      <c r="K114" s="121">
        <v>0</v>
      </c>
      <c r="L114" s="77"/>
    </row>
    <row r="115" spans="1:12" ht="31.5" customHeight="1">
      <c r="A115" s="9" t="s">
        <v>29</v>
      </c>
      <c r="B115" s="86"/>
      <c r="C115" s="121">
        <f t="shared" si="1"/>
        <v>116</v>
      </c>
      <c r="D115" s="121">
        <v>116</v>
      </c>
      <c r="E115" s="121">
        <v>0</v>
      </c>
      <c r="F115" s="121">
        <f t="shared" si="3"/>
        <v>98</v>
      </c>
      <c r="G115" s="121">
        <v>98</v>
      </c>
      <c r="H115" s="121">
        <v>0</v>
      </c>
      <c r="I115" s="121">
        <f t="shared" si="2"/>
        <v>83</v>
      </c>
      <c r="J115" s="121">
        <v>83</v>
      </c>
      <c r="K115" s="121">
        <v>0</v>
      </c>
      <c r="L115" s="77"/>
    </row>
    <row r="116" spans="1:14" ht="75.75" customHeight="1">
      <c r="A116" s="9" t="s">
        <v>217</v>
      </c>
      <c r="B116" s="86"/>
      <c r="C116" s="121">
        <f t="shared" si="1"/>
        <v>235</v>
      </c>
      <c r="D116" s="121">
        <v>235</v>
      </c>
      <c r="E116" s="121">
        <v>0</v>
      </c>
      <c r="F116" s="121">
        <f t="shared" si="3"/>
        <v>231</v>
      </c>
      <c r="G116" s="121">
        <v>231</v>
      </c>
      <c r="H116" s="121">
        <v>0</v>
      </c>
      <c r="I116" s="121">
        <f t="shared" si="2"/>
        <v>239</v>
      </c>
      <c r="J116" s="121">
        <v>239</v>
      </c>
      <c r="K116" s="121">
        <v>0</v>
      </c>
      <c r="L116" s="77"/>
      <c r="N116" s="122"/>
    </row>
    <row r="117" spans="1:12" ht="32.25" customHeight="1">
      <c r="A117" s="31" t="s">
        <v>85</v>
      </c>
      <c r="B117" s="86"/>
      <c r="C117" s="96">
        <f t="shared" si="1"/>
        <v>510</v>
      </c>
      <c r="D117" s="96">
        <v>510</v>
      </c>
      <c r="E117" s="96">
        <v>0</v>
      </c>
      <c r="F117" s="96">
        <f t="shared" si="3"/>
        <v>0</v>
      </c>
      <c r="G117" s="96">
        <v>0</v>
      </c>
      <c r="H117" s="96">
        <v>0</v>
      </c>
      <c r="I117" s="96">
        <f t="shared" si="2"/>
        <v>0</v>
      </c>
      <c r="J117" s="96">
        <v>0</v>
      </c>
      <c r="K117" s="96">
        <v>0</v>
      </c>
      <c r="L117" s="85"/>
    </row>
    <row r="118" spans="1:12" ht="32.25" customHeight="1">
      <c r="A118" s="31" t="s">
        <v>86</v>
      </c>
      <c r="B118" s="86"/>
      <c r="C118" s="96">
        <f t="shared" si="1"/>
        <v>6</v>
      </c>
      <c r="D118" s="96">
        <v>6</v>
      </c>
      <c r="E118" s="96">
        <v>0</v>
      </c>
      <c r="F118" s="96">
        <f t="shared" si="3"/>
        <v>0</v>
      </c>
      <c r="G118" s="96">
        <v>0</v>
      </c>
      <c r="H118" s="96">
        <v>0</v>
      </c>
      <c r="I118" s="96">
        <f t="shared" si="2"/>
        <v>0</v>
      </c>
      <c r="J118" s="96">
        <v>0</v>
      </c>
      <c r="K118" s="96">
        <v>0</v>
      </c>
      <c r="L118" s="85"/>
    </row>
    <row r="119" spans="1:12" ht="15">
      <c r="A119" s="16" t="s">
        <v>21</v>
      </c>
      <c r="B119" s="86"/>
      <c r="C119" s="103"/>
      <c r="D119" s="103"/>
      <c r="E119" s="103"/>
      <c r="F119" s="110"/>
      <c r="G119" s="110"/>
      <c r="H119" s="110"/>
      <c r="I119" s="110"/>
      <c r="J119" s="110"/>
      <c r="K119" s="110"/>
      <c r="L119" s="92"/>
    </row>
    <row r="120" spans="1:12" ht="36.75" customHeight="1">
      <c r="A120" s="9" t="s">
        <v>172</v>
      </c>
      <c r="B120" s="86"/>
      <c r="C120" s="90">
        <f>D120+E120</f>
        <v>1145.9305882352942</v>
      </c>
      <c r="D120" s="90">
        <f>D108/D111</f>
        <v>1145.9305882352942</v>
      </c>
      <c r="E120" s="90">
        <v>0</v>
      </c>
      <c r="F120" s="90">
        <f>G120+H120</f>
        <v>867.2743055555555</v>
      </c>
      <c r="G120" s="90">
        <f>G108/G111</f>
        <v>867.2743055555555</v>
      </c>
      <c r="H120" s="90">
        <v>0</v>
      </c>
      <c r="I120" s="90">
        <f>J120+K120</f>
        <v>984.7354726799653</v>
      </c>
      <c r="J120" s="90">
        <f>J108/J111</f>
        <v>984.7354726799653</v>
      </c>
      <c r="K120" s="90">
        <v>0</v>
      </c>
      <c r="L120" s="92"/>
    </row>
    <row r="121" spans="1:14" s="4" customFormat="1" ht="20.25" customHeight="1">
      <c r="A121" s="9" t="s">
        <v>76</v>
      </c>
      <c r="B121" s="75"/>
      <c r="C121" s="90">
        <f aca="true" t="shared" si="4" ref="C121:C129">D121+E121</f>
        <v>11838</v>
      </c>
      <c r="D121" s="90">
        <v>11838</v>
      </c>
      <c r="E121" s="90">
        <v>0</v>
      </c>
      <c r="F121" s="90">
        <f aca="true" t="shared" si="5" ref="F121:F130">G121+H121</f>
        <v>16488</v>
      </c>
      <c r="G121" s="90">
        <f>16488/G112</f>
        <v>16488</v>
      </c>
      <c r="H121" s="90">
        <v>0</v>
      </c>
      <c r="I121" s="90">
        <f aca="true" t="shared" si="6" ref="I121:I130">J121+K121</f>
        <v>16317</v>
      </c>
      <c r="J121" s="90">
        <f>16317/J112</f>
        <v>16317</v>
      </c>
      <c r="K121" s="90">
        <v>0</v>
      </c>
      <c r="L121" s="123"/>
      <c r="N121" s="67"/>
    </row>
    <row r="122" spans="1:14" s="4" customFormat="1" ht="18.75" customHeight="1">
      <c r="A122" s="9" t="s">
        <v>77</v>
      </c>
      <c r="B122" s="75"/>
      <c r="C122" s="90">
        <f t="shared" si="4"/>
        <v>1047.98</v>
      </c>
      <c r="D122" s="90">
        <v>1047.98</v>
      </c>
      <c r="E122" s="90">
        <v>0</v>
      </c>
      <c r="F122" s="90">
        <f t="shared" si="5"/>
        <v>554.2511627906977</v>
      </c>
      <c r="G122" s="90">
        <f>357492/G113</f>
        <v>554.2511627906977</v>
      </c>
      <c r="H122" s="90">
        <v>0</v>
      </c>
      <c r="I122" s="90">
        <f t="shared" si="6"/>
        <v>624.6503703703704</v>
      </c>
      <c r="J122" s="90">
        <f>421639/J113</f>
        <v>624.6503703703704</v>
      </c>
      <c r="K122" s="90">
        <v>0</v>
      </c>
      <c r="L122" s="123"/>
      <c r="N122" s="67"/>
    </row>
    <row r="123" spans="1:14" s="4" customFormat="1" ht="33" customHeight="1">
      <c r="A123" s="19" t="s">
        <v>171</v>
      </c>
      <c r="B123" s="75"/>
      <c r="C123" s="90">
        <f t="shared" si="4"/>
        <v>2135.19</v>
      </c>
      <c r="D123" s="90">
        <v>2135.19</v>
      </c>
      <c r="E123" s="90">
        <v>0</v>
      </c>
      <c r="F123" s="90">
        <f t="shared" si="5"/>
        <v>800.2429378531074</v>
      </c>
      <c r="G123" s="90">
        <f>141643/G114</f>
        <v>800.2429378531074</v>
      </c>
      <c r="H123" s="90">
        <v>0</v>
      </c>
      <c r="I123" s="90">
        <f t="shared" si="6"/>
        <v>1208.8193548387096</v>
      </c>
      <c r="J123" s="90">
        <f>187367/J114</f>
        <v>1208.8193548387096</v>
      </c>
      <c r="K123" s="90">
        <v>0</v>
      </c>
      <c r="L123" s="123"/>
      <c r="N123" s="67"/>
    </row>
    <row r="124" spans="1:14" s="4" customFormat="1" ht="24.75" customHeight="1">
      <c r="A124" s="9" t="s">
        <v>78</v>
      </c>
      <c r="B124" s="75"/>
      <c r="C124" s="90">
        <f t="shared" si="4"/>
        <v>1433.89</v>
      </c>
      <c r="D124" s="90">
        <v>1433.89</v>
      </c>
      <c r="E124" s="90">
        <v>0</v>
      </c>
      <c r="F124" s="90">
        <f t="shared" si="5"/>
        <v>1570.1836734693877</v>
      </c>
      <c r="G124" s="90">
        <f>153878/G115</f>
        <v>1570.1836734693877</v>
      </c>
      <c r="H124" s="90">
        <v>0</v>
      </c>
      <c r="I124" s="90">
        <f t="shared" si="6"/>
        <v>1929.6385542168675</v>
      </c>
      <c r="J124" s="90">
        <f>160160/J115</f>
        <v>1929.6385542168675</v>
      </c>
      <c r="K124" s="90">
        <v>0</v>
      </c>
      <c r="L124" s="123"/>
      <c r="N124" s="67"/>
    </row>
    <row r="125" spans="1:14" s="4" customFormat="1" ht="36.75" customHeight="1">
      <c r="A125" s="9" t="s">
        <v>173</v>
      </c>
      <c r="B125" s="75"/>
      <c r="C125" s="90">
        <f t="shared" si="4"/>
        <v>2245.57</v>
      </c>
      <c r="D125" s="90">
        <v>2245.57</v>
      </c>
      <c r="E125" s="90">
        <v>0</v>
      </c>
      <c r="F125" s="90">
        <f t="shared" si="5"/>
        <v>1426.8354978354978</v>
      </c>
      <c r="G125" s="90">
        <f>329599/G116</f>
        <v>1426.8354978354978</v>
      </c>
      <c r="H125" s="90">
        <v>0</v>
      </c>
      <c r="I125" s="90">
        <f t="shared" si="6"/>
        <v>1464.0878661087866</v>
      </c>
      <c r="J125" s="90">
        <f>349917/J116</f>
        <v>1464.0878661087866</v>
      </c>
      <c r="K125" s="90">
        <v>0</v>
      </c>
      <c r="L125" s="123"/>
      <c r="N125" s="67"/>
    </row>
    <row r="126" spans="1:12" ht="19.5" customHeight="1">
      <c r="A126" s="21"/>
      <c r="B126" s="97"/>
      <c r="C126" s="98"/>
      <c r="D126" s="98"/>
      <c r="E126" s="98"/>
      <c r="F126" s="92"/>
      <c r="G126" s="92"/>
      <c r="H126" s="92"/>
      <c r="I126" s="92"/>
      <c r="J126" s="92"/>
      <c r="K126" s="92"/>
      <c r="L126" s="92"/>
    </row>
    <row r="127" spans="1:14" s="4" customFormat="1" ht="26.25" customHeight="1">
      <c r="A127" s="11"/>
      <c r="B127" s="10"/>
      <c r="C127" s="99"/>
      <c r="D127" s="99"/>
      <c r="E127" s="99"/>
      <c r="F127" s="99"/>
      <c r="G127" s="99"/>
      <c r="H127" s="99"/>
      <c r="I127" s="201" t="s">
        <v>218</v>
      </c>
      <c r="J127" s="201"/>
      <c r="K127" s="201"/>
      <c r="L127" s="99"/>
      <c r="N127" s="67"/>
    </row>
    <row r="128" spans="1:14" s="4" customFormat="1" ht="14.25">
      <c r="A128" s="13">
        <v>1</v>
      </c>
      <c r="B128" s="70">
        <v>2</v>
      </c>
      <c r="C128" s="68">
        <v>3</v>
      </c>
      <c r="D128" s="68">
        <v>4</v>
      </c>
      <c r="E128" s="68">
        <v>5</v>
      </c>
      <c r="F128" s="68">
        <v>6</v>
      </c>
      <c r="G128" s="68">
        <v>7</v>
      </c>
      <c r="H128" s="68">
        <v>8</v>
      </c>
      <c r="I128" s="68">
        <v>9</v>
      </c>
      <c r="J128" s="68">
        <v>10</v>
      </c>
      <c r="K128" s="68">
        <v>11</v>
      </c>
      <c r="L128" s="69"/>
      <c r="N128" s="67"/>
    </row>
    <row r="129" spans="1:14" s="4" customFormat="1" ht="37.5" customHeight="1">
      <c r="A129" s="9" t="s">
        <v>231</v>
      </c>
      <c r="B129" s="75"/>
      <c r="C129" s="90">
        <f t="shared" si="4"/>
        <v>329.8</v>
      </c>
      <c r="D129" s="90">
        <v>329.8</v>
      </c>
      <c r="E129" s="90">
        <v>0</v>
      </c>
      <c r="F129" s="90">
        <f t="shared" si="5"/>
        <v>0</v>
      </c>
      <c r="G129" s="90">
        <v>0</v>
      </c>
      <c r="H129" s="90">
        <v>0</v>
      </c>
      <c r="I129" s="90">
        <f t="shared" si="6"/>
        <v>0</v>
      </c>
      <c r="J129" s="90">
        <v>0</v>
      </c>
      <c r="K129" s="90">
        <v>0</v>
      </c>
      <c r="L129" s="123"/>
      <c r="N129" s="67"/>
    </row>
    <row r="130" spans="1:14" s="4" customFormat="1" ht="32.25" customHeight="1">
      <c r="A130" s="9" t="s">
        <v>87</v>
      </c>
      <c r="B130" s="75"/>
      <c r="C130" s="90">
        <f>D130+E130</f>
        <v>3420.67</v>
      </c>
      <c r="D130" s="90">
        <v>3420.67</v>
      </c>
      <c r="E130" s="90">
        <v>0</v>
      </c>
      <c r="F130" s="90">
        <f t="shared" si="5"/>
        <v>0</v>
      </c>
      <c r="G130" s="90">
        <v>0</v>
      </c>
      <c r="H130" s="90">
        <v>0</v>
      </c>
      <c r="I130" s="90">
        <f t="shared" si="6"/>
        <v>0</v>
      </c>
      <c r="J130" s="90">
        <v>0</v>
      </c>
      <c r="K130" s="90">
        <v>0</v>
      </c>
      <c r="L130" s="123"/>
      <c r="N130" s="67"/>
    </row>
    <row r="131" spans="1:14" s="4" customFormat="1" ht="17.25" customHeight="1">
      <c r="A131" s="16" t="s">
        <v>23</v>
      </c>
      <c r="B131" s="75"/>
      <c r="C131" s="90"/>
      <c r="D131" s="90"/>
      <c r="E131" s="90"/>
      <c r="F131" s="90"/>
      <c r="G131" s="90"/>
      <c r="H131" s="90"/>
      <c r="I131" s="90"/>
      <c r="J131" s="90"/>
      <c r="K131" s="90"/>
      <c r="L131" s="98"/>
      <c r="N131" s="67"/>
    </row>
    <row r="132" spans="1:14" s="4" customFormat="1" ht="19.5" customHeight="1">
      <c r="A132" s="32" t="s">
        <v>33</v>
      </c>
      <c r="B132" s="75"/>
      <c r="C132" s="90">
        <f>D132+E132</f>
        <v>100</v>
      </c>
      <c r="D132" s="90">
        <v>100</v>
      </c>
      <c r="E132" s="90">
        <v>0</v>
      </c>
      <c r="F132" s="90">
        <f>G132+H132</f>
        <v>100</v>
      </c>
      <c r="G132" s="90">
        <v>100</v>
      </c>
      <c r="H132" s="90">
        <v>0</v>
      </c>
      <c r="I132" s="90">
        <f>J132+K132</f>
        <v>100</v>
      </c>
      <c r="J132" s="90">
        <v>100</v>
      </c>
      <c r="K132" s="90">
        <v>0</v>
      </c>
      <c r="L132" s="98"/>
      <c r="N132" s="67"/>
    </row>
    <row r="133" spans="1:14" s="4" customFormat="1" ht="27.75" customHeight="1">
      <c r="A133" s="33" t="s">
        <v>39</v>
      </c>
      <c r="B133" s="75"/>
      <c r="C133" s="124">
        <f>D133+E133</f>
        <v>129.9</v>
      </c>
      <c r="D133" s="124">
        <v>129.9</v>
      </c>
      <c r="E133" s="124">
        <v>0</v>
      </c>
      <c r="F133" s="94">
        <f>F108/C108*100</f>
        <v>51.28634215602834</v>
      </c>
      <c r="G133" s="94">
        <f>G108/D108*100</f>
        <v>51.28634215602834</v>
      </c>
      <c r="H133" s="93">
        <v>0</v>
      </c>
      <c r="I133" s="94">
        <f>+I108/F108*100</f>
        <v>113.64227805024522</v>
      </c>
      <c r="J133" s="94">
        <f>+J108/G108*100</f>
        <v>113.64227805024522</v>
      </c>
      <c r="K133" s="124">
        <v>0</v>
      </c>
      <c r="L133" s="123"/>
      <c r="N133" s="67"/>
    </row>
    <row r="134" spans="1:14" s="4" customFormat="1" ht="15.75">
      <c r="A134" s="15" t="s">
        <v>226</v>
      </c>
      <c r="B134" s="83" t="s">
        <v>227</v>
      </c>
      <c r="C134" s="60"/>
      <c r="D134" s="60"/>
      <c r="E134" s="60"/>
      <c r="F134" s="60"/>
      <c r="G134" s="60"/>
      <c r="H134" s="60"/>
      <c r="I134" s="60"/>
      <c r="J134" s="60"/>
      <c r="K134" s="60"/>
      <c r="L134" s="108"/>
      <c r="N134" s="67"/>
    </row>
    <row r="135" spans="1:14" s="4" customFormat="1" ht="22.5" customHeight="1">
      <c r="A135" s="16" t="s">
        <v>129</v>
      </c>
      <c r="B135" s="75"/>
      <c r="C135" s="60"/>
      <c r="D135" s="60"/>
      <c r="E135" s="60"/>
      <c r="F135" s="60"/>
      <c r="G135" s="60"/>
      <c r="H135" s="60"/>
      <c r="I135" s="60"/>
      <c r="J135" s="60"/>
      <c r="K135" s="60"/>
      <c r="L135" s="108"/>
      <c r="M135" s="114"/>
      <c r="N135" s="67"/>
    </row>
    <row r="136" spans="1:14" s="4" customFormat="1" ht="20.25" customHeight="1">
      <c r="A136" s="198" t="s">
        <v>230</v>
      </c>
      <c r="B136" s="198"/>
      <c r="C136" s="198"/>
      <c r="D136" s="198"/>
      <c r="E136" s="198"/>
      <c r="F136" s="198"/>
      <c r="G136" s="198"/>
      <c r="H136" s="198"/>
      <c r="I136" s="198"/>
      <c r="J136" s="198"/>
      <c r="K136" s="198"/>
      <c r="L136" s="106"/>
      <c r="N136" s="67"/>
    </row>
    <row r="137" spans="1:14" s="4" customFormat="1" ht="21" customHeight="1">
      <c r="A137" s="199" t="s">
        <v>9</v>
      </c>
      <c r="B137" s="199"/>
      <c r="C137" s="199"/>
      <c r="D137" s="199"/>
      <c r="E137" s="199"/>
      <c r="F137" s="199"/>
      <c r="G137" s="199"/>
      <c r="H137" s="199"/>
      <c r="I137" s="199"/>
      <c r="J137" s="199"/>
      <c r="K137" s="199"/>
      <c r="L137" s="125"/>
      <c r="N137" s="67"/>
    </row>
    <row r="138" spans="1:12" ht="19.5" customHeight="1">
      <c r="A138" s="34" t="s">
        <v>7</v>
      </c>
      <c r="B138" s="126"/>
      <c r="C138" s="59">
        <f>D138+E138</f>
        <v>1615614</v>
      </c>
      <c r="D138" s="59">
        <f>+D139+D154</f>
        <v>1615614</v>
      </c>
      <c r="E138" s="59">
        <f>E139+0</f>
        <v>0</v>
      </c>
      <c r="F138" s="127">
        <f aca="true" t="shared" si="7" ref="F138:K138">F139+F154</f>
        <v>523418</v>
      </c>
      <c r="G138" s="127">
        <f t="shared" si="7"/>
        <v>523418</v>
      </c>
      <c r="H138" s="127">
        <f t="shared" si="7"/>
        <v>0</v>
      </c>
      <c r="I138" s="127">
        <f t="shared" si="7"/>
        <v>1010823</v>
      </c>
      <c r="J138" s="127">
        <f t="shared" si="7"/>
        <v>1010823</v>
      </c>
      <c r="K138" s="127">
        <f t="shared" si="7"/>
        <v>0</v>
      </c>
      <c r="L138" s="128"/>
    </row>
    <row r="139" spans="1:13" ht="33" customHeight="1">
      <c r="A139" s="16" t="s">
        <v>46</v>
      </c>
      <c r="B139" s="75"/>
      <c r="C139" s="84">
        <f>E139+D139</f>
        <v>357393</v>
      </c>
      <c r="D139" s="84">
        <v>357393</v>
      </c>
      <c r="E139" s="84">
        <v>0</v>
      </c>
      <c r="F139" s="84">
        <f>H139+G139</f>
        <v>123224</v>
      </c>
      <c r="G139" s="59">
        <v>123224</v>
      </c>
      <c r="H139" s="59">
        <f>E139*1.05</f>
        <v>0</v>
      </c>
      <c r="I139" s="84">
        <f>K139+J139</f>
        <v>140383</v>
      </c>
      <c r="J139" s="59">
        <v>140383</v>
      </c>
      <c r="K139" s="59">
        <f>H139*1.043</f>
        <v>0</v>
      </c>
      <c r="L139" s="119"/>
      <c r="M139" s="129"/>
    </row>
    <row r="140" spans="1:12" ht="18" customHeight="1">
      <c r="A140" s="19" t="s">
        <v>10</v>
      </c>
      <c r="B140" s="75"/>
      <c r="C140" s="89"/>
      <c r="D140" s="89"/>
      <c r="E140" s="89"/>
      <c r="F140" s="89"/>
      <c r="G140" s="89"/>
      <c r="H140" s="89"/>
      <c r="I140" s="89"/>
      <c r="J140" s="89"/>
      <c r="K140" s="89"/>
      <c r="L140" s="87"/>
    </row>
    <row r="141" spans="1:12" ht="16.5">
      <c r="A141" s="16" t="s">
        <v>11</v>
      </c>
      <c r="B141" s="75"/>
      <c r="C141" s="89"/>
      <c r="D141" s="89"/>
      <c r="E141" s="89"/>
      <c r="F141" s="89"/>
      <c r="G141" s="89"/>
      <c r="H141" s="89"/>
      <c r="I141" s="89"/>
      <c r="J141" s="89"/>
      <c r="K141" s="89"/>
      <c r="L141" s="85"/>
    </row>
    <row r="142" spans="1:15" ht="19.5" customHeight="1">
      <c r="A142" s="19" t="s">
        <v>22</v>
      </c>
      <c r="B142" s="75"/>
      <c r="C142" s="96">
        <f>D142+E142</f>
        <v>95</v>
      </c>
      <c r="D142" s="61">
        <f>D143+D144+D145</f>
        <v>95</v>
      </c>
      <c r="E142" s="96">
        <v>0</v>
      </c>
      <c r="F142" s="96">
        <f>G142+H142</f>
        <v>20</v>
      </c>
      <c r="G142" s="61">
        <f>G143+G144+G145</f>
        <v>20</v>
      </c>
      <c r="H142" s="96">
        <v>0</v>
      </c>
      <c r="I142" s="96">
        <f>J142+K142</f>
        <v>19</v>
      </c>
      <c r="J142" s="61">
        <f>J143+J144+J145</f>
        <v>19</v>
      </c>
      <c r="K142" s="96">
        <v>0</v>
      </c>
      <c r="L142" s="85"/>
      <c r="M142" s="88"/>
      <c r="N142" s="55"/>
      <c r="O142" s="62"/>
    </row>
    <row r="143" spans="1:12" ht="45" customHeight="1">
      <c r="A143" s="35" t="s">
        <v>163</v>
      </c>
      <c r="B143" s="75"/>
      <c r="C143" s="96">
        <f>D143+E143</f>
        <v>16</v>
      </c>
      <c r="D143" s="96">
        <v>16</v>
      </c>
      <c r="E143" s="96">
        <v>0</v>
      </c>
      <c r="F143" s="96">
        <f>G143+H143</f>
        <v>17</v>
      </c>
      <c r="G143" s="96">
        <v>17</v>
      </c>
      <c r="H143" s="96">
        <v>0</v>
      </c>
      <c r="I143" s="96">
        <f>J143+K143</f>
        <v>16</v>
      </c>
      <c r="J143" s="96">
        <v>16</v>
      </c>
      <c r="K143" s="96">
        <v>0</v>
      </c>
      <c r="L143" s="88"/>
    </row>
    <row r="144" spans="1:12" ht="45" customHeight="1">
      <c r="A144" s="35" t="s">
        <v>48</v>
      </c>
      <c r="B144" s="75"/>
      <c r="C144" s="96">
        <f>D144+E144</f>
        <v>77</v>
      </c>
      <c r="D144" s="96">
        <v>77</v>
      </c>
      <c r="E144" s="96">
        <v>0</v>
      </c>
      <c r="F144" s="96">
        <f>G144+H144</f>
        <v>0</v>
      </c>
      <c r="G144" s="96">
        <v>0</v>
      </c>
      <c r="H144" s="96">
        <v>0</v>
      </c>
      <c r="I144" s="96">
        <f>J144+K144</f>
        <v>0</v>
      </c>
      <c r="J144" s="96">
        <v>0</v>
      </c>
      <c r="K144" s="96">
        <v>0</v>
      </c>
      <c r="L144" s="88"/>
    </row>
    <row r="145" spans="1:12" ht="34.5" customHeight="1">
      <c r="A145" s="35" t="s">
        <v>90</v>
      </c>
      <c r="B145" s="75"/>
      <c r="C145" s="96">
        <f>D145+E145</f>
        <v>2</v>
      </c>
      <c r="D145" s="96">
        <v>2</v>
      </c>
      <c r="E145" s="96">
        <v>0</v>
      </c>
      <c r="F145" s="96">
        <f>G145+H145</f>
        <v>3</v>
      </c>
      <c r="G145" s="96">
        <v>3</v>
      </c>
      <c r="H145" s="96">
        <v>0</v>
      </c>
      <c r="I145" s="96">
        <f>J145+K145</f>
        <v>3</v>
      </c>
      <c r="J145" s="96">
        <v>3</v>
      </c>
      <c r="K145" s="96">
        <v>0</v>
      </c>
      <c r="L145" s="88"/>
    </row>
    <row r="146" spans="1:12" ht="16.5">
      <c r="A146" s="16" t="s">
        <v>21</v>
      </c>
      <c r="B146" s="75"/>
      <c r="C146" s="89"/>
      <c r="D146" s="89"/>
      <c r="E146" s="89"/>
      <c r="F146" s="89"/>
      <c r="G146" s="89"/>
      <c r="H146" s="89"/>
      <c r="I146" s="89"/>
      <c r="J146" s="89"/>
      <c r="K146" s="89"/>
      <c r="L146" s="87"/>
    </row>
    <row r="147" spans="1:12" ht="30.75" customHeight="1">
      <c r="A147" s="9" t="s">
        <v>68</v>
      </c>
      <c r="B147" s="75"/>
      <c r="C147" s="90">
        <f>D147+E147</f>
        <v>3762.0315789473684</v>
      </c>
      <c r="D147" s="90">
        <f>D139/D142</f>
        <v>3762.0315789473684</v>
      </c>
      <c r="E147" s="90">
        <v>0</v>
      </c>
      <c r="F147" s="90">
        <f>G147+H147</f>
        <v>6161.2</v>
      </c>
      <c r="G147" s="91">
        <f>G139/G142</f>
        <v>6161.2</v>
      </c>
      <c r="H147" s="90">
        <v>0</v>
      </c>
      <c r="I147" s="90">
        <f>J147+K147</f>
        <v>7388.578947368421</v>
      </c>
      <c r="J147" s="91">
        <f>J139/J142</f>
        <v>7388.578947368421</v>
      </c>
      <c r="K147" s="90">
        <v>0</v>
      </c>
      <c r="L147" s="85"/>
    </row>
    <row r="148" spans="1:12" ht="33.75" customHeight="1">
      <c r="A148" s="9" t="s">
        <v>69</v>
      </c>
      <c r="B148" s="75"/>
      <c r="C148" s="90">
        <f>D148+E148</f>
        <v>5965.875</v>
      </c>
      <c r="D148" s="90">
        <f>95454/D143</f>
        <v>5965.875</v>
      </c>
      <c r="E148" s="90">
        <v>0</v>
      </c>
      <c r="F148" s="90">
        <f>G148+H148</f>
        <v>6777.941176470588</v>
      </c>
      <c r="G148" s="91">
        <f>115225/G143</f>
        <v>6777.941176470588</v>
      </c>
      <c r="H148" s="90">
        <v>0</v>
      </c>
      <c r="I148" s="90">
        <f>J148+K148</f>
        <v>8292.125</v>
      </c>
      <c r="J148" s="91">
        <f>132674/J143</f>
        <v>8292.125</v>
      </c>
      <c r="K148" s="90">
        <v>0</v>
      </c>
      <c r="L148" s="92"/>
    </row>
    <row r="149" spans="1:12" ht="27.75" customHeight="1">
      <c r="A149" s="9" t="s">
        <v>79</v>
      </c>
      <c r="B149" s="75"/>
      <c r="C149" s="90">
        <f>D149+E149</f>
        <v>3202.7662337662337</v>
      </c>
      <c r="D149" s="90">
        <f>246613/D144</f>
        <v>3202.7662337662337</v>
      </c>
      <c r="E149" s="90">
        <v>0</v>
      </c>
      <c r="F149" s="90">
        <f>G149+H149</f>
        <v>0</v>
      </c>
      <c r="G149" s="91">
        <v>0</v>
      </c>
      <c r="H149" s="90">
        <v>0</v>
      </c>
      <c r="I149" s="90">
        <f>J149+K149</f>
        <v>0</v>
      </c>
      <c r="J149" s="91">
        <v>0</v>
      </c>
      <c r="K149" s="90">
        <v>0</v>
      </c>
      <c r="L149" s="92"/>
    </row>
    <row r="150" spans="1:12" ht="30.75" customHeight="1">
      <c r="A150" s="35" t="s">
        <v>91</v>
      </c>
      <c r="B150" s="75"/>
      <c r="C150" s="90">
        <f>D150+E150</f>
        <v>7663</v>
      </c>
      <c r="D150" s="90">
        <f>15326/D145</f>
        <v>7663</v>
      </c>
      <c r="E150" s="90">
        <v>0</v>
      </c>
      <c r="F150" s="90">
        <f>G150+H150</f>
        <v>2666.3333333333335</v>
      </c>
      <c r="G150" s="91">
        <f>7999/G145</f>
        <v>2666.3333333333335</v>
      </c>
      <c r="H150" s="90">
        <v>0</v>
      </c>
      <c r="I150" s="90">
        <f>J150+K150</f>
        <v>2569.6666666666665</v>
      </c>
      <c r="J150" s="91">
        <f>7709/J145</f>
        <v>2569.6666666666665</v>
      </c>
      <c r="K150" s="90">
        <v>0</v>
      </c>
      <c r="L150" s="92"/>
    </row>
    <row r="151" spans="1:14" s="4" customFormat="1" ht="15" customHeight="1">
      <c r="A151" s="16" t="s">
        <v>20</v>
      </c>
      <c r="B151" s="75"/>
      <c r="C151" s="89"/>
      <c r="D151" s="89"/>
      <c r="E151" s="89"/>
      <c r="F151" s="89"/>
      <c r="G151" s="89"/>
      <c r="H151" s="89"/>
      <c r="I151" s="89"/>
      <c r="J151" s="89"/>
      <c r="K151" s="89"/>
      <c r="L151" s="108"/>
      <c r="N151" s="67"/>
    </row>
    <row r="152" spans="1:14" s="4" customFormat="1" ht="17.25" customHeight="1">
      <c r="A152" s="33" t="s">
        <v>33</v>
      </c>
      <c r="B152" s="75"/>
      <c r="C152" s="90">
        <f>D152+E152</f>
        <v>100</v>
      </c>
      <c r="D152" s="90">
        <v>100</v>
      </c>
      <c r="E152" s="90">
        <v>0</v>
      </c>
      <c r="F152" s="90">
        <f>G152+H152</f>
        <v>100</v>
      </c>
      <c r="G152" s="90">
        <v>100</v>
      </c>
      <c r="H152" s="90">
        <v>0</v>
      </c>
      <c r="I152" s="90">
        <f>J152+K152</f>
        <v>100</v>
      </c>
      <c r="J152" s="90">
        <v>100</v>
      </c>
      <c r="K152" s="90">
        <v>0</v>
      </c>
      <c r="L152" s="98"/>
      <c r="N152" s="67"/>
    </row>
    <row r="153" spans="1:14" s="4" customFormat="1" ht="28.5" customHeight="1">
      <c r="A153" s="5" t="s">
        <v>40</v>
      </c>
      <c r="B153" s="75"/>
      <c r="C153" s="90">
        <f>D153+E153</f>
        <v>120.65161248940817</v>
      </c>
      <c r="D153" s="90">
        <f>D139/296219*100</f>
        <v>120.65161248940817</v>
      </c>
      <c r="E153" s="90">
        <v>0</v>
      </c>
      <c r="F153" s="90">
        <f>G153+H153</f>
        <v>34.47857120872541</v>
      </c>
      <c r="G153" s="90">
        <f>G139/D139*100</f>
        <v>34.47857120872541</v>
      </c>
      <c r="H153" s="90">
        <v>0</v>
      </c>
      <c r="I153" s="90">
        <f>J153+K153</f>
        <v>113.92504706875283</v>
      </c>
      <c r="J153" s="90">
        <f>J139/G139*100</f>
        <v>113.92504706875283</v>
      </c>
      <c r="K153" s="90">
        <v>0</v>
      </c>
      <c r="L153" s="98"/>
      <c r="N153" s="67"/>
    </row>
    <row r="154" spans="1:14" s="4" customFormat="1" ht="33" customHeight="1">
      <c r="A154" s="6" t="s">
        <v>36</v>
      </c>
      <c r="B154" s="75"/>
      <c r="C154" s="84">
        <f>E154+D154</f>
        <v>1258221</v>
      </c>
      <c r="D154" s="84">
        <v>1258221</v>
      </c>
      <c r="E154" s="84">
        <v>0</v>
      </c>
      <c r="F154" s="84">
        <f>H154+G154</f>
        <v>400194</v>
      </c>
      <c r="G154" s="59">
        <v>400194</v>
      </c>
      <c r="H154" s="59">
        <f>E154*1.05</f>
        <v>0</v>
      </c>
      <c r="I154" s="84">
        <f>K154+J154</f>
        <v>870440</v>
      </c>
      <c r="J154" s="59">
        <f>188780+681660</f>
        <v>870440</v>
      </c>
      <c r="K154" s="59">
        <f>H154*1.043</f>
        <v>0</v>
      </c>
      <c r="L154" s="113"/>
      <c r="N154" s="67"/>
    </row>
    <row r="155" spans="1:14" s="4" customFormat="1" ht="17.25" customHeight="1">
      <c r="A155" s="19" t="s">
        <v>10</v>
      </c>
      <c r="B155" s="75"/>
      <c r="C155" s="60"/>
      <c r="D155" s="60"/>
      <c r="E155" s="60"/>
      <c r="F155" s="60"/>
      <c r="G155" s="60"/>
      <c r="H155" s="60"/>
      <c r="I155" s="60"/>
      <c r="J155" s="60"/>
      <c r="K155" s="60"/>
      <c r="L155" s="108"/>
      <c r="N155" s="67"/>
    </row>
    <row r="156" spans="1:14" s="4" customFormat="1" ht="15" customHeight="1">
      <c r="A156" s="16" t="s">
        <v>11</v>
      </c>
      <c r="B156" s="75"/>
      <c r="C156" s="60"/>
      <c r="D156" s="60"/>
      <c r="E156" s="60"/>
      <c r="F156" s="60"/>
      <c r="G156" s="60"/>
      <c r="H156" s="60"/>
      <c r="I156" s="60"/>
      <c r="J156" s="60"/>
      <c r="K156" s="60"/>
      <c r="L156" s="108"/>
      <c r="N156" s="67"/>
    </row>
    <row r="157" spans="1:14" s="4" customFormat="1" ht="19.5" customHeight="1">
      <c r="A157" s="19" t="s">
        <v>24</v>
      </c>
      <c r="B157" s="75"/>
      <c r="C157" s="96">
        <f>D157+E157</f>
        <v>538</v>
      </c>
      <c r="D157" s="96">
        <v>538</v>
      </c>
      <c r="E157" s="96">
        <v>0</v>
      </c>
      <c r="F157" s="96">
        <f>G157+H157</f>
        <v>199</v>
      </c>
      <c r="G157" s="96">
        <v>199</v>
      </c>
      <c r="H157" s="96">
        <v>0</v>
      </c>
      <c r="I157" s="96">
        <f>J157+K157</f>
        <v>211</v>
      </c>
      <c r="J157" s="96">
        <f>16+195</f>
        <v>211</v>
      </c>
      <c r="K157" s="96">
        <v>0</v>
      </c>
      <c r="L157" s="109"/>
      <c r="N157" s="67"/>
    </row>
    <row r="158" spans="1:12" ht="19.5" customHeight="1">
      <c r="A158" s="21"/>
      <c r="B158" s="97"/>
      <c r="C158" s="98"/>
      <c r="D158" s="98"/>
      <c r="E158" s="98"/>
      <c r="F158" s="92"/>
      <c r="G158" s="92"/>
      <c r="H158" s="92"/>
      <c r="I158" s="92"/>
      <c r="J158" s="92"/>
      <c r="K158" s="92"/>
      <c r="L158" s="92"/>
    </row>
    <row r="159" spans="1:14" s="4" customFormat="1" ht="26.25" customHeight="1">
      <c r="A159" s="11"/>
      <c r="B159" s="10"/>
      <c r="C159" s="99"/>
      <c r="D159" s="99"/>
      <c r="E159" s="99"/>
      <c r="F159" s="99"/>
      <c r="G159" s="99"/>
      <c r="H159" s="99"/>
      <c r="I159" s="201" t="s">
        <v>218</v>
      </c>
      <c r="J159" s="201"/>
      <c r="K159" s="201"/>
      <c r="L159" s="99"/>
      <c r="N159" s="67"/>
    </row>
    <row r="160" spans="1:14" s="4" customFormat="1" ht="14.25">
      <c r="A160" s="13">
        <v>1</v>
      </c>
      <c r="B160" s="70">
        <v>2</v>
      </c>
      <c r="C160" s="68">
        <v>3</v>
      </c>
      <c r="D160" s="68">
        <v>4</v>
      </c>
      <c r="E160" s="68">
        <v>5</v>
      </c>
      <c r="F160" s="68">
        <v>6</v>
      </c>
      <c r="G160" s="68">
        <v>7</v>
      </c>
      <c r="H160" s="68">
        <v>8</v>
      </c>
      <c r="I160" s="68">
        <v>9</v>
      </c>
      <c r="J160" s="68">
        <v>10</v>
      </c>
      <c r="K160" s="68">
        <v>11</v>
      </c>
      <c r="L160" s="69"/>
      <c r="N160" s="67"/>
    </row>
    <row r="161" spans="1:14" s="4" customFormat="1" ht="19.5" customHeight="1">
      <c r="A161" s="16" t="s">
        <v>21</v>
      </c>
      <c r="B161" s="75"/>
      <c r="C161" s="89"/>
      <c r="D161" s="89"/>
      <c r="E161" s="89"/>
      <c r="F161" s="89"/>
      <c r="G161" s="89"/>
      <c r="H161" s="89"/>
      <c r="I161" s="89"/>
      <c r="J161" s="89"/>
      <c r="K161" s="89"/>
      <c r="L161" s="108"/>
      <c r="N161" s="67"/>
    </row>
    <row r="162" spans="1:14" s="4" customFormat="1" ht="18" customHeight="1">
      <c r="A162" s="19" t="s">
        <v>25</v>
      </c>
      <c r="B162" s="75"/>
      <c r="C162" s="90">
        <f>D162+E162</f>
        <v>2338.700743494424</v>
      </c>
      <c r="D162" s="90">
        <f>D154/D157</f>
        <v>2338.700743494424</v>
      </c>
      <c r="E162" s="90">
        <v>0</v>
      </c>
      <c r="F162" s="90">
        <f>G162+H162</f>
        <v>2011.0251256281408</v>
      </c>
      <c r="G162" s="91">
        <f>G154/G157</f>
        <v>2011.0251256281408</v>
      </c>
      <c r="H162" s="90">
        <v>0</v>
      </c>
      <c r="I162" s="90">
        <f>J162+K162</f>
        <v>4125.308056872038</v>
      </c>
      <c r="J162" s="91">
        <f>J154/J157</f>
        <v>4125.308056872038</v>
      </c>
      <c r="K162" s="90">
        <v>0</v>
      </c>
      <c r="L162" s="98"/>
      <c r="N162" s="67"/>
    </row>
    <row r="163" spans="1:14" s="4" customFormat="1" ht="18.75" customHeight="1">
      <c r="A163" s="16" t="s">
        <v>20</v>
      </c>
      <c r="B163" s="75"/>
      <c r="C163" s="60"/>
      <c r="D163" s="60"/>
      <c r="E163" s="60"/>
      <c r="F163" s="60"/>
      <c r="G163" s="60"/>
      <c r="H163" s="60"/>
      <c r="I163" s="60"/>
      <c r="J163" s="60"/>
      <c r="K163" s="60"/>
      <c r="L163" s="108"/>
      <c r="N163" s="67"/>
    </row>
    <row r="164" spans="1:14" s="4" customFormat="1" ht="33.75" customHeight="1">
      <c r="A164" s="33" t="s">
        <v>40</v>
      </c>
      <c r="B164" s="75"/>
      <c r="C164" s="93">
        <f>D164+E164</f>
        <v>633.1245093895296</v>
      </c>
      <c r="D164" s="93">
        <f>D154/198732*100</f>
        <v>633.1245093895296</v>
      </c>
      <c r="E164" s="93">
        <v>0</v>
      </c>
      <c r="F164" s="93">
        <f>G164+H164</f>
        <v>31.806336088811104</v>
      </c>
      <c r="G164" s="93">
        <f>G154/D154*100</f>
        <v>31.806336088811104</v>
      </c>
      <c r="H164" s="93">
        <v>0</v>
      </c>
      <c r="I164" s="93">
        <f>J164+K164</f>
        <v>217.50451031249844</v>
      </c>
      <c r="J164" s="93">
        <f>J154/G154*100</f>
        <v>217.50451031249844</v>
      </c>
      <c r="K164" s="93">
        <v>0</v>
      </c>
      <c r="L164" s="98"/>
      <c r="N164" s="67"/>
    </row>
    <row r="165" spans="1:14" s="4" customFormat="1" ht="18.75" customHeight="1">
      <c r="A165" s="15" t="s">
        <v>174</v>
      </c>
      <c r="B165" s="83" t="s">
        <v>175</v>
      </c>
      <c r="C165" s="75"/>
      <c r="D165" s="75"/>
      <c r="E165" s="75"/>
      <c r="F165" s="75"/>
      <c r="G165" s="75"/>
      <c r="H165" s="75"/>
      <c r="I165" s="75"/>
      <c r="J165" s="75"/>
      <c r="K165" s="75"/>
      <c r="L165" s="10"/>
      <c r="N165" s="67"/>
    </row>
    <row r="166" spans="1:14" s="4" customFormat="1" ht="21" customHeight="1">
      <c r="A166" s="36" t="s">
        <v>129</v>
      </c>
      <c r="B166" s="75"/>
      <c r="C166" s="75"/>
      <c r="D166" s="75"/>
      <c r="E166" s="75"/>
      <c r="F166" s="75"/>
      <c r="G166" s="75"/>
      <c r="H166" s="75"/>
      <c r="I166" s="75"/>
      <c r="J166" s="75"/>
      <c r="K166" s="75"/>
      <c r="L166" s="10"/>
      <c r="N166" s="67"/>
    </row>
    <row r="167" spans="1:14" s="4" customFormat="1" ht="18.75" customHeight="1">
      <c r="A167" s="198" t="s">
        <v>58</v>
      </c>
      <c r="B167" s="198"/>
      <c r="C167" s="198"/>
      <c r="D167" s="198"/>
      <c r="E167" s="198"/>
      <c r="F167" s="198"/>
      <c r="G167" s="198"/>
      <c r="H167" s="198"/>
      <c r="I167" s="198"/>
      <c r="J167" s="198"/>
      <c r="K167" s="198"/>
      <c r="L167" s="130"/>
      <c r="N167" s="67"/>
    </row>
    <row r="168" spans="1:14" s="4" customFormat="1" ht="20.25" customHeight="1">
      <c r="A168" s="208" t="s">
        <v>26</v>
      </c>
      <c r="B168" s="208"/>
      <c r="C168" s="208"/>
      <c r="D168" s="208"/>
      <c r="E168" s="208"/>
      <c r="F168" s="208"/>
      <c r="G168" s="208"/>
      <c r="H168" s="208"/>
      <c r="I168" s="208"/>
      <c r="J168" s="208"/>
      <c r="K168" s="208"/>
      <c r="L168" s="131"/>
      <c r="N168" s="67"/>
    </row>
    <row r="169" spans="1:15" s="4" customFormat="1" ht="39.75" customHeight="1">
      <c r="A169" s="20" t="s">
        <v>27</v>
      </c>
      <c r="B169" s="75"/>
      <c r="C169" s="84">
        <f>E169+D169</f>
        <v>256500</v>
      </c>
      <c r="D169" s="84">
        <v>256500</v>
      </c>
      <c r="E169" s="84">
        <v>0</v>
      </c>
      <c r="F169" s="84">
        <f>H169+G169</f>
        <v>234900</v>
      </c>
      <c r="G169" s="59">
        <v>234900</v>
      </c>
      <c r="H169" s="59">
        <f>E169*1.05</f>
        <v>0</v>
      </c>
      <c r="I169" s="84">
        <f>K169+J169</f>
        <v>180360</v>
      </c>
      <c r="J169" s="59">
        <v>180360</v>
      </c>
      <c r="K169" s="59">
        <f>H169*1.05</f>
        <v>0</v>
      </c>
      <c r="L169" s="106"/>
      <c r="M169" s="113"/>
      <c r="O169" s="67"/>
    </row>
    <row r="170" spans="1:14" s="4" customFormat="1" ht="15">
      <c r="A170" s="32" t="s">
        <v>5</v>
      </c>
      <c r="B170" s="75"/>
      <c r="C170" s="132"/>
      <c r="D170" s="132"/>
      <c r="E170" s="132"/>
      <c r="F170" s="132"/>
      <c r="G170" s="132"/>
      <c r="H170" s="132"/>
      <c r="I170" s="132"/>
      <c r="J170" s="132"/>
      <c r="K170" s="132"/>
      <c r="L170" s="133"/>
      <c r="N170" s="67"/>
    </row>
    <row r="171" spans="1:14" s="4" customFormat="1" ht="14.25">
      <c r="A171" s="16" t="s">
        <v>11</v>
      </c>
      <c r="B171" s="75"/>
      <c r="C171" s="134"/>
      <c r="D171" s="134"/>
      <c r="E171" s="134"/>
      <c r="F171" s="134"/>
      <c r="G171" s="134"/>
      <c r="H171" s="134"/>
      <c r="I171" s="134"/>
      <c r="J171" s="134"/>
      <c r="K171" s="134"/>
      <c r="L171" s="135"/>
      <c r="N171" s="67"/>
    </row>
    <row r="172" spans="1:14" s="4" customFormat="1" ht="30.75" customHeight="1">
      <c r="A172" s="9" t="s">
        <v>45</v>
      </c>
      <c r="B172" s="75"/>
      <c r="C172" s="96">
        <f>D172+E172</f>
        <v>1</v>
      </c>
      <c r="D172" s="96">
        <v>1</v>
      </c>
      <c r="E172" s="96">
        <v>0</v>
      </c>
      <c r="F172" s="96">
        <f>G172+H172</f>
        <v>1</v>
      </c>
      <c r="G172" s="96">
        <f>D172</f>
        <v>1</v>
      </c>
      <c r="H172" s="96">
        <v>0</v>
      </c>
      <c r="I172" s="96">
        <f>J172+K172</f>
        <v>1</v>
      </c>
      <c r="J172" s="96">
        <f>D172</f>
        <v>1</v>
      </c>
      <c r="K172" s="96">
        <v>0</v>
      </c>
      <c r="L172" s="136"/>
      <c r="N172" s="67"/>
    </row>
    <row r="173" spans="1:14" s="4" customFormat="1" ht="31.5" customHeight="1">
      <c r="A173" s="9" t="s">
        <v>18</v>
      </c>
      <c r="B173" s="75"/>
      <c r="C173" s="96">
        <f>D173+E173</f>
        <v>285</v>
      </c>
      <c r="D173" s="96">
        <v>285</v>
      </c>
      <c r="E173" s="96">
        <v>0</v>
      </c>
      <c r="F173" s="96">
        <f>G173+H173</f>
        <v>261</v>
      </c>
      <c r="G173" s="96">
        <v>261</v>
      </c>
      <c r="H173" s="96">
        <v>0</v>
      </c>
      <c r="I173" s="96">
        <f>J173+K173</f>
        <v>281</v>
      </c>
      <c r="J173" s="96">
        <v>281</v>
      </c>
      <c r="K173" s="96">
        <v>0</v>
      </c>
      <c r="L173" s="136"/>
      <c r="N173" s="67"/>
    </row>
    <row r="174" spans="1:14" s="4" customFormat="1" ht="16.5">
      <c r="A174" s="16" t="s">
        <v>21</v>
      </c>
      <c r="B174" s="75"/>
      <c r="C174" s="90"/>
      <c r="D174" s="90"/>
      <c r="E174" s="90"/>
      <c r="F174" s="90"/>
      <c r="G174" s="90"/>
      <c r="H174" s="90"/>
      <c r="I174" s="90"/>
      <c r="J174" s="90"/>
      <c r="K174" s="90"/>
      <c r="L174" s="135"/>
      <c r="N174" s="67"/>
    </row>
    <row r="175" spans="1:14" s="4" customFormat="1" ht="30" customHeight="1">
      <c r="A175" s="5" t="s">
        <v>55</v>
      </c>
      <c r="B175" s="75"/>
      <c r="C175" s="90">
        <f>D175+E175</f>
        <v>75</v>
      </c>
      <c r="D175" s="90">
        <v>75</v>
      </c>
      <c r="E175" s="90">
        <v>0</v>
      </c>
      <c r="F175" s="90">
        <f>G175+H175</f>
        <v>75</v>
      </c>
      <c r="G175" s="91">
        <f>G169/G173/12</f>
        <v>75</v>
      </c>
      <c r="H175" s="90">
        <v>0</v>
      </c>
      <c r="I175" s="90">
        <f>J175+K175</f>
        <v>53.487544483985765</v>
      </c>
      <c r="J175" s="91">
        <f>J169/J173/12</f>
        <v>53.487544483985765</v>
      </c>
      <c r="K175" s="90">
        <v>0</v>
      </c>
      <c r="L175" s="135"/>
      <c r="N175" s="67"/>
    </row>
    <row r="176" spans="1:14" s="4" customFormat="1" ht="19.5" customHeight="1">
      <c r="A176" s="16" t="s">
        <v>20</v>
      </c>
      <c r="B176" s="75"/>
      <c r="C176" s="90"/>
      <c r="D176" s="90"/>
      <c r="E176" s="90"/>
      <c r="F176" s="90"/>
      <c r="G176" s="90"/>
      <c r="H176" s="90"/>
      <c r="I176" s="90"/>
      <c r="J176" s="90"/>
      <c r="K176" s="90"/>
      <c r="L176" s="135"/>
      <c r="N176" s="67"/>
    </row>
    <row r="177" spans="1:14" s="4" customFormat="1" ht="18" customHeight="1">
      <c r="A177" s="32" t="s">
        <v>19</v>
      </c>
      <c r="B177" s="75"/>
      <c r="C177" s="93">
        <f>D177+E177</f>
        <v>100</v>
      </c>
      <c r="D177" s="93">
        <v>100</v>
      </c>
      <c r="E177" s="93">
        <v>0</v>
      </c>
      <c r="F177" s="93">
        <f>G177+H177</f>
        <v>100</v>
      </c>
      <c r="G177" s="93">
        <v>100</v>
      </c>
      <c r="H177" s="93">
        <v>0</v>
      </c>
      <c r="I177" s="93">
        <f>J177+K177</f>
        <v>100</v>
      </c>
      <c r="J177" s="93">
        <v>100</v>
      </c>
      <c r="K177" s="93">
        <v>0</v>
      </c>
      <c r="L177" s="135"/>
      <c r="N177" s="67"/>
    </row>
    <row r="178" spans="1:14" s="4" customFormat="1" ht="18" customHeight="1">
      <c r="A178" s="15" t="s">
        <v>176</v>
      </c>
      <c r="B178" s="83" t="s">
        <v>177</v>
      </c>
      <c r="C178" s="134"/>
      <c r="D178" s="134"/>
      <c r="E178" s="134"/>
      <c r="F178" s="134"/>
      <c r="G178" s="134"/>
      <c r="H178" s="134"/>
      <c r="I178" s="134"/>
      <c r="J178" s="134"/>
      <c r="K178" s="134"/>
      <c r="L178" s="135"/>
      <c r="N178" s="67"/>
    </row>
    <row r="179" spans="1:14" s="4" customFormat="1" ht="18" customHeight="1">
      <c r="A179" s="36" t="s">
        <v>129</v>
      </c>
      <c r="B179" s="75"/>
      <c r="C179" s="134"/>
      <c r="D179" s="134"/>
      <c r="E179" s="134"/>
      <c r="F179" s="134"/>
      <c r="G179" s="134"/>
      <c r="H179" s="134"/>
      <c r="I179" s="134"/>
      <c r="J179" s="134"/>
      <c r="K179" s="134"/>
      <c r="L179" s="135"/>
      <c r="N179" s="67"/>
    </row>
    <row r="180" spans="1:14" s="4" customFormat="1" ht="21" customHeight="1">
      <c r="A180" s="197" t="s">
        <v>59</v>
      </c>
      <c r="B180" s="197"/>
      <c r="C180" s="197"/>
      <c r="D180" s="197"/>
      <c r="E180" s="197"/>
      <c r="F180" s="197"/>
      <c r="G180" s="197"/>
      <c r="H180" s="197"/>
      <c r="I180" s="197"/>
      <c r="J180" s="197"/>
      <c r="K180" s="197"/>
      <c r="L180" s="137"/>
      <c r="M180" s="10"/>
      <c r="N180" s="67"/>
    </row>
    <row r="181" spans="1:14" s="4" customFormat="1" ht="23.25" customHeight="1">
      <c r="A181" s="203" t="s">
        <v>56</v>
      </c>
      <c r="B181" s="203"/>
      <c r="C181" s="203"/>
      <c r="D181" s="203"/>
      <c r="E181" s="203"/>
      <c r="F181" s="203"/>
      <c r="G181" s="203"/>
      <c r="H181" s="203"/>
      <c r="I181" s="203"/>
      <c r="J181" s="203"/>
      <c r="K181" s="203"/>
      <c r="L181" s="138"/>
      <c r="M181" s="10"/>
      <c r="N181" s="67"/>
    </row>
    <row r="182" spans="1:14" s="4" customFormat="1" ht="43.5" customHeight="1">
      <c r="A182" s="20" t="s">
        <v>57</v>
      </c>
      <c r="B182" s="75"/>
      <c r="C182" s="84">
        <f>D182+E182</f>
        <v>500000</v>
      </c>
      <c r="D182" s="84">
        <v>500000</v>
      </c>
      <c r="E182" s="84">
        <v>0</v>
      </c>
      <c r="F182" s="84">
        <f>G182+H182</f>
        <v>540500</v>
      </c>
      <c r="G182" s="59">
        <v>540500</v>
      </c>
      <c r="H182" s="84">
        <v>0</v>
      </c>
      <c r="I182" s="84">
        <f>J182+K182</f>
        <v>0</v>
      </c>
      <c r="J182" s="59">
        <v>0</v>
      </c>
      <c r="K182" s="84">
        <v>0</v>
      </c>
      <c r="L182" s="135"/>
      <c r="N182" s="67"/>
    </row>
    <row r="183" spans="1:14" s="4" customFormat="1" ht="15" customHeight="1">
      <c r="A183" s="32" t="s">
        <v>5</v>
      </c>
      <c r="B183" s="75"/>
      <c r="C183" s="90"/>
      <c r="D183" s="90"/>
      <c r="E183" s="90"/>
      <c r="F183" s="90"/>
      <c r="G183" s="90"/>
      <c r="H183" s="90"/>
      <c r="I183" s="90"/>
      <c r="J183" s="90"/>
      <c r="K183" s="90"/>
      <c r="L183" s="135"/>
      <c r="N183" s="67"/>
    </row>
    <row r="184" spans="1:14" s="4" customFormat="1" ht="15" customHeight="1">
      <c r="A184" s="16" t="s">
        <v>11</v>
      </c>
      <c r="B184" s="75"/>
      <c r="C184" s="90"/>
      <c r="D184" s="90"/>
      <c r="E184" s="90"/>
      <c r="F184" s="90"/>
      <c r="G184" s="90"/>
      <c r="H184" s="90"/>
      <c r="I184" s="90"/>
      <c r="J184" s="90"/>
      <c r="K184" s="90"/>
      <c r="L184" s="135"/>
      <c r="N184" s="67"/>
    </row>
    <row r="185" spans="1:14" s="4" customFormat="1" ht="24" customHeight="1">
      <c r="A185" s="5" t="s">
        <v>42</v>
      </c>
      <c r="B185" s="75"/>
      <c r="C185" s="61">
        <f>D185+E185</f>
        <v>2719</v>
      </c>
      <c r="D185" s="61">
        <v>2719</v>
      </c>
      <c r="E185" s="61">
        <v>0</v>
      </c>
      <c r="F185" s="61">
        <f>G185+H185</f>
        <v>2294</v>
      </c>
      <c r="G185" s="61">
        <v>2294</v>
      </c>
      <c r="H185" s="61">
        <v>0</v>
      </c>
      <c r="I185" s="61">
        <f>J185+K185</f>
        <v>0</v>
      </c>
      <c r="J185" s="61">
        <v>0</v>
      </c>
      <c r="K185" s="61">
        <v>0</v>
      </c>
      <c r="L185" s="106"/>
      <c r="N185" s="67"/>
    </row>
    <row r="186" spans="1:14" s="4" customFormat="1" ht="16.5" customHeight="1">
      <c r="A186" s="16" t="s">
        <v>21</v>
      </c>
      <c r="B186" s="75"/>
      <c r="C186" s="90"/>
      <c r="D186" s="90"/>
      <c r="E186" s="90"/>
      <c r="F186" s="90"/>
      <c r="G186" s="90"/>
      <c r="H186" s="90"/>
      <c r="I186" s="90"/>
      <c r="J186" s="90"/>
      <c r="K186" s="90"/>
      <c r="L186" s="135"/>
      <c r="N186" s="67"/>
    </row>
    <row r="187" spans="1:14" s="4" customFormat="1" ht="30" customHeight="1">
      <c r="A187" s="5" t="s">
        <v>43</v>
      </c>
      <c r="B187" s="75"/>
      <c r="C187" s="90">
        <f>D187+E187</f>
        <v>183.89</v>
      </c>
      <c r="D187" s="90">
        <v>183.89</v>
      </c>
      <c r="E187" s="90">
        <v>0</v>
      </c>
      <c r="F187" s="90">
        <f>G187+H187</f>
        <v>235.61464690496948</v>
      </c>
      <c r="G187" s="91">
        <f>+G182/G185</f>
        <v>235.61464690496948</v>
      </c>
      <c r="H187" s="90">
        <v>0</v>
      </c>
      <c r="I187" s="90">
        <f>J187+K187</f>
        <v>0</v>
      </c>
      <c r="J187" s="91">
        <v>0</v>
      </c>
      <c r="K187" s="90">
        <v>0</v>
      </c>
      <c r="L187" s="135"/>
      <c r="N187" s="67"/>
    </row>
    <row r="188" spans="1:14" s="4" customFormat="1" ht="17.25" customHeight="1">
      <c r="A188" s="16" t="s">
        <v>20</v>
      </c>
      <c r="B188" s="75"/>
      <c r="C188" s="90"/>
      <c r="D188" s="90"/>
      <c r="E188" s="90"/>
      <c r="F188" s="90"/>
      <c r="G188" s="90"/>
      <c r="H188" s="90"/>
      <c r="I188" s="90"/>
      <c r="J188" s="90"/>
      <c r="K188" s="90"/>
      <c r="L188" s="135"/>
      <c r="N188" s="67"/>
    </row>
    <row r="189" spans="1:14" s="4" customFormat="1" ht="22.5" customHeight="1">
      <c r="A189" s="5" t="s">
        <v>44</v>
      </c>
      <c r="B189" s="75"/>
      <c r="C189" s="93">
        <f>D189+E189</f>
        <v>100</v>
      </c>
      <c r="D189" s="93">
        <v>100</v>
      </c>
      <c r="E189" s="93">
        <v>0</v>
      </c>
      <c r="F189" s="93">
        <f>G189+H189</f>
        <v>100</v>
      </c>
      <c r="G189" s="93">
        <v>100</v>
      </c>
      <c r="H189" s="93">
        <v>0</v>
      </c>
      <c r="I189" s="93">
        <f>J189+K189</f>
        <v>0</v>
      </c>
      <c r="J189" s="93">
        <v>0</v>
      </c>
      <c r="K189" s="93">
        <v>0</v>
      </c>
      <c r="L189" s="135"/>
      <c r="N189" s="67"/>
    </row>
    <row r="190" spans="1:14" s="4" customFormat="1" ht="30">
      <c r="A190" s="5" t="s">
        <v>39</v>
      </c>
      <c r="B190" s="75"/>
      <c r="C190" s="124">
        <f>D190+E190</f>
        <v>250</v>
      </c>
      <c r="D190" s="124">
        <f>D182/200000*100</f>
        <v>250</v>
      </c>
      <c r="E190" s="124">
        <v>0</v>
      </c>
      <c r="F190" s="124">
        <f>G190+H190</f>
        <v>108.1</v>
      </c>
      <c r="G190" s="124">
        <f>G182/D182*100</f>
        <v>108.1</v>
      </c>
      <c r="H190" s="124">
        <v>0</v>
      </c>
      <c r="I190" s="124">
        <f>J190+K190</f>
        <v>0</v>
      </c>
      <c r="J190" s="124">
        <f>J182/G182*100</f>
        <v>0</v>
      </c>
      <c r="K190" s="124">
        <v>0</v>
      </c>
      <c r="N190" s="67"/>
    </row>
    <row r="191" spans="1:14" s="4" customFormat="1" ht="15" customHeight="1">
      <c r="A191" s="37" t="s">
        <v>178</v>
      </c>
      <c r="B191" s="139" t="s">
        <v>179</v>
      </c>
      <c r="C191" s="7"/>
      <c r="D191" s="7"/>
      <c r="E191" s="7"/>
      <c r="F191" s="7"/>
      <c r="G191" s="7"/>
      <c r="H191" s="7"/>
      <c r="I191" s="7"/>
      <c r="J191" s="7"/>
      <c r="K191" s="7"/>
      <c r="L191" s="140"/>
      <c r="N191" s="67"/>
    </row>
    <row r="192" spans="1:14" s="4" customFormat="1" ht="30" customHeight="1">
      <c r="A192" s="16" t="s">
        <v>49</v>
      </c>
      <c r="B192" s="7"/>
      <c r="C192" s="7"/>
      <c r="D192" s="7"/>
      <c r="E192" s="7"/>
      <c r="F192" s="7"/>
      <c r="G192" s="7"/>
      <c r="H192" s="7"/>
      <c r="I192" s="7"/>
      <c r="J192" s="7"/>
      <c r="K192" s="7"/>
      <c r="L192" s="140"/>
      <c r="M192" s="114"/>
      <c r="N192" s="67"/>
    </row>
    <row r="193" spans="1:12" ht="19.5" customHeight="1">
      <c r="A193" s="21"/>
      <c r="B193" s="97"/>
      <c r="C193" s="98"/>
      <c r="D193" s="98"/>
      <c r="E193" s="98"/>
      <c r="F193" s="92"/>
      <c r="G193" s="92"/>
      <c r="H193" s="92"/>
      <c r="I193" s="92"/>
      <c r="J193" s="92"/>
      <c r="K193" s="92"/>
      <c r="L193" s="92"/>
    </row>
    <row r="194" spans="1:14" s="4" customFormat="1" ht="26.25" customHeight="1">
      <c r="A194" s="11"/>
      <c r="B194" s="10"/>
      <c r="C194" s="99"/>
      <c r="D194" s="99"/>
      <c r="E194" s="99"/>
      <c r="F194" s="99"/>
      <c r="G194" s="99"/>
      <c r="H194" s="99"/>
      <c r="I194" s="201" t="s">
        <v>218</v>
      </c>
      <c r="J194" s="201"/>
      <c r="K194" s="201"/>
      <c r="L194" s="99"/>
      <c r="N194" s="67"/>
    </row>
    <row r="195" spans="1:14" s="4" customFormat="1" ht="14.25">
      <c r="A195" s="13">
        <v>1</v>
      </c>
      <c r="B195" s="70">
        <v>2</v>
      </c>
      <c r="C195" s="68">
        <v>3</v>
      </c>
      <c r="D195" s="68">
        <v>4</v>
      </c>
      <c r="E195" s="68">
        <v>5</v>
      </c>
      <c r="F195" s="68">
        <v>6</v>
      </c>
      <c r="G195" s="68">
        <v>7</v>
      </c>
      <c r="H195" s="68">
        <v>8</v>
      </c>
      <c r="I195" s="68">
        <v>9</v>
      </c>
      <c r="J195" s="68">
        <v>10</v>
      </c>
      <c r="K195" s="68">
        <v>11</v>
      </c>
      <c r="L195" s="69"/>
      <c r="N195" s="67"/>
    </row>
    <row r="196" spans="1:12" ht="24.75" customHeight="1">
      <c r="A196" s="210" t="s">
        <v>180</v>
      </c>
      <c r="B196" s="210"/>
      <c r="C196" s="210"/>
      <c r="D196" s="210"/>
      <c r="E196" s="210"/>
      <c r="F196" s="210"/>
      <c r="G196" s="210"/>
      <c r="H196" s="210"/>
      <c r="I196" s="210"/>
      <c r="J196" s="210"/>
      <c r="K196" s="210"/>
      <c r="L196" s="141"/>
    </row>
    <row r="197" spans="1:12" ht="26.25" customHeight="1">
      <c r="A197" s="203" t="s">
        <v>181</v>
      </c>
      <c r="B197" s="203"/>
      <c r="C197" s="203"/>
      <c r="D197" s="203"/>
      <c r="E197" s="203"/>
      <c r="F197" s="203"/>
      <c r="G197" s="203"/>
      <c r="H197" s="203"/>
      <c r="I197" s="203"/>
      <c r="J197" s="203"/>
      <c r="K197" s="203"/>
      <c r="L197" s="142"/>
    </row>
    <row r="198" spans="1:12" ht="21" customHeight="1">
      <c r="A198" s="38" t="s">
        <v>7</v>
      </c>
      <c r="B198" s="143"/>
      <c r="C198" s="72">
        <f>D198+E198</f>
        <v>768092</v>
      </c>
      <c r="D198" s="72">
        <f>D199+D208+D217+D230+D240</f>
        <v>768092</v>
      </c>
      <c r="E198" s="72">
        <f>E199+E208</f>
        <v>0</v>
      </c>
      <c r="F198" s="72">
        <f>G198+H198</f>
        <v>52794</v>
      </c>
      <c r="G198" s="72">
        <f>G199+G208+G217+G230+G240</f>
        <v>52794</v>
      </c>
      <c r="H198" s="72">
        <f>H199+H208</f>
        <v>0</v>
      </c>
      <c r="I198" s="72">
        <f>J198+K198</f>
        <v>49482</v>
      </c>
      <c r="J198" s="72">
        <f>J199+J208+J217+J230+J240</f>
        <v>49482</v>
      </c>
      <c r="K198" s="72">
        <f>K199+K208</f>
        <v>0</v>
      </c>
      <c r="L198" s="144"/>
    </row>
    <row r="199" spans="1:14" s="4" customFormat="1" ht="73.5" customHeight="1">
      <c r="A199" s="6" t="s">
        <v>131</v>
      </c>
      <c r="B199" s="75"/>
      <c r="C199" s="59">
        <f>D199+E199</f>
        <v>114761</v>
      </c>
      <c r="D199" s="59">
        <f>66528+48233</f>
        <v>114761</v>
      </c>
      <c r="E199" s="59">
        <v>0</v>
      </c>
      <c r="F199" s="59">
        <f>G199+H199</f>
        <v>0</v>
      </c>
      <c r="G199" s="145">
        <v>0</v>
      </c>
      <c r="H199" s="59">
        <f>E199*1.05</f>
        <v>0</v>
      </c>
      <c r="I199" s="59">
        <f>J199+K199</f>
        <v>0</v>
      </c>
      <c r="J199" s="59">
        <v>0</v>
      </c>
      <c r="K199" s="59">
        <f>H199*1.043</f>
        <v>0</v>
      </c>
      <c r="L199" s="146"/>
      <c r="N199" s="67"/>
    </row>
    <row r="200" spans="1:14" s="4" customFormat="1" ht="15">
      <c r="A200" s="7" t="s">
        <v>5</v>
      </c>
      <c r="B200" s="7"/>
      <c r="C200" s="147"/>
      <c r="D200" s="147"/>
      <c r="E200" s="147"/>
      <c r="F200" s="147"/>
      <c r="G200" s="147"/>
      <c r="H200" s="147"/>
      <c r="I200" s="147"/>
      <c r="J200" s="147"/>
      <c r="K200" s="147"/>
      <c r="L200" s="148"/>
      <c r="N200" s="67"/>
    </row>
    <row r="201" spans="1:14" s="4" customFormat="1" ht="15">
      <c r="A201" s="8" t="s">
        <v>6</v>
      </c>
      <c r="B201" s="7"/>
      <c r="C201" s="147"/>
      <c r="D201" s="147"/>
      <c r="E201" s="147"/>
      <c r="F201" s="147"/>
      <c r="G201" s="147"/>
      <c r="H201" s="147"/>
      <c r="I201" s="147"/>
      <c r="J201" s="147"/>
      <c r="K201" s="147"/>
      <c r="L201" s="148"/>
      <c r="N201" s="67"/>
    </row>
    <row r="202" spans="1:14" s="4" customFormat="1" ht="61.5" customHeight="1">
      <c r="A202" s="5" t="s">
        <v>70</v>
      </c>
      <c r="B202" s="7"/>
      <c r="C202" s="149">
        <f>D202+E202</f>
        <v>69</v>
      </c>
      <c r="D202" s="149">
        <v>69</v>
      </c>
      <c r="E202" s="149">
        <v>0</v>
      </c>
      <c r="F202" s="149">
        <v>0</v>
      </c>
      <c r="G202" s="149">
        <v>0</v>
      </c>
      <c r="H202" s="149">
        <v>0</v>
      </c>
      <c r="I202" s="149">
        <f>J202+K202</f>
        <v>0</v>
      </c>
      <c r="J202" s="149">
        <v>0</v>
      </c>
      <c r="K202" s="149">
        <v>0</v>
      </c>
      <c r="L202" s="148"/>
      <c r="N202" s="67"/>
    </row>
    <row r="203" spans="1:14" s="4" customFormat="1" ht="21" customHeight="1">
      <c r="A203" s="32" t="s">
        <v>50</v>
      </c>
      <c r="B203" s="7"/>
      <c r="C203" s="149">
        <f>D203+E203</f>
        <v>252</v>
      </c>
      <c r="D203" s="149">
        <v>252</v>
      </c>
      <c r="E203" s="149">
        <v>0</v>
      </c>
      <c r="F203" s="149">
        <v>0</v>
      </c>
      <c r="G203" s="149">
        <v>0</v>
      </c>
      <c r="H203" s="149">
        <v>0</v>
      </c>
      <c r="I203" s="149">
        <f>J203+K203</f>
        <v>0</v>
      </c>
      <c r="J203" s="149">
        <v>0</v>
      </c>
      <c r="K203" s="149">
        <v>0</v>
      </c>
      <c r="L203" s="148"/>
      <c r="N203" s="67"/>
    </row>
    <row r="204" spans="1:14" s="4" customFormat="1" ht="15" customHeight="1">
      <c r="A204" s="39" t="s">
        <v>21</v>
      </c>
      <c r="B204" s="7"/>
      <c r="C204" s="149"/>
      <c r="D204" s="149"/>
      <c r="E204" s="149"/>
      <c r="F204" s="149"/>
      <c r="G204" s="149"/>
      <c r="H204" s="149"/>
      <c r="I204" s="149"/>
      <c r="J204" s="149"/>
      <c r="K204" s="149"/>
      <c r="L204" s="148"/>
      <c r="N204" s="67"/>
    </row>
    <row r="205" spans="1:14" s="4" customFormat="1" ht="17.25" customHeight="1">
      <c r="A205" s="40" t="s">
        <v>71</v>
      </c>
      <c r="B205" s="7"/>
      <c r="C205" s="91">
        <f>D205+E205</f>
        <v>6.6</v>
      </c>
      <c r="D205" s="91">
        <v>6.6</v>
      </c>
      <c r="E205" s="91">
        <v>0</v>
      </c>
      <c r="F205" s="91">
        <v>0</v>
      </c>
      <c r="G205" s="91">
        <v>0</v>
      </c>
      <c r="H205" s="91">
        <v>0</v>
      </c>
      <c r="I205" s="91">
        <f>J205+K205</f>
        <v>0</v>
      </c>
      <c r="J205" s="91">
        <v>0</v>
      </c>
      <c r="K205" s="91">
        <v>0</v>
      </c>
      <c r="L205" s="148"/>
      <c r="N205" s="67"/>
    </row>
    <row r="206" spans="1:14" s="4" customFormat="1" ht="17.25" customHeight="1">
      <c r="A206" s="16" t="s">
        <v>20</v>
      </c>
      <c r="B206" s="7"/>
      <c r="C206" s="91"/>
      <c r="D206" s="91"/>
      <c r="E206" s="91"/>
      <c r="F206" s="91"/>
      <c r="G206" s="91"/>
      <c r="H206" s="91"/>
      <c r="I206" s="91"/>
      <c r="J206" s="91"/>
      <c r="K206" s="91"/>
      <c r="L206" s="148"/>
      <c r="N206" s="67"/>
    </row>
    <row r="207" spans="1:14" s="4" customFormat="1" ht="17.25" customHeight="1">
      <c r="A207" s="5" t="s">
        <v>75</v>
      </c>
      <c r="B207" s="7"/>
      <c r="C207" s="94">
        <f>D207+E207</f>
        <v>391.7426181942311</v>
      </c>
      <c r="D207" s="94">
        <f>D199/29295*100</f>
        <v>391.7426181942311</v>
      </c>
      <c r="E207" s="94">
        <v>0</v>
      </c>
      <c r="F207" s="94">
        <v>0</v>
      </c>
      <c r="G207" s="94">
        <f>G199/D199*100</f>
        <v>0</v>
      </c>
      <c r="H207" s="94">
        <v>0</v>
      </c>
      <c r="I207" s="94">
        <f>J207+K207</f>
        <v>0</v>
      </c>
      <c r="J207" s="94">
        <v>0</v>
      </c>
      <c r="K207" s="94">
        <v>0</v>
      </c>
      <c r="L207" s="148"/>
      <c r="N207" s="67"/>
    </row>
    <row r="208" spans="1:15" s="4" customFormat="1" ht="72.75" customHeight="1">
      <c r="A208" s="6" t="s">
        <v>132</v>
      </c>
      <c r="B208" s="7"/>
      <c r="C208" s="59">
        <f>D208+E208</f>
        <v>625968</v>
      </c>
      <c r="D208" s="59">
        <f>317520+308448</f>
        <v>625968</v>
      </c>
      <c r="E208" s="59">
        <v>0</v>
      </c>
      <c r="F208" s="59">
        <f>G208+H208</f>
        <v>0</v>
      </c>
      <c r="G208" s="59">
        <v>0</v>
      </c>
      <c r="H208" s="59">
        <v>0</v>
      </c>
      <c r="I208" s="59">
        <f>J208+K208</f>
        <v>0</v>
      </c>
      <c r="J208" s="59">
        <v>0</v>
      </c>
      <c r="K208" s="59">
        <v>0</v>
      </c>
      <c r="L208" s="106"/>
      <c r="M208" s="148"/>
      <c r="O208" s="67"/>
    </row>
    <row r="209" spans="1:14" s="4" customFormat="1" ht="17.25" customHeight="1">
      <c r="A209" s="7" t="s">
        <v>5</v>
      </c>
      <c r="B209" s="7"/>
      <c r="C209" s="91"/>
      <c r="D209" s="91"/>
      <c r="E209" s="91"/>
      <c r="F209" s="91"/>
      <c r="G209" s="91"/>
      <c r="H209" s="91"/>
      <c r="I209" s="91"/>
      <c r="J209" s="91"/>
      <c r="K209" s="91"/>
      <c r="L209" s="148"/>
      <c r="N209" s="67"/>
    </row>
    <row r="210" spans="1:14" s="4" customFormat="1" ht="17.25" customHeight="1">
      <c r="A210" s="8" t="s">
        <v>6</v>
      </c>
      <c r="B210" s="7"/>
      <c r="C210" s="91"/>
      <c r="D210" s="91"/>
      <c r="E210" s="91"/>
      <c r="F210" s="91"/>
      <c r="G210" s="91"/>
      <c r="H210" s="91"/>
      <c r="I210" s="91"/>
      <c r="J210" s="91"/>
      <c r="K210" s="91"/>
      <c r="L210" s="148"/>
      <c r="N210" s="67"/>
    </row>
    <row r="211" spans="1:14" s="4" customFormat="1" ht="59.25" customHeight="1">
      <c r="A211" s="5" t="s">
        <v>72</v>
      </c>
      <c r="B211" s="7"/>
      <c r="C211" s="149">
        <f>D211+E211</f>
        <v>276</v>
      </c>
      <c r="D211" s="149">
        <f>140+136</f>
        <v>276</v>
      </c>
      <c r="E211" s="149">
        <v>0</v>
      </c>
      <c r="F211" s="149">
        <f>G211+H211</f>
        <v>0</v>
      </c>
      <c r="G211" s="149">
        <v>0</v>
      </c>
      <c r="H211" s="149">
        <v>0</v>
      </c>
      <c r="I211" s="150">
        <f>J211+K211</f>
        <v>0</v>
      </c>
      <c r="J211" s="150">
        <v>0</v>
      </c>
      <c r="K211" s="150">
        <v>0</v>
      </c>
      <c r="L211" s="148"/>
      <c r="N211" s="67"/>
    </row>
    <row r="212" spans="1:14" s="4" customFormat="1" ht="17.25" customHeight="1">
      <c r="A212" s="32" t="s">
        <v>50</v>
      </c>
      <c r="B212" s="7"/>
      <c r="C212" s="149">
        <f>D212+E212</f>
        <v>252</v>
      </c>
      <c r="D212" s="149">
        <v>252</v>
      </c>
      <c r="E212" s="149">
        <v>0</v>
      </c>
      <c r="F212" s="149">
        <f>G212+H212</f>
        <v>0</v>
      </c>
      <c r="G212" s="149">
        <v>0</v>
      </c>
      <c r="H212" s="149">
        <v>0</v>
      </c>
      <c r="I212" s="150">
        <f>J212+K212</f>
        <v>0</v>
      </c>
      <c r="J212" s="150">
        <v>0</v>
      </c>
      <c r="K212" s="150">
        <v>0</v>
      </c>
      <c r="L212" s="148"/>
      <c r="N212" s="67"/>
    </row>
    <row r="213" spans="1:14" s="4" customFormat="1" ht="17.25" customHeight="1">
      <c r="A213" s="39" t="s">
        <v>21</v>
      </c>
      <c r="B213" s="7"/>
      <c r="C213" s="91"/>
      <c r="D213" s="91"/>
      <c r="E213" s="91"/>
      <c r="F213" s="149">
        <f>G213+H213</f>
        <v>0</v>
      </c>
      <c r="G213" s="149"/>
      <c r="H213" s="149"/>
      <c r="I213" s="91"/>
      <c r="J213" s="91"/>
      <c r="K213" s="91"/>
      <c r="L213" s="148"/>
      <c r="N213" s="67"/>
    </row>
    <row r="214" spans="1:14" s="4" customFormat="1" ht="17.25" customHeight="1">
      <c r="A214" s="40" t="s">
        <v>71</v>
      </c>
      <c r="B214" s="7"/>
      <c r="C214" s="91">
        <f>D214+E214</f>
        <v>9</v>
      </c>
      <c r="D214" s="91">
        <v>9</v>
      </c>
      <c r="E214" s="91">
        <v>0</v>
      </c>
      <c r="F214" s="151">
        <f>G214+H214</f>
        <v>0</v>
      </c>
      <c r="G214" s="91">
        <v>0</v>
      </c>
      <c r="H214" s="91">
        <v>0</v>
      </c>
      <c r="I214" s="91">
        <f>J214+K214</f>
        <v>0</v>
      </c>
      <c r="J214" s="91">
        <v>0</v>
      </c>
      <c r="K214" s="91">
        <v>0</v>
      </c>
      <c r="L214" s="148"/>
      <c r="N214" s="67"/>
    </row>
    <row r="215" spans="1:14" s="4" customFormat="1" ht="17.25" customHeight="1">
      <c r="A215" s="16" t="s">
        <v>20</v>
      </c>
      <c r="B215" s="7"/>
      <c r="C215" s="91"/>
      <c r="D215" s="91"/>
      <c r="E215" s="91"/>
      <c r="F215" s="151"/>
      <c r="G215" s="91"/>
      <c r="H215" s="91"/>
      <c r="I215" s="91"/>
      <c r="J215" s="91"/>
      <c r="K215" s="91"/>
      <c r="L215" s="148"/>
      <c r="N215" s="67"/>
    </row>
    <row r="216" spans="1:14" s="4" customFormat="1" ht="17.25" customHeight="1">
      <c r="A216" s="5" t="s">
        <v>75</v>
      </c>
      <c r="B216" s="7"/>
      <c r="C216" s="152">
        <f>D216+E216</f>
        <v>357.0736716009241</v>
      </c>
      <c r="D216" s="152">
        <f>D208/175305*100</f>
        <v>357.0736716009241</v>
      </c>
      <c r="E216" s="152">
        <v>0</v>
      </c>
      <c r="F216" s="152">
        <f>G216+H216</f>
        <v>0</v>
      </c>
      <c r="G216" s="152">
        <f>G208/D208*100</f>
        <v>0</v>
      </c>
      <c r="H216" s="152">
        <v>0</v>
      </c>
      <c r="I216" s="152">
        <f>J216+K216</f>
        <v>0</v>
      </c>
      <c r="J216" s="152">
        <v>0</v>
      </c>
      <c r="K216" s="152">
        <v>0</v>
      </c>
      <c r="L216" s="148"/>
      <c r="N216" s="67"/>
    </row>
    <row r="217" spans="1:12" ht="32.25" customHeight="1">
      <c r="A217" s="6" t="s">
        <v>157</v>
      </c>
      <c r="B217" s="71"/>
      <c r="C217" s="59">
        <f>D217+E217</f>
        <v>291</v>
      </c>
      <c r="D217" s="59">
        <v>291</v>
      </c>
      <c r="E217" s="59">
        <v>0</v>
      </c>
      <c r="F217" s="59">
        <f>G217+H217</f>
        <v>9828</v>
      </c>
      <c r="G217" s="59">
        <v>9828</v>
      </c>
      <c r="H217" s="59">
        <v>0</v>
      </c>
      <c r="I217" s="59">
        <f>J217+K217</f>
        <v>8165</v>
      </c>
      <c r="J217" s="59">
        <v>8165</v>
      </c>
      <c r="K217" s="59">
        <v>0</v>
      </c>
      <c r="L217" s="153"/>
    </row>
    <row r="218" spans="1:12" ht="17.25" customHeight="1">
      <c r="A218" s="5" t="s">
        <v>5</v>
      </c>
      <c r="B218" s="71"/>
      <c r="C218" s="152"/>
      <c r="D218" s="152"/>
      <c r="E218" s="152"/>
      <c r="F218" s="152"/>
      <c r="G218" s="152"/>
      <c r="H218" s="152"/>
      <c r="I218" s="152"/>
      <c r="J218" s="152"/>
      <c r="K218" s="152"/>
      <c r="L218" s="153"/>
    </row>
    <row r="219" spans="1:12" ht="17.25" customHeight="1">
      <c r="A219" s="20" t="s">
        <v>6</v>
      </c>
      <c r="B219" s="71"/>
      <c r="C219" s="152"/>
      <c r="D219" s="152"/>
      <c r="E219" s="152"/>
      <c r="F219" s="152"/>
      <c r="G219" s="152"/>
      <c r="H219" s="152"/>
      <c r="I219" s="152"/>
      <c r="J219" s="152"/>
      <c r="K219" s="152"/>
      <c r="L219" s="153"/>
    </row>
    <row r="220" spans="1:12" ht="30" customHeight="1">
      <c r="A220" s="5" t="s">
        <v>182</v>
      </c>
      <c r="B220" s="71"/>
      <c r="C220" s="107">
        <f>D220+E220</f>
        <v>1</v>
      </c>
      <c r="D220" s="107">
        <v>1</v>
      </c>
      <c r="E220" s="107">
        <v>0</v>
      </c>
      <c r="F220" s="107">
        <f>G220+H220</f>
        <v>4</v>
      </c>
      <c r="G220" s="107">
        <v>4</v>
      </c>
      <c r="H220" s="107">
        <v>0</v>
      </c>
      <c r="I220" s="107">
        <f>J220+K220</f>
        <v>2</v>
      </c>
      <c r="J220" s="107">
        <v>2</v>
      </c>
      <c r="K220" s="107">
        <v>0</v>
      </c>
      <c r="L220" s="153"/>
    </row>
    <row r="221" spans="1:12" ht="47.25" customHeight="1">
      <c r="A221" s="5" t="s">
        <v>183</v>
      </c>
      <c r="B221" s="71"/>
      <c r="C221" s="107">
        <v>0</v>
      </c>
      <c r="D221" s="107">
        <v>0</v>
      </c>
      <c r="E221" s="107">
        <v>0</v>
      </c>
      <c r="F221" s="107">
        <f>+G221</f>
        <v>1</v>
      </c>
      <c r="G221" s="107">
        <v>1</v>
      </c>
      <c r="H221" s="107">
        <v>0</v>
      </c>
      <c r="I221" s="107">
        <f>J221+K221</f>
        <v>1</v>
      </c>
      <c r="J221" s="107">
        <v>1</v>
      </c>
      <c r="K221" s="107">
        <v>0</v>
      </c>
      <c r="L221" s="153"/>
    </row>
    <row r="222" spans="1:12" ht="23.25" customHeight="1">
      <c r="A222" s="5" t="s">
        <v>50</v>
      </c>
      <c r="B222" s="71"/>
      <c r="C222" s="107">
        <f>D222+E222</f>
        <v>44</v>
      </c>
      <c r="D222" s="107">
        <v>44</v>
      </c>
      <c r="E222" s="107">
        <v>0</v>
      </c>
      <c r="F222" s="107">
        <f>G222+H222</f>
        <v>252</v>
      </c>
      <c r="G222" s="107">
        <v>252</v>
      </c>
      <c r="H222" s="107">
        <v>0</v>
      </c>
      <c r="I222" s="107">
        <f>J222+K222</f>
        <v>252</v>
      </c>
      <c r="J222" s="107">
        <v>252</v>
      </c>
      <c r="K222" s="107">
        <v>0</v>
      </c>
      <c r="L222" s="153"/>
    </row>
    <row r="223" spans="1:12" ht="19.5" customHeight="1">
      <c r="A223" s="21"/>
      <c r="B223" s="97"/>
      <c r="C223" s="98"/>
      <c r="D223" s="98"/>
      <c r="E223" s="98"/>
      <c r="F223" s="92"/>
      <c r="G223" s="92"/>
      <c r="H223" s="92"/>
      <c r="I223" s="92"/>
      <c r="J223" s="92"/>
      <c r="K223" s="92"/>
      <c r="L223" s="92"/>
    </row>
    <row r="224" spans="1:14" s="4" customFormat="1" ht="26.25" customHeight="1">
      <c r="A224" s="11"/>
      <c r="B224" s="10"/>
      <c r="C224" s="99"/>
      <c r="D224" s="99"/>
      <c r="E224" s="99"/>
      <c r="F224" s="99"/>
      <c r="G224" s="99"/>
      <c r="H224" s="99"/>
      <c r="I224" s="201" t="s">
        <v>218</v>
      </c>
      <c r="J224" s="201"/>
      <c r="K224" s="201"/>
      <c r="L224" s="99"/>
      <c r="N224" s="67"/>
    </row>
    <row r="225" spans="1:14" s="4" customFormat="1" ht="14.25">
      <c r="A225" s="13">
        <v>1</v>
      </c>
      <c r="B225" s="70">
        <v>2</v>
      </c>
      <c r="C225" s="68">
        <v>3</v>
      </c>
      <c r="D225" s="68">
        <v>4</v>
      </c>
      <c r="E225" s="68">
        <v>5</v>
      </c>
      <c r="F225" s="68">
        <v>6</v>
      </c>
      <c r="G225" s="68">
        <v>7</v>
      </c>
      <c r="H225" s="68">
        <v>8</v>
      </c>
      <c r="I225" s="68">
        <v>9</v>
      </c>
      <c r="J225" s="68">
        <v>10</v>
      </c>
      <c r="K225" s="68">
        <v>11</v>
      </c>
      <c r="L225" s="69"/>
      <c r="N225" s="67"/>
    </row>
    <row r="226" spans="1:12" ht="17.25" customHeight="1">
      <c r="A226" s="20" t="s">
        <v>21</v>
      </c>
      <c r="B226" s="71"/>
      <c r="C226" s="152"/>
      <c r="D226" s="152"/>
      <c r="E226" s="152"/>
      <c r="F226" s="152"/>
      <c r="G226" s="152"/>
      <c r="H226" s="152"/>
      <c r="I226" s="152"/>
      <c r="J226" s="152"/>
      <c r="K226" s="152"/>
      <c r="L226" s="153"/>
    </row>
    <row r="227" spans="1:12" ht="17.25" customHeight="1">
      <c r="A227" s="5" t="s">
        <v>71</v>
      </c>
      <c r="B227" s="71"/>
      <c r="C227" s="91">
        <f>D227+E227</f>
        <v>6.6</v>
      </c>
      <c r="D227" s="91">
        <v>6.6</v>
      </c>
      <c r="E227" s="91">
        <v>0</v>
      </c>
      <c r="F227" s="91">
        <f>G227+H227</f>
        <v>7.8</v>
      </c>
      <c r="G227" s="91">
        <v>7.8</v>
      </c>
      <c r="H227" s="91">
        <v>0</v>
      </c>
      <c r="I227" s="91">
        <f>J227+K227</f>
        <v>10.800264550264549</v>
      </c>
      <c r="J227" s="91">
        <f>+J217/3/J222</f>
        <v>10.800264550264549</v>
      </c>
      <c r="K227" s="91">
        <v>0</v>
      </c>
      <c r="L227" s="153"/>
    </row>
    <row r="228" spans="1:12" ht="17.25" customHeight="1">
      <c r="A228" s="6" t="s">
        <v>20</v>
      </c>
      <c r="B228" s="71"/>
      <c r="C228" s="152"/>
      <c r="D228" s="152"/>
      <c r="E228" s="152"/>
      <c r="F228" s="152"/>
      <c r="G228" s="152"/>
      <c r="H228" s="152"/>
      <c r="I228" s="152"/>
      <c r="J228" s="152"/>
      <c r="K228" s="152"/>
      <c r="L228" s="153"/>
    </row>
    <row r="229" spans="1:12" ht="17.25" customHeight="1">
      <c r="A229" s="5" t="s">
        <v>75</v>
      </c>
      <c r="B229" s="71"/>
      <c r="C229" s="152">
        <f>D229+E229</f>
        <v>0</v>
      </c>
      <c r="D229" s="152">
        <v>0</v>
      </c>
      <c r="E229" s="152">
        <v>0</v>
      </c>
      <c r="F229" s="152">
        <f>G229+H229</f>
        <v>3377.319587628866</v>
      </c>
      <c r="G229" s="152">
        <f>+G217/D217*100</f>
        <v>3377.319587628866</v>
      </c>
      <c r="H229" s="152">
        <v>0</v>
      </c>
      <c r="I229" s="152">
        <f>J229+K229</f>
        <v>83.07895807895808</v>
      </c>
      <c r="J229" s="152">
        <f>J217/G217*100</f>
        <v>83.07895807895808</v>
      </c>
      <c r="K229" s="152">
        <v>0</v>
      </c>
      <c r="L229" s="153"/>
    </row>
    <row r="230" spans="1:12" ht="35.25" customHeight="1">
      <c r="A230" s="6" t="s">
        <v>158</v>
      </c>
      <c r="B230" s="71"/>
      <c r="C230" s="59">
        <f>D230+E230</f>
        <v>792</v>
      </c>
      <c r="D230" s="59">
        <v>792</v>
      </c>
      <c r="E230" s="59">
        <v>0</v>
      </c>
      <c r="F230" s="59">
        <f>G230+H230</f>
        <v>38556</v>
      </c>
      <c r="G230" s="59">
        <v>38556</v>
      </c>
      <c r="H230" s="59">
        <v>0</v>
      </c>
      <c r="I230" s="59">
        <f>J230+K230</f>
        <v>39917</v>
      </c>
      <c r="J230" s="59">
        <v>39917</v>
      </c>
      <c r="K230" s="59">
        <v>0</v>
      </c>
      <c r="L230" s="153"/>
    </row>
    <row r="231" spans="1:12" ht="17.25" customHeight="1">
      <c r="A231" s="5" t="s">
        <v>5</v>
      </c>
      <c r="B231" s="71"/>
      <c r="C231" s="152"/>
      <c r="D231" s="152"/>
      <c r="E231" s="152"/>
      <c r="F231" s="152"/>
      <c r="G231" s="152"/>
      <c r="H231" s="152"/>
      <c r="I231" s="152"/>
      <c r="J231" s="152"/>
      <c r="K231" s="152"/>
      <c r="L231" s="153"/>
    </row>
    <row r="232" spans="1:12" ht="17.25" customHeight="1">
      <c r="A232" s="20" t="s">
        <v>6</v>
      </c>
      <c r="B232" s="71"/>
      <c r="C232" s="152"/>
      <c r="D232" s="152"/>
      <c r="E232" s="152"/>
      <c r="F232" s="152"/>
      <c r="G232" s="152"/>
      <c r="H232" s="152"/>
      <c r="I232" s="152"/>
      <c r="J232" s="152"/>
      <c r="K232" s="152"/>
      <c r="L232" s="153"/>
    </row>
    <row r="233" spans="1:12" ht="47.25" customHeight="1">
      <c r="A233" s="5" t="s">
        <v>182</v>
      </c>
      <c r="B233" s="71"/>
      <c r="C233" s="107">
        <f>D233+E233</f>
        <v>2</v>
      </c>
      <c r="D233" s="107">
        <v>2</v>
      </c>
      <c r="E233" s="107">
        <v>0</v>
      </c>
      <c r="F233" s="107">
        <f>G233+H233</f>
        <v>14</v>
      </c>
      <c r="G233" s="107">
        <v>14</v>
      </c>
      <c r="H233" s="107">
        <v>0</v>
      </c>
      <c r="I233" s="107">
        <f>J233+K233</f>
        <v>11</v>
      </c>
      <c r="J233" s="107">
        <v>11</v>
      </c>
      <c r="K233" s="107">
        <v>0</v>
      </c>
      <c r="L233" s="153"/>
    </row>
    <row r="234" spans="1:12" ht="60.75" customHeight="1">
      <c r="A234" s="5" t="s">
        <v>183</v>
      </c>
      <c r="B234" s="71"/>
      <c r="C234" s="107">
        <v>0</v>
      </c>
      <c r="D234" s="107">
        <v>0</v>
      </c>
      <c r="E234" s="107">
        <v>0</v>
      </c>
      <c r="F234" s="107">
        <v>1</v>
      </c>
      <c r="G234" s="107">
        <v>1</v>
      </c>
      <c r="H234" s="107">
        <v>0</v>
      </c>
      <c r="I234" s="107">
        <f>+J234</f>
        <v>1</v>
      </c>
      <c r="J234" s="107">
        <v>1</v>
      </c>
      <c r="K234" s="107">
        <v>0</v>
      </c>
      <c r="L234" s="153"/>
    </row>
    <row r="235" spans="1:12" ht="17.25" customHeight="1">
      <c r="A235" s="5" t="s">
        <v>50</v>
      </c>
      <c r="B235" s="71"/>
      <c r="C235" s="107">
        <f>D235+E235</f>
        <v>44</v>
      </c>
      <c r="D235" s="107">
        <v>44</v>
      </c>
      <c r="E235" s="107">
        <v>0</v>
      </c>
      <c r="F235" s="107">
        <f>G235+H235</f>
        <v>252</v>
      </c>
      <c r="G235" s="107">
        <v>252</v>
      </c>
      <c r="H235" s="107">
        <v>0</v>
      </c>
      <c r="I235" s="107">
        <f>J235+K235</f>
        <v>252</v>
      </c>
      <c r="J235" s="107">
        <v>252</v>
      </c>
      <c r="K235" s="107">
        <v>0</v>
      </c>
      <c r="L235" s="153"/>
    </row>
    <row r="236" spans="1:12" ht="17.25" customHeight="1">
      <c r="A236" s="20" t="s">
        <v>21</v>
      </c>
      <c r="B236" s="7"/>
      <c r="C236" s="152"/>
      <c r="D236" s="152"/>
      <c r="E236" s="152"/>
      <c r="F236" s="152"/>
      <c r="G236" s="152"/>
      <c r="H236" s="152"/>
      <c r="I236" s="152"/>
      <c r="J236" s="152"/>
      <c r="K236" s="152"/>
      <c r="L236" s="153"/>
    </row>
    <row r="237" spans="1:12" ht="17.25" customHeight="1">
      <c r="A237" s="5" t="s">
        <v>71</v>
      </c>
      <c r="B237" s="7"/>
      <c r="C237" s="91">
        <f>D237+E237</f>
        <v>9</v>
      </c>
      <c r="D237" s="91">
        <v>9</v>
      </c>
      <c r="E237" s="91">
        <v>0</v>
      </c>
      <c r="F237" s="91">
        <f>G237+H237</f>
        <v>10.2</v>
      </c>
      <c r="G237" s="91">
        <v>10.2</v>
      </c>
      <c r="H237" s="91">
        <v>0</v>
      </c>
      <c r="I237" s="91">
        <f>J237+K237</f>
        <v>13.200066137566138</v>
      </c>
      <c r="J237" s="91">
        <f>+J230/12/J235</f>
        <v>13.200066137566138</v>
      </c>
      <c r="K237" s="91">
        <v>0</v>
      </c>
      <c r="L237" s="153"/>
    </row>
    <row r="238" spans="1:12" ht="17.25" customHeight="1">
      <c r="A238" s="6" t="s">
        <v>20</v>
      </c>
      <c r="B238" s="7"/>
      <c r="C238" s="152"/>
      <c r="D238" s="152"/>
      <c r="E238" s="152"/>
      <c r="F238" s="152"/>
      <c r="G238" s="152"/>
      <c r="H238" s="154"/>
      <c r="I238" s="154"/>
      <c r="J238" s="154"/>
      <c r="K238" s="154"/>
      <c r="L238" s="153"/>
    </row>
    <row r="239" spans="1:12" ht="17.25" customHeight="1">
      <c r="A239" s="5" t="s">
        <v>75</v>
      </c>
      <c r="B239" s="7"/>
      <c r="C239" s="152">
        <f>D239+E239</f>
        <v>0</v>
      </c>
      <c r="D239" s="152">
        <v>0</v>
      </c>
      <c r="E239" s="152">
        <v>0</v>
      </c>
      <c r="F239" s="91">
        <f>G239+H239</f>
        <v>4868.181818181818</v>
      </c>
      <c r="G239" s="91">
        <f>+G230/D230*100</f>
        <v>4868.181818181818</v>
      </c>
      <c r="H239" s="152">
        <v>0</v>
      </c>
      <c r="I239" s="152">
        <f>J239+K239</f>
        <v>103.52993049071479</v>
      </c>
      <c r="J239" s="152">
        <f>J230/G230*100</f>
        <v>103.52993049071479</v>
      </c>
      <c r="K239" s="152">
        <v>0</v>
      </c>
      <c r="L239" s="153"/>
    </row>
    <row r="240" spans="1:12" ht="32.25" customHeight="1">
      <c r="A240" s="41" t="s">
        <v>215</v>
      </c>
      <c r="B240" s="71"/>
      <c r="C240" s="59">
        <f>D240+E240</f>
        <v>26280</v>
      </c>
      <c r="D240" s="59">
        <v>26280</v>
      </c>
      <c r="E240" s="59">
        <v>0</v>
      </c>
      <c r="F240" s="59">
        <f>G240+H240</f>
        <v>4410</v>
      </c>
      <c r="G240" s="59">
        <f>6370-1960</f>
        <v>4410</v>
      </c>
      <c r="H240" s="59">
        <v>0</v>
      </c>
      <c r="I240" s="59">
        <f>J240+K240</f>
        <v>1400</v>
      </c>
      <c r="J240" s="59">
        <v>1400</v>
      </c>
      <c r="K240" s="59">
        <v>0</v>
      </c>
      <c r="L240" s="153"/>
    </row>
    <row r="241" spans="1:12" ht="17.25" customHeight="1">
      <c r="A241" s="5" t="s">
        <v>5</v>
      </c>
      <c r="B241" s="71"/>
      <c r="C241" s="152"/>
      <c r="D241" s="152"/>
      <c r="E241" s="152"/>
      <c r="F241" s="154"/>
      <c r="G241" s="154"/>
      <c r="H241" s="154"/>
      <c r="I241" s="154"/>
      <c r="J241" s="154"/>
      <c r="K241" s="154"/>
      <c r="L241" s="153"/>
    </row>
    <row r="242" spans="1:12" ht="17.25" customHeight="1">
      <c r="A242" s="20" t="s">
        <v>6</v>
      </c>
      <c r="B242" s="71"/>
      <c r="C242" s="152"/>
      <c r="D242" s="152"/>
      <c r="E242" s="152"/>
      <c r="F242" s="154"/>
      <c r="G242" s="154"/>
      <c r="H242" s="154"/>
      <c r="I242" s="154"/>
      <c r="J242" s="154"/>
      <c r="K242" s="154"/>
      <c r="L242" s="153"/>
    </row>
    <row r="243" spans="1:12" ht="69" customHeight="1">
      <c r="A243" s="42" t="s">
        <v>184</v>
      </c>
      <c r="B243" s="71"/>
      <c r="C243" s="107">
        <f>D243+E243</f>
        <v>418</v>
      </c>
      <c r="D243" s="107">
        <v>418</v>
      </c>
      <c r="E243" s="107">
        <v>0</v>
      </c>
      <c r="F243" s="107">
        <f>G243+H243</f>
        <v>0</v>
      </c>
      <c r="G243" s="107">
        <v>0</v>
      </c>
      <c r="H243" s="107">
        <v>0</v>
      </c>
      <c r="I243" s="107">
        <f>J243+K243</f>
        <v>0</v>
      </c>
      <c r="J243" s="107">
        <v>0</v>
      </c>
      <c r="K243" s="107">
        <v>0</v>
      </c>
      <c r="L243" s="153"/>
    </row>
    <row r="244" spans="1:12" ht="32.25" customHeight="1">
      <c r="A244" s="35" t="s">
        <v>185</v>
      </c>
      <c r="B244" s="71"/>
      <c r="C244" s="107">
        <v>20</v>
      </c>
      <c r="D244" s="107">
        <v>20</v>
      </c>
      <c r="E244" s="107">
        <v>0</v>
      </c>
      <c r="F244" s="107">
        <f>+G244</f>
        <v>18</v>
      </c>
      <c r="G244" s="107">
        <v>18</v>
      </c>
      <c r="H244" s="107">
        <v>0</v>
      </c>
      <c r="I244" s="107">
        <f>+J244</f>
        <v>18</v>
      </c>
      <c r="J244" s="107">
        <v>18</v>
      </c>
      <c r="K244" s="107">
        <v>0</v>
      </c>
      <c r="L244" s="153"/>
    </row>
    <row r="245" spans="1:12" ht="45" customHeight="1">
      <c r="A245" s="35" t="s">
        <v>186</v>
      </c>
      <c r="B245" s="71"/>
      <c r="C245" s="107">
        <v>0</v>
      </c>
      <c r="D245" s="107">
        <v>0</v>
      </c>
      <c r="E245" s="107">
        <v>0</v>
      </c>
      <c r="F245" s="107">
        <f>+G245</f>
        <v>2</v>
      </c>
      <c r="G245" s="107">
        <v>2</v>
      </c>
      <c r="H245" s="107">
        <v>0</v>
      </c>
      <c r="I245" s="107">
        <f>+J245</f>
        <v>2</v>
      </c>
      <c r="J245" s="107">
        <v>2</v>
      </c>
      <c r="K245" s="107">
        <v>0</v>
      </c>
      <c r="L245" s="153"/>
    </row>
    <row r="246" spans="1:12" ht="28.5" customHeight="1">
      <c r="A246" s="35" t="s">
        <v>187</v>
      </c>
      <c r="B246" s="71"/>
      <c r="C246" s="107">
        <v>0</v>
      </c>
      <c r="D246" s="107">
        <v>0</v>
      </c>
      <c r="E246" s="107">
        <v>0</v>
      </c>
      <c r="F246" s="107">
        <f>+G246</f>
        <v>43</v>
      </c>
      <c r="G246" s="107">
        <f>71-28</f>
        <v>43</v>
      </c>
      <c r="H246" s="107">
        <v>0</v>
      </c>
      <c r="I246" s="107">
        <v>0</v>
      </c>
      <c r="J246" s="107">
        <v>0</v>
      </c>
      <c r="K246" s="107">
        <v>0</v>
      </c>
      <c r="L246" s="153"/>
    </row>
    <row r="247" spans="1:12" ht="17.25" customHeight="1">
      <c r="A247" s="20" t="s">
        <v>21</v>
      </c>
      <c r="B247" s="71"/>
      <c r="C247" s="152"/>
      <c r="D247" s="152"/>
      <c r="E247" s="152"/>
      <c r="F247" s="154"/>
      <c r="G247" s="154"/>
      <c r="H247" s="154"/>
      <c r="I247" s="154"/>
      <c r="J247" s="154"/>
      <c r="K247" s="154"/>
      <c r="L247" s="153"/>
    </row>
    <row r="248" spans="1:12" ht="17.25" customHeight="1">
      <c r="A248" s="5" t="s">
        <v>134</v>
      </c>
      <c r="B248" s="71"/>
      <c r="C248" s="152">
        <f>D248+E248</f>
        <v>60</v>
      </c>
      <c r="D248" s="152">
        <v>60</v>
      </c>
      <c r="E248" s="152">
        <v>0</v>
      </c>
      <c r="F248" s="152">
        <f>G248+H248</f>
        <v>70</v>
      </c>
      <c r="G248" s="152">
        <f>+G240/(G244+G245+G246)</f>
        <v>70</v>
      </c>
      <c r="H248" s="152">
        <v>0</v>
      </c>
      <c r="I248" s="152">
        <f>J248+K248</f>
        <v>70</v>
      </c>
      <c r="J248" s="152">
        <f>+J240/20</f>
        <v>70</v>
      </c>
      <c r="K248" s="152">
        <v>0</v>
      </c>
      <c r="L248" s="153"/>
    </row>
    <row r="249" spans="1:12" ht="17.25" customHeight="1">
      <c r="A249" s="6" t="s">
        <v>20</v>
      </c>
      <c r="B249" s="71"/>
      <c r="C249" s="152"/>
      <c r="D249" s="152"/>
      <c r="E249" s="152"/>
      <c r="F249" s="152"/>
      <c r="G249" s="152"/>
      <c r="H249" s="152"/>
      <c r="I249" s="152"/>
      <c r="J249" s="152"/>
      <c r="K249" s="152"/>
      <c r="L249" s="153"/>
    </row>
    <row r="250" spans="1:12" ht="21" customHeight="1">
      <c r="A250" s="5" t="s">
        <v>75</v>
      </c>
      <c r="B250" s="71"/>
      <c r="C250" s="152">
        <v>0</v>
      </c>
      <c r="D250" s="152">
        <v>0</v>
      </c>
      <c r="E250" s="152">
        <v>0</v>
      </c>
      <c r="F250" s="152">
        <f>+G250</f>
        <v>16.78082191780822</v>
      </c>
      <c r="G250" s="152">
        <f>+G240/D240*100</f>
        <v>16.78082191780822</v>
      </c>
      <c r="H250" s="152">
        <v>0</v>
      </c>
      <c r="I250" s="152">
        <f>+J250</f>
        <v>31.746031746031743</v>
      </c>
      <c r="J250" s="152">
        <f>+J240/G240*100</f>
        <v>31.746031746031743</v>
      </c>
      <c r="K250" s="152">
        <v>0</v>
      </c>
      <c r="L250" s="153"/>
    </row>
    <row r="251" spans="1:14" s="4" customFormat="1" ht="30.75" customHeight="1">
      <c r="A251" s="6" t="s">
        <v>51</v>
      </c>
      <c r="B251" s="75"/>
      <c r="C251" s="76"/>
      <c r="D251" s="76"/>
      <c r="E251" s="76"/>
      <c r="F251" s="76"/>
      <c r="G251" s="76"/>
      <c r="H251" s="76"/>
      <c r="I251" s="76"/>
      <c r="J251" s="76"/>
      <c r="K251" s="76"/>
      <c r="L251" s="155"/>
      <c r="N251" s="67"/>
    </row>
    <row r="252" spans="1:12" ht="19.5" customHeight="1">
      <c r="A252" s="21"/>
      <c r="B252" s="97"/>
      <c r="C252" s="98"/>
      <c r="D252" s="98"/>
      <c r="E252" s="98"/>
      <c r="F252" s="92"/>
      <c r="G252" s="92"/>
      <c r="H252" s="92"/>
      <c r="I252" s="92"/>
      <c r="J252" s="92"/>
      <c r="K252" s="92"/>
      <c r="L252" s="92"/>
    </row>
    <row r="253" spans="1:14" s="4" customFormat="1" ht="26.25" customHeight="1">
      <c r="A253" s="11"/>
      <c r="B253" s="10"/>
      <c r="C253" s="99"/>
      <c r="D253" s="99"/>
      <c r="E253" s="99"/>
      <c r="F253" s="99"/>
      <c r="G253" s="99"/>
      <c r="H253" s="99"/>
      <c r="I253" s="201" t="s">
        <v>218</v>
      </c>
      <c r="J253" s="201"/>
      <c r="K253" s="201"/>
      <c r="L253" s="99"/>
      <c r="N253" s="67"/>
    </row>
    <row r="254" spans="1:14" s="4" customFormat="1" ht="14.25">
      <c r="A254" s="13">
        <v>1</v>
      </c>
      <c r="B254" s="70">
        <v>2</v>
      </c>
      <c r="C254" s="68">
        <v>3</v>
      </c>
      <c r="D254" s="68">
        <v>4</v>
      </c>
      <c r="E254" s="68">
        <v>5</v>
      </c>
      <c r="F254" s="68">
        <v>6</v>
      </c>
      <c r="G254" s="68">
        <v>7</v>
      </c>
      <c r="H254" s="68">
        <v>8</v>
      </c>
      <c r="I254" s="68">
        <v>9</v>
      </c>
      <c r="J254" s="68">
        <v>10</v>
      </c>
      <c r="K254" s="68">
        <v>11</v>
      </c>
      <c r="L254" s="69"/>
      <c r="N254" s="67"/>
    </row>
    <row r="255" spans="1:12" ht="30" customHeight="1">
      <c r="A255" s="212" t="s">
        <v>188</v>
      </c>
      <c r="B255" s="212"/>
      <c r="C255" s="212"/>
      <c r="D255" s="212"/>
      <c r="E255" s="212"/>
      <c r="F255" s="212"/>
      <c r="G255" s="212"/>
      <c r="H255" s="212"/>
      <c r="I255" s="212"/>
      <c r="J255" s="212"/>
      <c r="K255" s="212"/>
      <c r="L255" s="156"/>
    </row>
    <row r="256" spans="1:12" ht="24.75" customHeight="1">
      <c r="A256" s="211" t="s">
        <v>189</v>
      </c>
      <c r="B256" s="211"/>
      <c r="C256" s="211"/>
      <c r="D256" s="211"/>
      <c r="E256" s="211"/>
      <c r="F256" s="211"/>
      <c r="G256" s="211"/>
      <c r="H256" s="211"/>
      <c r="I256" s="211"/>
      <c r="J256" s="211"/>
      <c r="K256" s="211"/>
      <c r="L256" s="157"/>
    </row>
    <row r="257" spans="1:12" ht="18.75" customHeight="1">
      <c r="A257" s="38" t="s">
        <v>7</v>
      </c>
      <c r="B257" s="158"/>
      <c r="C257" s="72">
        <f>D257+E257</f>
        <v>963540</v>
      </c>
      <c r="D257" s="72">
        <f>D259+D268+D278+D293+D304</f>
        <v>963540</v>
      </c>
      <c r="E257" s="72">
        <f>E259+E295</f>
        <v>0</v>
      </c>
      <c r="F257" s="72">
        <f>G257+H257</f>
        <v>152110</v>
      </c>
      <c r="G257" s="72">
        <f>G259+G268+G293+G278+G304</f>
        <v>152110</v>
      </c>
      <c r="H257" s="72">
        <v>0</v>
      </c>
      <c r="I257" s="72">
        <f>J257+K257</f>
        <v>163670</v>
      </c>
      <c r="J257" s="72">
        <f>J259+J268+J278+J293+J304</f>
        <v>163670</v>
      </c>
      <c r="K257" s="72">
        <v>0</v>
      </c>
      <c r="L257" s="144"/>
    </row>
    <row r="258" spans="1:12" ht="18.75" customHeight="1">
      <c r="A258" s="37" t="s">
        <v>190</v>
      </c>
      <c r="B258" s="139" t="s">
        <v>191</v>
      </c>
      <c r="C258" s="158"/>
      <c r="D258" s="158"/>
      <c r="E258" s="158"/>
      <c r="F258" s="143"/>
      <c r="G258" s="143"/>
      <c r="H258" s="143"/>
      <c r="I258" s="143"/>
      <c r="J258" s="143"/>
      <c r="K258" s="143"/>
      <c r="L258" s="144"/>
    </row>
    <row r="259" spans="1:14" s="4" customFormat="1" ht="72" customHeight="1">
      <c r="A259" s="6" t="s">
        <v>133</v>
      </c>
      <c r="B259" s="75"/>
      <c r="C259" s="59">
        <f>D259+E259</f>
        <v>808500</v>
      </c>
      <c r="D259" s="59">
        <v>808500</v>
      </c>
      <c r="E259" s="59">
        <v>0</v>
      </c>
      <c r="F259" s="59">
        <f>G259</f>
        <v>0</v>
      </c>
      <c r="G259" s="59">
        <v>0</v>
      </c>
      <c r="H259" s="59">
        <f>E259*1.05</f>
        <v>0</v>
      </c>
      <c r="I259" s="59">
        <f>J259+K259</f>
        <v>0</v>
      </c>
      <c r="J259" s="59">
        <v>0</v>
      </c>
      <c r="K259" s="59">
        <f>H259*1.043</f>
        <v>0</v>
      </c>
      <c r="L259" s="146"/>
      <c r="N259" s="67"/>
    </row>
    <row r="260" spans="1:14" s="4" customFormat="1" ht="15">
      <c r="A260" s="7" t="s">
        <v>5</v>
      </c>
      <c r="B260" s="7"/>
      <c r="C260" s="147"/>
      <c r="D260" s="147"/>
      <c r="E260" s="147"/>
      <c r="F260" s="147"/>
      <c r="G260" s="147"/>
      <c r="H260" s="147"/>
      <c r="I260" s="147"/>
      <c r="J260" s="147"/>
      <c r="K260" s="147"/>
      <c r="L260" s="148"/>
      <c r="N260" s="67"/>
    </row>
    <row r="261" spans="1:14" s="4" customFormat="1" ht="15">
      <c r="A261" s="8" t="s">
        <v>6</v>
      </c>
      <c r="B261" s="7"/>
      <c r="C261" s="147"/>
      <c r="D261" s="147"/>
      <c r="E261" s="147"/>
      <c r="F261" s="147"/>
      <c r="G261" s="147"/>
      <c r="H261" s="147"/>
      <c r="I261" s="147"/>
      <c r="J261" s="147"/>
      <c r="K261" s="147"/>
      <c r="L261" s="148"/>
      <c r="N261" s="67"/>
    </row>
    <row r="262" spans="1:14" s="4" customFormat="1" ht="60">
      <c r="A262" s="24" t="s">
        <v>73</v>
      </c>
      <c r="B262" s="7"/>
      <c r="C262" s="149">
        <f>D262+E262</f>
        <v>700</v>
      </c>
      <c r="D262" s="149">
        <f>300+400</f>
        <v>700</v>
      </c>
      <c r="E262" s="149">
        <v>0</v>
      </c>
      <c r="F262" s="149">
        <f>G262</f>
        <v>0</v>
      </c>
      <c r="G262" s="149">
        <v>0</v>
      </c>
      <c r="H262" s="149">
        <v>0</v>
      </c>
      <c r="I262" s="149">
        <f>J262+K262</f>
        <v>0</v>
      </c>
      <c r="J262" s="149">
        <v>0</v>
      </c>
      <c r="K262" s="149">
        <v>0</v>
      </c>
      <c r="L262" s="148"/>
      <c r="N262" s="67"/>
    </row>
    <row r="263" spans="1:14" s="4" customFormat="1" ht="33" customHeight="1">
      <c r="A263" s="26" t="s">
        <v>52</v>
      </c>
      <c r="B263" s="7"/>
      <c r="C263" s="149">
        <f>D263+E263</f>
        <v>165</v>
      </c>
      <c r="D263" s="149">
        <v>165</v>
      </c>
      <c r="E263" s="149">
        <v>0</v>
      </c>
      <c r="F263" s="149">
        <f>G263</f>
        <v>0</v>
      </c>
      <c r="G263" s="149">
        <v>0</v>
      </c>
      <c r="H263" s="149">
        <v>0</v>
      </c>
      <c r="I263" s="149">
        <f>J263+K263</f>
        <v>0</v>
      </c>
      <c r="J263" s="149">
        <v>0</v>
      </c>
      <c r="K263" s="149">
        <v>0</v>
      </c>
      <c r="L263" s="148"/>
      <c r="N263" s="67"/>
    </row>
    <row r="264" spans="1:14" s="4" customFormat="1" ht="15" customHeight="1">
      <c r="A264" s="39" t="s">
        <v>21</v>
      </c>
      <c r="B264" s="7"/>
      <c r="C264" s="149"/>
      <c r="D264" s="149"/>
      <c r="E264" s="149"/>
      <c r="F264" s="149"/>
      <c r="G264" s="149"/>
      <c r="H264" s="149"/>
      <c r="I264" s="149"/>
      <c r="J264" s="149"/>
      <c r="K264" s="149"/>
      <c r="L264" s="148"/>
      <c r="N264" s="67"/>
    </row>
    <row r="265" spans="1:14" s="4" customFormat="1" ht="16.5" customHeight="1">
      <c r="A265" s="40" t="s">
        <v>74</v>
      </c>
      <c r="B265" s="7"/>
      <c r="C265" s="91">
        <f>D265+E265</f>
        <v>7</v>
      </c>
      <c r="D265" s="91">
        <v>7</v>
      </c>
      <c r="E265" s="91">
        <v>0</v>
      </c>
      <c r="F265" s="91">
        <f>G265</f>
        <v>0</v>
      </c>
      <c r="G265" s="91">
        <v>0</v>
      </c>
      <c r="H265" s="91">
        <v>0</v>
      </c>
      <c r="I265" s="91">
        <f>J265+K265</f>
        <v>0</v>
      </c>
      <c r="J265" s="91">
        <v>0</v>
      </c>
      <c r="K265" s="91">
        <v>0</v>
      </c>
      <c r="L265" s="106"/>
      <c r="N265" s="67"/>
    </row>
    <row r="266" spans="1:14" s="4" customFormat="1" ht="16.5" customHeight="1">
      <c r="A266" s="16" t="s">
        <v>20</v>
      </c>
      <c r="B266" s="7"/>
      <c r="C266" s="91"/>
      <c r="D266" s="91"/>
      <c r="E266" s="91"/>
      <c r="F266" s="91"/>
      <c r="G266" s="91"/>
      <c r="H266" s="91"/>
      <c r="I266" s="91"/>
      <c r="J266" s="91"/>
      <c r="K266" s="91"/>
      <c r="L266" s="106"/>
      <c r="N266" s="67"/>
    </row>
    <row r="267" spans="1:14" s="4" customFormat="1" ht="16.5" customHeight="1">
      <c r="A267" s="5" t="s">
        <v>75</v>
      </c>
      <c r="B267" s="7"/>
      <c r="C267" s="94">
        <f>D267+E267</f>
        <v>281.9529206625981</v>
      </c>
      <c r="D267" s="94">
        <f>D259/286750*100</f>
        <v>281.9529206625981</v>
      </c>
      <c r="E267" s="94">
        <v>0</v>
      </c>
      <c r="F267" s="94">
        <f>G267+H267</f>
        <v>0</v>
      </c>
      <c r="G267" s="94">
        <f>G259/D259*100</f>
        <v>0</v>
      </c>
      <c r="H267" s="94">
        <v>0</v>
      </c>
      <c r="I267" s="94">
        <f>J267+K267</f>
        <v>0</v>
      </c>
      <c r="J267" s="94">
        <v>0</v>
      </c>
      <c r="K267" s="94">
        <v>0</v>
      </c>
      <c r="L267" s="106"/>
      <c r="N267" s="67"/>
    </row>
    <row r="268" spans="1:12" ht="30" customHeight="1">
      <c r="A268" s="6" t="s">
        <v>159</v>
      </c>
      <c r="B268" s="71"/>
      <c r="C268" s="59">
        <f>D268+E268</f>
        <v>5320</v>
      </c>
      <c r="D268" s="59">
        <v>5320</v>
      </c>
      <c r="E268" s="59">
        <v>0</v>
      </c>
      <c r="F268" s="59">
        <f>G268+H268</f>
        <v>61250</v>
      </c>
      <c r="G268" s="59">
        <v>61250</v>
      </c>
      <c r="H268" s="59">
        <v>0</v>
      </c>
      <c r="I268" s="59">
        <f>J268+K268</f>
        <v>73500</v>
      </c>
      <c r="J268" s="59">
        <v>73500</v>
      </c>
      <c r="K268" s="59">
        <v>0</v>
      </c>
      <c r="L268" s="85"/>
    </row>
    <row r="269" spans="1:12" ht="16.5" customHeight="1">
      <c r="A269" s="7" t="s">
        <v>5</v>
      </c>
      <c r="B269" s="71"/>
      <c r="C269" s="94"/>
      <c r="D269" s="94"/>
      <c r="E269" s="94"/>
      <c r="F269" s="159"/>
      <c r="G269" s="159"/>
      <c r="H269" s="159"/>
      <c r="I269" s="159"/>
      <c r="J269" s="159"/>
      <c r="K269" s="159"/>
      <c r="L269" s="85"/>
    </row>
    <row r="270" spans="1:12" ht="16.5" customHeight="1">
      <c r="A270" s="8" t="s">
        <v>6</v>
      </c>
      <c r="B270" s="71"/>
      <c r="C270" s="94"/>
      <c r="D270" s="94"/>
      <c r="E270" s="94"/>
      <c r="F270" s="159"/>
      <c r="G270" s="159"/>
      <c r="H270" s="159"/>
      <c r="I270" s="159"/>
      <c r="J270" s="159"/>
      <c r="K270" s="159"/>
      <c r="L270" s="85"/>
    </row>
    <row r="271" spans="1:12" ht="29.25" customHeight="1">
      <c r="A271" s="5" t="s">
        <v>192</v>
      </c>
      <c r="B271" s="71"/>
      <c r="C271" s="160">
        <f>D271+E271</f>
        <v>20</v>
      </c>
      <c r="D271" s="160">
        <v>20</v>
      </c>
      <c r="E271" s="160">
        <v>0</v>
      </c>
      <c r="F271" s="160">
        <f>G271+H271</f>
        <v>49</v>
      </c>
      <c r="G271" s="160">
        <v>49</v>
      </c>
      <c r="H271" s="160">
        <v>0</v>
      </c>
      <c r="I271" s="160">
        <f>J271+K271</f>
        <v>29</v>
      </c>
      <c r="J271" s="160">
        <v>29</v>
      </c>
      <c r="K271" s="160">
        <v>0</v>
      </c>
      <c r="L271" s="85"/>
    </row>
    <row r="272" spans="1:12" ht="48.75" customHeight="1">
      <c r="A272" s="5" t="s">
        <v>216</v>
      </c>
      <c r="B272" s="71"/>
      <c r="C272" s="160">
        <v>0</v>
      </c>
      <c r="D272" s="160">
        <v>0</v>
      </c>
      <c r="E272" s="160">
        <v>0</v>
      </c>
      <c r="F272" s="160">
        <f>+G272</f>
        <v>1</v>
      </c>
      <c r="G272" s="160">
        <v>1</v>
      </c>
      <c r="H272" s="160">
        <v>0</v>
      </c>
      <c r="I272" s="160">
        <f>+J272</f>
        <v>1</v>
      </c>
      <c r="J272" s="160">
        <v>1</v>
      </c>
      <c r="K272" s="160">
        <v>0</v>
      </c>
      <c r="L272" s="85"/>
    </row>
    <row r="273" spans="1:12" ht="29.25" customHeight="1">
      <c r="A273" s="26" t="s">
        <v>52</v>
      </c>
      <c r="B273" s="71"/>
      <c r="C273" s="107">
        <f>D273+E273</f>
        <v>38</v>
      </c>
      <c r="D273" s="107">
        <v>38</v>
      </c>
      <c r="E273" s="107">
        <v>0</v>
      </c>
      <c r="F273" s="107">
        <f>G273+H273</f>
        <v>175</v>
      </c>
      <c r="G273" s="107">
        <v>175</v>
      </c>
      <c r="H273" s="107">
        <v>0</v>
      </c>
      <c r="I273" s="107">
        <f>J273+K273</f>
        <v>175</v>
      </c>
      <c r="J273" s="107">
        <v>175</v>
      </c>
      <c r="K273" s="107">
        <v>0</v>
      </c>
      <c r="L273" s="85"/>
    </row>
    <row r="274" spans="1:12" ht="16.5" customHeight="1">
      <c r="A274" s="39" t="s">
        <v>21</v>
      </c>
      <c r="B274" s="7"/>
      <c r="C274" s="94"/>
      <c r="D274" s="94"/>
      <c r="E274" s="94"/>
      <c r="F274" s="94"/>
      <c r="G274" s="94"/>
      <c r="H274" s="159"/>
      <c r="I274" s="159"/>
      <c r="J274" s="159"/>
      <c r="K274" s="159"/>
      <c r="L274" s="85"/>
    </row>
    <row r="275" spans="1:12" ht="16.5" customHeight="1">
      <c r="A275" s="40" t="s">
        <v>74</v>
      </c>
      <c r="B275" s="7"/>
      <c r="C275" s="91">
        <f>D275+E275</f>
        <v>7</v>
      </c>
      <c r="D275" s="91">
        <v>7</v>
      </c>
      <c r="E275" s="91">
        <v>0</v>
      </c>
      <c r="F275" s="91">
        <f>G275+H275</f>
        <v>7</v>
      </c>
      <c r="G275" s="91">
        <v>7</v>
      </c>
      <c r="H275" s="91">
        <v>0</v>
      </c>
      <c r="I275" s="91">
        <f>J275+K275</f>
        <v>14</v>
      </c>
      <c r="J275" s="91">
        <f>+J268/30/J273</f>
        <v>14</v>
      </c>
      <c r="K275" s="91">
        <v>0</v>
      </c>
      <c r="L275" s="85"/>
    </row>
    <row r="276" spans="1:12" ht="16.5" customHeight="1">
      <c r="A276" s="16" t="s">
        <v>20</v>
      </c>
      <c r="B276" s="7"/>
      <c r="C276" s="94"/>
      <c r="D276" s="94"/>
      <c r="E276" s="94"/>
      <c r="F276" s="94"/>
      <c r="G276" s="94"/>
      <c r="H276" s="94"/>
      <c r="I276" s="94"/>
      <c r="J276" s="94"/>
      <c r="K276" s="94"/>
      <c r="L276" s="85"/>
    </row>
    <row r="277" spans="1:12" ht="16.5" customHeight="1">
      <c r="A277" s="5" t="s">
        <v>75</v>
      </c>
      <c r="B277" s="7"/>
      <c r="C277" s="94">
        <f>D277+E277</f>
        <v>0</v>
      </c>
      <c r="D277" s="94">
        <v>0</v>
      </c>
      <c r="E277" s="94">
        <v>0</v>
      </c>
      <c r="F277" s="94">
        <f>G277+H277</f>
        <v>1151.3157894736842</v>
      </c>
      <c r="G277" s="94">
        <f>G268/D268*100</f>
        <v>1151.3157894736842</v>
      </c>
      <c r="H277" s="94">
        <v>0</v>
      </c>
      <c r="I277" s="94">
        <f>J277+K277</f>
        <v>120</v>
      </c>
      <c r="J277" s="94">
        <f>J268/G268*100</f>
        <v>120</v>
      </c>
      <c r="K277" s="94">
        <v>0</v>
      </c>
      <c r="L277" s="85"/>
    </row>
    <row r="278" spans="1:12" ht="43.5" customHeight="1">
      <c r="A278" s="6" t="s">
        <v>193</v>
      </c>
      <c r="B278" s="71"/>
      <c r="C278" s="59">
        <f>D278+E278</f>
        <v>61740</v>
      </c>
      <c r="D278" s="59">
        <v>61740</v>
      </c>
      <c r="E278" s="59">
        <v>0</v>
      </c>
      <c r="F278" s="59">
        <f>G278+H278</f>
        <v>11270</v>
      </c>
      <c r="G278" s="59">
        <f>9310+1960</f>
        <v>11270</v>
      </c>
      <c r="H278" s="59">
        <v>0</v>
      </c>
      <c r="I278" s="59">
        <f>J278+K278</f>
        <v>2170</v>
      </c>
      <c r="J278" s="59">
        <v>2170</v>
      </c>
      <c r="K278" s="59">
        <v>0</v>
      </c>
      <c r="L278" s="85"/>
    </row>
    <row r="279" spans="1:12" ht="16.5" customHeight="1">
      <c r="A279" s="7" t="s">
        <v>5</v>
      </c>
      <c r="B279" s="71"/>
      <c r="C279" s="94"/>
      <c r="D279" s="94"/>
      <c r="E279" s="94"/>
      <c r="F279" s="94"/>
      <c r="G279" s="94"/>
      <c r="H279" s="94"/>
      <c r="I279" s="94"/>
      <c r="J279" s="94"/>
      <c r="K279" s="94"/>
      <c r="L279" s="85"/>
    </row>
    <row r="280" spans="1:12" ht="16.5" customHeight="1">
      <c r="A280" s="8" t="s">
        <v>6</v>
      </c>
      <c r="B280" s="71"/>
      <c r="C280" s="94"/>
      <c r="D280" s="94"/>
      <c r="E280" s="94"/>
      <c r="F280" s="94"/>
      <c r="G280" s="94"/>
      <c r="H280" s="94"/>
      <c r="I280" s="94"/>
      <c r="J280" s="94"/>
      <c r="K280" s="94"/>
      <c r="L280" s="85"/>
    </row>
    <row r="281" spans="1:12" ht="59.25" customHeight="1">
      <c r="A281" s="9" t="s">
        <v>194</v>
      </c>
      <c r="B281" s="71"/>
      <c r="C281" s="160">
        <f>D281+E281</f>
        <v>999</v>
      </c>
      <c r="D281" s="160">
        <v>999</v>
      </c>
      <c r="E281" s="160">
        <v>0</v>
      </c>
      <c r="F281" s="160">
        <f>G281+H281</f>
        <v>0</v>
      </c>
      <c r="G281" s="160">
        <v>0</v>
      </c>
      <c r="H281" s="160">
        <v>0</v>
      </c>
      <c r="I281" s="160">
        <f>J281+K281</f>
        <v>0</v>
      </c>
      <c r="J281" s="160">
        <v>0</v>
      </c>
      <c r="K281" s="160">
        <v>0</v>
      </c>
      <c r="L281" s="85"/>
    </row>
    <row r="282" spans="1:12" ht="36.75" customHeight="1">
      <c r="A282" s="9" t="s">
        <v>195</v>
      </c>
      <c r="B282" s="71"/>
      <c r="C282" s="160">
        <f>+D282</f>
        <v>30</v>
      </c>
      <c r="D282" s="160">
        <v>30</v>
      </c>
      <c r="E282" s="160">
        <v>0</v>
      </c>
      <c r="F282" s="160">
        <f>G282+H282</f>
        <v>30</v>
      </c>
      <c r="G282" s="160">
        <v>30</v>
      </c>
      <c r="H282" s="160">
        <v>0</v>
      </c>
      <c r="I282" s="160">
        <f>J282+K282</f>
        <v>30</v>
      </c>
      <c r="J282" s="160">
        <v>30</v>
      </c>
      <c r="K282" s="160">
        <v>0</v>
      </c>
      <c r="L282" s="85"/>
    </row>
    <row r="283" spans="1:12" ht="19.5" customHeight="1">
      <c r="A283" s="21"/>
      <c r="B283" s="97"/>
      <c r="C283" s="98"/>
      <c r="D283" s="98"/>
      <c r="E283" s="98"/>
      <c r="F283" s="92"/>
      <c r="G283" s="92"/>
      <c r="H283" s="92"/>
      <c r="I283" s="92"/>
      <c r="J283" s="92"/>
      <c r="K283" s="92"/>
      <c r="L283" s="92"/>
    </row>
    <row r="284" spans="1:14" s="4" customFormat="1" ht="26.25" customHeight="1">
      <c r="A284" s="11"/>
      <c r="B284" s="10"/>
      <c r="C284" s="99"/>
      <c r="D284" s="99"/>
      <c r="E284" s="99"/>
      <c r="F284" s="99"/>
      <c r="G284" s="99"/>
      <c r="H284" s="99"/>
      <c r="I284" s="201" t="s">
        <v>218</v>
      </c>
      <c r="J284" s="201"/>
      <c r="K284" s="201"/>
      <c r="L284" s="99"/>
      <c r="N284" s="67"/>
    </row>
    <row r="285" spans="1:14" s="4" customFormat="1" ht="14.25">
      <c r="A285" s="13">
        <v>1</v>
      </c>
      <c r="B285" s="70">
        <v>2</v>
      </c>
      <c r="C285" s="68">
        <v>3</v>
      </c>
      <c r="D285" s="68">
        <v>4</v>
      </c>
      <c r="E285" s="68">
        <v>5</v>
      </c>
      <c r="F285" s="68">
        <v>6</v>
      </c>
      <c r="G285" s="68">
        <v>7</v>
      </c>
      <c r="H285" s="68">
        <v>8</v>
      </c>
      <c r="I285" s="68">
        <v>9</v>
      </c>
      <c r="J285" s="68">
        <v>10</v>
      </c>
      <c r="K285" s="68">
        <v>11</v>
      </c>
      <c r="L285" s="69"/>
      <c r="N285" s="67"/>
    </row>
    <row r="286" spans="1:12" ht="42.75" customHeight="1">
      <c r="A286" s="9" t="s">
        <v>196</v>
      </c>
      <c r="B286" s="71"/>
      <c r="C286" s="160">
        <v>0</v>
      </c>
      <c r="D286" s="160">
        <v>0</v>
      </c>
      <c r="E286" s="160">
        <v>0</v>
      </c>
      <c r="F286" s="160">
        <f>G286+H286</f>
        <v>1</v>
      </c>
      <c r="G286" s="160">
        <v>1</v>
      </c>
      <c r="H286" s="160">
        <v>0</v>
      </c>
      <c r="I286" s="160">
        <f>J286+K286</f>
        <v>1</v>
      </c>
      <c r="J286" s="160">
        <v>1</v>
      </c>
      <c r="K286" s="160">
        <v>0</v>
      </c>
      <c r="L286" s="85"/>
    </row>
    <row r="287" spans="1:12" ht="53.25" customHeight="1">
      <c r="A287" s="9" t="s">
        <v>197</v>
      </c>
      <c r="B287" s="71"/>
      <c r="C287" s="160">
        <v>0</v>
      </c>
      <c r="D287" s="160">
        <v>0</v>
      </c>
      <c r="E287" s="160">
        <v>0</v>
      </c>
      <c r="F287" s="160">
        <f>+G287</f>
        <v>130</v>
      </c>
      <c r="G287" s="160">
        <f>102+28</f>
        <v>130</v>
      </c>
      <c r="H287" s="160">
        <v>0</v>
      </c>
      <c r="I287" s="160">
        <v>0</v>
      </c>
      <c r="J287" s="160">
        <v>0</v>
      </c>
      <c r="K287" s="160">
        <v>0</v>
      </c>
      <c r="L287" s="85"/>
    </row>
    <row r="288" spans="1:14" s="4" customFormat="1" ht="16.5" customHeight="1">
      <c r="A288" s="20" t="s">
        <v>21</v>
      </c>
      <c r="B288" s="7"/>
      <c r="C288" s="94"/>
      <c r="D288" s="94"/>
      <c r="E288" s="94"/>
      <c r="F288" s="94"/>
      <c r="G288" s="94"/>
      <c r="H288" s="94"/>
      <c r="I288" s="94"/>
      <c r="J288" s="94"/>
      <c r="K288" s="94"/>
      <c r="L288" s="106"/>
      <c r="N288" s="67"/>
    </row>
    <row r="289" spans="1:14" s="4" customFormat="1" ht="16.5" customHeight="1">
      <c r="A289" s="5" t="s">
        <v>134</v>
      </c>
      <c r="B289" s="7"/>
      <c r="C289" s="94">
        <f>D289+E289</f>
        <v>60</v>
      </c>
      <c r="D289" s="94">
        <v>60</v>
      </c>
      <c r="E289" s="94">
        <v>0</v>
      </c>
      <c r="F289" s="91">
        <f>G289+H289</f>
        <v>70</v>
      </c>
      <c r="G289" s="91">
        <f>+G278/161</f>
        <v>70</v>
      </c>
      <c r="H289" s="94">
        <v>0</v>
      </c>
      <c r="I289" s="94">
        <f>J289+K289</f>
        <v>70</v>
      </c>
      <c r="J289" s="94">
        <v>70</v>
      </c>
      <c r="K289" s="94">
        <v>0</v>
      </c>
      <c r="L289" s="106"/>
      <c r="N289" s="67"/>
    </row>
    <row r="290" spans="1:14" s="4" customFormat="1" ht="16.5" customHeight="1">
      <c r="A290" s="6" t="s">
        <v>20</v>
      </c>
      <c r="B290" s="7"/>
      <c r="C290" s="94"/>
      <c r="D290" s="94"/>
      <c r="E290" s="94"/>
      <c r="F290" s="94"/>
      <c r="G290" s="94"/>
      <c r="H290" s="94"/>
      <c r="I290" s="94"/>
      <c r="J290" s="94"/>
      <c r="K290" s="94"/>
      <c r="L290" s="106"/>
      <c r="N290" s="67"/>
    </row>
    <row r="291" spans="1:14" s="4" customFormat="1" ht="18.75" customHeight="1">
      <c r="A291" s="5" t="s">
        <v>75</v>
      </c>
      <c r="B291" s="7"/>
      <c r="C291" s="94">
        <v>0</v>
      </c>
      <c r="D291" s="94">
        <v>0</v>
      </c>
      <c r="E291" s="94">
        <v>0</v>
      </c>
      <c r="F291" s="94">
        <f>+G291</f>
        <v>18.253968253968253</v>
      </c>
      <c r="G291" s="94">
        <f>+G278/D278*100</f>
        <v>18.253968253968253</v>
      </c>
      <c r="H291" s="94">
        <v>0</v>
      </c>
      <c r="I291" s="94">
        <f>+J291</f>
        <v>19.25465838509317</v>
      </c>
      <c r="J291" s="94">
        <f>+J278/G278*100</f>
        <v>19.25465838509317</v>
      </c>
      <c r="K291" s="94">
        <v>0</v>
      </c>
      <c r="L291" s="106"/>
      <c r="N291" s="67"/>
    </row>
    <row r="292" spans="1:12" ht="22.5" customHeight="1">
      <c r="A292" s="15" t="s">
        <v>198</v>
      </c>
      <c r="B292" s="139" t="s">
        <v>199</v>
      </c>
      <c r="C292" s="91"/>
      <c r="D292" s="91"/>
      <c r="E292" s="91"/>
      <c r="F292" s="161"/>
      <c r="G292" s="161"/>
      <c r="H292" s="161"/>
      <c r="I292" s="161"/>
      <c r="J292" s="161"/>
      <c r="K292" s="161"/>
      <c r="L292" s="153"/>
    </row>
    <row r="293" spans="1:11" ht="45.75" customHeight="1">
      <c r="A293" s="6" t="s">
        <v>135</v>
      </c>
      <c r="B293" s="75"/>
      <c r="C293" s="84">
        <f>D293+E293</f>
        <v>87500</v>
      </c>
      <c r="D293" s="84">
        <v>87500</v>
      </c>
      <c r="E293" s="84">
        <v>0</v>
      </c>
      <c r="F293" s="84">
        <f>+G293</f>
        <v>79520</v>
      </c>
      <c r="G293" s="84">
        <v>79520</v>
      </c>
      <c r="H293" s="84">
        <v>0</v>
      </c>
      <c r="I293" s="84">
        <f>J293+K293</f>
        <v>88000</v>
      </c>
      <c r="J293" s="84">
        <v>88000</v>
      </c>
      <c r="K293" s="84">
        <v>0</v>
      </c>
    </row>
    <row r="294" spans="1:11" ht="15">
      <c r="A294" s="5" t="s">
        <v>5</v>
      </c>
      <c r="B294" s="75"/>
      <c r="C294" s="75"/>
      <c r="D294" s="75"/>
      <c r="E294" s="75"/>
      <c r="F294" s="75"/>
      <c r="G294" s="75"/>
      <c r="H294" s="75"/>
      <c r="I294" s="75"/>
      <c r="J294" s="75"/>
      <c r="K294" s="75"/>
    </row>
    <row r="295" spans="1:11" ht="14.25">
      <c r="A295" s="20" t="s">
        <v>6</v>
      </c>
      <c r="B295" s="75"/>
      <c r="C295" s="75"/>
      <c r="D295" s="75"/>
      <c r="E295" s="75"/>
      <c r="F295" s="75"/>
      <c r="G295" s="75"/>
      <c r="H295" s="75"/>
      <c r="I295" s="75"/>
      <c r="J295" s="75"/>
      <c r="K295" s="75"/>
    </row>
    <row r="296" spans="1:11" ht="74.25" customHeight="1">
      <c r="A296" s="5" t="s">
        <v>154</v>
      </c>
      <c r="B296" s="75"/>
      <c r="C296" s="61">
        <f>D296+E296</f>
        <v>25</v>
      </c>
      <c r="D296" s="61">
        <v>25</v>
      </c>
      <c r="E296" s="61">
        <v>0</v>
      </c>
      <c r="F296" s="61">
        <v>0</v>
      </c>
      <c r="G296" s="61">
        <v>0</v>
      </c>
      <c r="H296" s="61">
        <v>0</v>
      </c>
      <c r="I296" s="61">
        <f>J296+K296</f>
        <v>0</v>
      </c>
      <c r="J296" s="61">
        <v>0</v>
      </c>
      <c r="K296" s="61">
        <v>0</v>
      </c>
    </row>
    <row r="297" spans="1:11" ht="45" customHeight="1">
      <c r="A297" s="5" t="s">
        <v>155</v>
      </c>
      <c r="B297" s="75"/>
      <c r="C297" s="61">
        <f>D297+E297</f>
        <v>0</v>
      </c>
      <c r="D297" s="61">
        <v>0</v>
      </c>
      <c r="E297" s="61">
        <v>0</v>
      </c>
      <c r="F297" s="61">
        <f>G297+H297</f>
        <v>15</v>
      </c>
      <c r="G297" s="61">
        <v>15</v>
      </c>
      <c r="H297" s="61">
        <v>0</v>
      </c>
      <c r="I297" s="61">
        <f>J297+K297</f>
        <v>15</v>
      </c>
      <c r="J297" s="61">
        <v>15</v>
      </c>
      <c r="K297" s="61">
        <v>0</v>
      </c>
    </row>
    <row r="298" spans="1:11" ht="46.5" customHeight="1">
      <c r="A298" s="5" t="s">
        <v>160</v>
      </c>
      <c r="B298" s="75"/>
      <c r="C298" s="61">
        <f>D298+E298</f>
        <v>0</v>
      </c>
      <c r="D298" s="61">
        <v>0</v>
      </c>
      <c r="E298" s="61">
        <v>0</v>
      </c>
      <c r="F298" s="61">
        <f>G298+H298</f>
        <v>1</v>
      </c>
      <c r="G298" s="61">
        <v>1</v>
      </c>
      <c r="H298" s="61">
        <v>0</v>
      </c>
      <c r="I298" s="61">
        <f>J298+K298</f>
        <v>1</v>
      </c>
      <c r="J298" s="61">
        <v>1</v>
      </c>
      <c r="K298" s="61">
        <v>0</v>
      </c>
    </row>
    <row r="299" spans="1:11" ht="16.5">
      <c r="A299" s="6" t="s">
        <v>21</v>
      </c>
      <c r="B299" s="75"/>
      <c r="C299" s="162"/>
      <c r="D299" s="162"/>
      <c r="E299" s="162"/>
      <c r="F299" s="162"/>
      <c r="G299" s="162" t="s">
        <v>156</v>
      </c>
      <c r="H299" s="162"/>
      <c r="I299" s="162"/>
      <c r="J299" s="162"/>
      <c r="K299" s="162"/>
    </row>
    <row r="300" spans="1:11" ht="20.25" customHeight="1">
      <c r="A300" s="43" t="s">
        <v>66</v>
      </c>
      <c r="B300" s="75"/>
      <c r="C300" s="90">
        <f>D300+E300</f>
        <v>3500</v>
      </c>
      <c r="D300" s="90">
        <v>3500</v>
      </c>
      <c r="E300" s="90">
        <v>0</v>
      </c>
      <c r="F300" s="90">
        <f>+G300</f>
        <v>4970</v>
      </c>
      <c r="G300" s="90">
        <v>4970</v>
      </c>
      <c r="H300" s="90">
        <v>0</v>
      </c>
      <c r="I300" s="90">
        <f>J300+K300</f>
        <v>5500</v>
      </c>
      <c r="J300" s="90">
        <v>5500</v>
      </c>
      <c r="K300" s="90">
        <v>0</v>
      </c>
    </row>
    <row r="301" spans="1:11" ht="14.25">
      <c r="A301" s="6" t="s">
        <v>20</v>
      </c>
      <c r="B301" s="75"/>
      <c r="C301" s="75"/>
      <c r="D301" s="75"/>
      <c r="E301" s="75"/>
      <c r="F301" s="75"/>
      <c r="G301" s="75"/>
      <c r="H301" s="75"/>
      <c r="I301" s="75"/>
      <c r="J301" s="75"/>
      <c r="K301" s="75"/>
    </row>
    <row r="302" spans="1:11" ht="16.5">
      <c r="A302" s="5" t="s">
        <v>75</v>
      </c>
      <c r="B302" s="75"/>
      <c r="C302" s="163">
        <f>D302+E302</f>
        <v>274.3</v>
      </c>
      <c r="D302" s="163">
        <v>274.3</v>
      </c>
      <c r="E302" s="163">
        <v>0</v>
      </c>
      <c r="F302" s="163">
        <f>G302+H302</f>
        <v>90.88000000000001</v>
      </c>
      <c r="G302" s="163">
        <f>G293/D293*100</f>
        <v>90.88000000000001</v>
      </c>
      <c r="H302" s="163">
        <v>0</v>
      </c>
      <c r="I302" s="163">
        <f>J302+K302</f>
        <v>110.66398390342052</v>
      </c>
      <c r="J302" s="163">
        <f>J293/G293*100</f>
        <v>110.66398390342052</v>
      </c>
      <c r="K302" s="163">
        <v>0</v>
      </c>
    </row>
    <row r="303" spans="1:14" s="4" customFormat="1" ht="16.5" customHeight="1">
      <c r="A303" s="15" t="s">
        <v>140</v>
      </c>
      <c r="B303" s="164">
        <v>1011070</v>
      </c>
      <c r="C303" s="94"/>
      <c r="D303" s="94"/>
      <c r="E303" s="94"/>
      <c r="F303" s="94"/>
      <c r="G303" s="94"/>
      <c r="H303" s="94"/>
      <c r="I303" s="94"/>
      <c r="J303" s="94"/>
      <c r="K303" s="94"/>
      <c r="L303" s="106"/>
      <c r="N303" s="67"/>
    </row>
    <row r="304" spans="1:12" ht="114" customHeight="1">
      <c r="A304" s="30" t="s">
        <v>200</v>
      </c>
      <c r="B304" s="71"/>
      <c r="C304" s="59">
        <f>D304+E304</f>
        <v>480</v>
      </c>
      <c r="D304" s="59">
        <v>480</v>
      </c>
      <c r="E304" s="59">
        <v>0</v>
      </c>
      <c r="F304" s="59">
        <f>G304+H304</f>
        <v>70</v>
      </c>
      <c r="G304" s="59">
        <v>70</v>
      </c>
      <c r="H304" s="59">
        <v>0</v>
      </c>
      <c r="I304" s="59">
        <f>J304++K304</f>
        <v>0</v>
      </c>
      <c r="J304" s="59">
        <v>0</v>
      </c>
      <c r="K304" s="59">
        <v>0</v>
      </c>
      <c r="L304" s="85"/>
    </row>
    <row r="305" spans="1:14" s="4" customFormat="1" ht="16.5" customHeight="1">
      <c r="A305" s="7" t="s">
        <v>5</v>
      </c>
      <c r="B305" s="7"/>
      <c r="C305" s="94"/>
      <c r="D305" s="94"/>
      <c r="E305" s="94"/>
      <c r="F305" s="94"/>
      <c r="G305" s="94"/>
      <c r="H305" s="94"/>
      <c r="I305" s="94"/>
      <c r="J305" s="94"/>
      <c r="K305" s="94"/>
      <c r="L305" s="106"/>
      <c r="N305" s="67"/>
    </row>
    <row r="306" spans="1:14" s="4" customFormat="1" ht="16.5" customHeight="1">
      <c r="A306" s="8" t="s">
        <v>6</v>
      </c>
      <c r="B306" s="7"/>
      <c r="C306" s="94"/>
      <c r="D306" s="94"/>
      <c r="E306" s="94"/>
      <c r="F306" s="94"/>
      <c r="G306" s="94"/>
      <c r="H306" s="94"/>
      <c r="I306" s="94"/>
      <c r="J306" s="94"/>
      <c r="K306" s="94"/>
      <c r="L306" s="106"/>
      <c r="N306" s="67"/>
    </row>
    <row r="307" spans="1:14" s="4" customFormat="1" ht="95.25" customHeight="1">
      <c r="A307" s="44" t="s">
        <v>201</v>
      </c>
      <c r="B307" s="7"/>
      <c r="C307" s="160">
        <f>D307+E307</f>
        <v>8</v>
      </c>
      <c r="D307" s="160">
        <v>8</v>
      </c>
      <c r="E307" s="160">
        <v>0</v>
      </c>
      <c r="F307" s="160">
        <f>G307+H307</f>
        <v>1</v>
      </c>
      <c r="G307" s="160">
        <v>1</v>
      </c>
      <c r="H307" s="160">
        <v>0</v>
      </c>
      <c r="I307" s="160">
        <f>J307+K307</f>
        <v>0</v>
      </c>
      <c r="J307" s="160">
        <v>0</v>
      </c>
      <c r="K307" s="160">
        <v>0</v>
      </c>
      <c r="L307" s="106"/>
      <c r="N307" s="67"/>
    </row>
    <row r="308" spans="1:12" ht="19.5" customHeight="1">
      <c r="A308" s="21"/>
      <c r="B308" s="97"/>
      <c r="C308" s="98"/>
      <c r="D308" s="98"/>
      <c r="E308" s="98"/>
      <c r="F308" s="92"/>
      <c r="G308" s="92"/>
      <c r="H308" s="92"/>
      <c r="I308" s="92"/>
      <c r="J308" s="92"/>
      <c r="K308" s="92"/>
      <c r="L308" s="92"/>
    </row>
    <row r="309" spans="1:14" s="4" customFormat="1" ht="26.25" customHeight="1">
      <c r="A309" s="11"/>
      <c r="B309" s="10"/>
      <c r="C309" s="99"/>
      <c r="D309" s="99"/>
      <c r="E309" s="99"/>
      <c r="F309" s="99"/>
      <c r="G309" s="99"/>
      <c r="H309" s="99"/>
      <c r="I309" s="201" t="s">
        <v>218</v>
      </c>
      <c r="J309" s="201"/>
      <c r="K309" s="201"/>
      <c r="L309" s="99"/>
      <c r="N309" s="67"/>
    </row>
    <row r="310" spans="1:14" s="4" customFormat="1" ht="14.25">
      <c r="A310" s="13">
        <v>1</v>
      </c>
      <c r="B310" s="70">
        <v>2</v>
      </c>
      <c r="C310" s="68">
        <v>3</v>
      </c>
      <c r="D310" s="68">
        <v>4</v>
      </c>
      <c r="E310" s="68">
        <v>5</v>
      </c>
      <c r="F310" s="68">
        <v>6</v>
      </c>
      <c r="G310" s="68">
        <v>7</v>
      </c>
      <c r="H310" s="68">
        <v>8</v>
      </c>
      <c r="I310" s="68">
        <v>9</v>
      </c>
      <c r="J310" s="68">
        <v>10</v>
      </c>
      <c r="K310" s="68">
        <v>11</v>
      </c>
      <c r="L310" s="69"/>
      <c r="N310" s="67"/>
    </row>
    <row r="311" spans="1:14" s="4" customFormat="1" ht="16.5" customHeight="1">
      <c r="A311" s="20" t="s">
        <v>21</v>
      </c>
      <c r="B311" s="7"/>
      <c r="C311" s="94"/>
      <c r="D311" s="94"/>
      <c r="E311" s="94"/>
      <c r="F311" s="94"/>
      <c r="G311" s="94"/>
      <c r="H311" s="94"/>
      <c r="I311" s="94"/>
      <c r="J311" s="94"/>
      <c r="K311" s="94"/>
      <c r="L311" s="106"/>
      <c r="N311" s="67"/>
    </row>
    <row r="312" spans="1:14" s="4" customFormat="1" ht="16.5" customHeight="1">
      <c r="A312" s="5" t="s">
        <v>134</v>
      </c>
      <c r="B312" s="7"/>
      <c r="C312" s="94">
        <f>D312+E312</f>
        <v>60</v>
      </c>
      <c r="D312" s="94">
        <v>60</v>
      </c>
      <c r="E312" s="94">
        <v>0</v>
      </c>
      <c r="F312" s="94">
        <f>G312+H312</f>
        <v>70</v>
      </c>
      <c r="G312" s="94">
        <v>70</v>
      </c>
      <c r="H312" s="94">
        <v>0</v>
      </c>
      <c r="I312" s="94">
        <f>J312+K312</f>
        <v>0</v>
      </c>
      <c r="J312" s="94">
        <v>0</v>
      </c>
      <c r="K312" s="94">
        <v>0</v>
      </c>
      <c r="L312" s="106"/>
      <c r="N312" s="67"/>
    </row>
    <row r="313" spans="1:14" s="4" customFormat="1" ht="16.5" customHeight="1">
      <c r="A313" s="6" t="s">
        <v>20</v>
      </c>
      <c r="B313" s="7"/>
      <c r="C313" s="94"/>
      <c r="D313" s="94"/>
      <c r="E313" s="94"/>
      <c r="F313" s="94"/>
      <c r="G313" s="94"/>
      <c r="H313" s="94"/>
      <c r="I313" s="94"/>
      <c r="J313" s="94"/>
      <c r="K313" s="94"/>
      <c r="L313" s="106"/>
      <c r="N313" s="67"/>
    </row>
    <row r="314" spans="1:14" s="4" customFormat="1" ht="16.5" customHeight="1">
      <c r="A314" s="5" t="s">
        <v>75</v>
      </c>
      <c r="B314" s="7"/>
      <c r="C314" s="94">
        <v>0</v>
      </c>
      <c r="D314" s="94">
        <v>0</v>
      </c>
      <c r="E314" s="94">
        <v>0</v>
      </c>
      <c r="F314" s="94">
        <f>+G314</f>
        <v>14.583333333333334</v>
      </c>
      <c r="G314" s="94">
        <f>+G304/D304*100</f>
        <v>14.583333333333334</v>
      </c>
      <c r="H314" s="94">
        <v>0</v>
      </c>
      <c r="I314" s="94">
        <v>0</v>
      </c>
      <c r="J314" s="94">
        <v>0</v>
      </c>
      <c r="K314" s="94">
        <v>0</v>
      </c>
      <c r="L314" s="106"/>
      <c r="N314" s="67"/>
    </row>
    <row r="315" spans="1:11" ht="20.25" customHeight="1">
      <c r="A315" s="37" t="s">
        <v>202</v>
      </c>
      <c r="B315" s="139" t="s">
        <v>203</v>
      </c>
      <c r="C315" s="75"/>
      <c r="D315" s="75"/>
      <c r="E315" s="75"/>
      <c r="F315" s="86"/>
      <c r="G315" s="86"/>
      <c r="H315" s="86"/>
      <c r="I315" s="86"/>
      <c r="J315" s="86"/>
      <c r="K315" s="86"/>
    </row>
    <row r="316" spans="1:11" ht="14.25">
      <c r="A316" s="36" t="s">
        <v>129</v>
      </c>
      <c r="B316" s="75"/>
      <c r="C316" s="75"/>
      <c r="D316" s="75"/>
      <c r="E316" s="75"/>
      <c r="F316" s="86"/>
      <c r="G316" s="86"/>
      <c r="H316" s="86"/>
      <c r="I316" s="86"/>
      <c r="J316" s="86"/>
      <c r="K316" s="86"/>
    </row>
    <row r="317" spans="1:15" ht="32.25" customHeight="1">
      <c r="A317" s="202" t="s">
        <v>136</v>
      </c>
      <c r="B317" s="202"/>
      <c r="C317" s="202"/>
      <c r="D317" s="202"/>
      <c r="E317" s="202"/>
      <c r="F317" s="202"/>
      <c r="G317" s="202"/>
      <c r="H317" s="202"/>
      <c r="I317" s="202"/>
      <c r="J317" s="202"/>
      <c r="K317" s="202"/>
      <c r="N317" s="55"/>
      <c r="O317" s="165"/>
    </row>
    <row r="318" spans="1:11" ht="31.5" customHeight="1">
      <c r="A318" s="203" t="s">
        <v>137</v>
      </c>
      <c r="B318" s="203"/>
      <c r="C318" s="203"/>
      <c r="D318" s="203"/>
      <c r="E318" s="203"/>
      <c r="F318" s="203"/>
      <c r="G318" s="203"/>
      <c r="H318" s="203"/>
      <c r="I318" s="203"/>
      <c r="J318" s="203"/>
      <c r="K318" s="203"/>
    </row>
    <row r="319" spans="1:11" ht="42.75" customHeight="1">
      <c r="A319" s="45" t="s">
        <v>138</v>
      </c>
      <c r="B319" s="75"/>
      <c r="C319" s="84">
        <f>D319+E319</f>
        <v>1007900</v>
      </c>
      <c r="D319" s="84">
        <v>260900</v>
      </c>
      <c r="E319" s="84">
        <v>747000</v>
      </c>
      <c r="F319" s="84">
        <f>G319+H319</f>
        <v>201300</v>
      </c>
      <c r="G319" s="84">
        <v>201300</v>
      </c>
      <c r="H319" s="84">
        <v>0</v>
      </c>
      <c r="I319" s="84">
        <f>J319+K319</f>
        <v>225100</v>
      </c>
      <c r="J319" s="84">
        <v>225100</v>
      </c>
      <c r="K319" s="84">
        <v>0</v>
      </c>
    </row>
    <row r="320" spans="1:11" ht="15">
      <c r="A320" s="7" t="s">
        <v>5</v>
      </c>
      <c r="B320" s="75"/>
      <c r="C320" s="75"/>
      <c r="D320" s="75"/>
      <c r="E320" s="75"/>
      <c r="F320" s="75"/>
      <c r="G320" s="75"/>
      <c r="H320" s="75"/>
      <c r="I320" s="75"/>
      <c r="J320" s="75"/>
      <c r="K320" s="75"/>
    </row>
    <row r="321" spans="1:11" ht="14.25">
      <c r="A321" s="8" t="s">
        <v>6</v>
      </c>
      <c r="B321" s="75"/>
      <c r="C321" s="75"/>
      <c r="D321" s="75"/>
      <c r="E321" s="75"/>
      <c r="F321" s="75"/>
      <c r="G321" s="75"/>
      <c r="H321" s="75"/>
      <c r="I321" s="75"/>
      <c r="J321" s="75"/>
      <c r="K321" s="75"/>
    </row>
    <row r="322" spans="1:11" ht="43.5" customHeight="1">
      <c r="A322" s="33" t="s">
        <v>80</v>
      </c>
      <c r="B322" s="75"/>
      <c r="C322" s="121">
        <v>1015</v>
      </c>
      <c r="D322" s="121">
        <v>1015</v>
      </c>
      <c r="E322" s="121">
        <v>1015</v>
      </c>
      <c r="F322" s="121">
        <f>G322+H322</f>
        <v>1015</v>
      </c>
      <c r="G322" s="121">
        <v>1015</v>
      </c>
      <c r="H322" s="121">
        <v>0</v>
      </c>
      <c r="I322" s="121">
        <f>J322+K322</f>
        <v>1630</v>
      </c>
      <c r="J322" s="121">
        <v>1630</v>
      </c>
      <c r="K322" s="121">
        <v>0</v>
      </c>
    </row>
    <row r="323" spans="1:11" ht="14.25">
      <c r="A323" s="16" t="s">
        <v>21</v>
      </c>
      <c r="B323" s="75"/>
      <c r="C323" s="75"/>
      <c r="D323" s="75"/>
      <c r="E323" s="75"/>
      <c r="F323" s="75"/>
      <c r="G323" s="75"/>
      <c r="H323" s="75"/>
      <c r="I323" s="75"/>
      <c r="J323" s="75"/>
      <c r="K323" s="75"/>
    </row>
    <row r="324" spans="1:11" ht="30">
      <c r="A324" s="33" t="s">
        <v>81</v>
      </c>
      <c r="B324" s="75"/>
      <c r="C324" s="166">
        <f>D324+E324</f>
        <v>993.0049261083744</v>
      </c>
      <c r="D324" s="166">
        <f>D319/D322</f>
        <v>257.04433497536945</v>
      </c>
      <c r="E324" s="166">
        <f>E319/E322</f>
        <v>735.960591133005</v>
      </c>
      <c r="F324" s="166">
        <f>G324+H324</f>
        <v>198.32512315270935</v>
      </c>
      <c r="G324" s="166">
        <f>+G319/G322</f>
        <v>198.32512315270935</v>
      </c>
      <c r="H324" s="166"/>
      <c r="I324" s="166">
        <f>J324+K324</f>
        <v>138.09815950920245</v>
      </c>
      <c r="J324" s="166">
        <f>+J319/J322</f>
        <v>138.09815950920245</v>
      </c>
      <c r="K324" s="166"/>
    </row>
    <row r="325" spans="1:11" ht="14.25">
      <c r="A325" s="16" t="s">
        <v>20</v>
      </c>
      <c r="B325" s="75"/>
      <c r="C325" s="75"/>
      <c r="D325" s="75"/>
      <c r="E325" s="75"/>
      <c r="F325" s="75"/>
      <c r="G325" s="75"/>
      <c r="H325" s="75"/>
      <c r="I325" s="75"/>
      <c r="J325" s="75"/>
      <c r="K325" s="75"/>
    </row>
    <row r="326" spans="1:11" ht="16.5">
      <c r="A326" s="5" t="s">
        <v>75</v>
      </c>
      <c r="B326" s="75"/>
      <c r="C326" s="121">
        <v>0</v>
      </c>
      <c r="D326" s="121">
        <v>0</v>
      </c>
      <c r="E326" s="121">
        <v>0</v>
      </c>
      <c r="F326" s="124">
        <f>+F319/C319*100</f>
        <v>19.972219466216888</v>
      </c>
      <c r="G326" s="124">
        <f>+G319/D319*100</f>
        <v>77.15599846684553</v>
      </c>
      <c r="H326" s="124">
        <v>0</v>
      </c>
      <c r="I326" s="124">
        <f>J326+K326</f>
        <v>111.82314952806756</v>
      </c>
      <c r="J326" s="124">
        <f>+J319/G319*100</f>
        <v>111.82314952806756</v>
      </c>
      <c r="K326" s="124">
        <v>0</v>
      </c>
    </row>
    <row r="327" spans="1:12" ht="15.75">
      <c r="A327" s="37" t="s">
        <v>228</v>
      </c>
      <c r="B327" s="83" t="s">
        <v>229</v>
      </c>
      <c r="C327" s="75"/>
      <c r="D327" s="75"/>
      <c r="E327" s="75"/>
      <c r="F327" s="75"/>
      <c r="G327" s="75"/>
      <c r="H327" s="75"/>
      <c r="I327" s="75"/>
      <c r="J327" s="75"/>
      <c r="K327" s="75"/>
      <c r="L327" s="4"/>
    </row>
    <row r="328" spans="1:12" ht="14.25">
      <c r="A328" s="36" t="s">
        <v>129</v>
      </c>
      <c r="B328" s="75"/>
      <c r="C328" s="75"/>
      <c r="D328" s="75"/>
      <c r="E328" s="75"/>
      <c r="F328" s="75"/>
      <c r="G328" s="75"/>
      <c r="H328" s="75"/>
      <c r="I328" s="75"/>
      <c r="J328" s="75"/>
      <c r="K328" s="75"/>
      <c r="L328" s="10"/>
    </row>
    <row r="329" spans="1:12" ht="21" customHeight="1">
      <c r="A329" s="209" t="s">
        <v>141</v>
      </c>
      <c r="B329" s="209"/>
      <c r="C329" s="209"/>
      <c r="D329" s="209"/>
      <c r="E329" s="209"/>
      <c r="F329" s="209"/>
      <c r="G329" s="209"/>
      <c r="H329" s="209"/>
      <c r="I329" s="209"/>
      <c r="J329" s="209"/>
      <c r="K329" s="209"/>
      <c r="L329" s="167"/>
    </row>
    <row r="330" spans="1:12" ht="22.5" customHeight="1">
      <c r="A330" s="214" t="s">
        <v>142</v>
      </c>
      <c r="B330" s="214"/>
      <c r="C330" s="214"/>
      <c r="D330" s="214"/>
      <c r="E330" s="214"/>
      <c r="F330" s="214"/>
      <c r="G330" s="214"/>
      <c r="H330" s="214"/>
      <c r="I330" s="214"/>
      <c r="J330" s="214"/>
      <c r="K330" s="214"/>
      <c r="L330" s="168"/>
    </row>
    <row r="331" spans="1:14" s="4" customFormat="1" ht="22.5" customHeight="1">
      <c r="A331" s="58" t="s">
        <v>7</v>
      </c>
      <c r="B331" s="43"/>
      <c r="C331" s="169">
        <f>D331+E331</f>
        <v>57157</v>
      </c>
      <c r="D331" s="169">
        <f>D332+D347</f>
        <v>57157</v>
      </c>
      <c r="E331" s="169">
        <v>0</v>
      </c>
      <c r="F331" s="169">
        <f>G331+H331</f>
        <v>70000</v>
      </c>
      <c r="G331" s="169">
        <f>G332+G347</f>
        <v>70000</v>
      </c>
      <c r="H331" s="169">
        <f>H335+H347</f>
        <v>0</v>
      </c>
      <c r="I331" s="169">
        <f>J331+K331</f>
        <v>75000</v>
      </c>
      <c r="J331" s="169">
        <f>J332+J347</f>
        <v>75000</v>
      </c>
      <c r="K331" s="169">
        <f>K332+K347</f>
        <v>0</v>
      </c>
      <c r="L331" s="170"/>
      <c r="N331" s="67"/>
    </row>
    <row r="332" spans="1:14" s="4" customFormat="1" ht="48" customHeight="1">
      <c r="A332" s="20" t="s">
        <v>143</v>
      </c>
      <c r="B332" s="75"/>
      <c r="C332" s="171">
        <f>D332+E332</f>
        <v>57157</v>
      </c>
      <c r="D332" s="171">
        <v>57157</v>
      </c>
      <c r="E332" s="171">
        <v>0</v>
      </c>
      <c r="F332" s="171">
        <f>G332+H332</f>
        <v>0</v>
      </c>
      <c r="G332" s="171">
        <v>0</v>
      </c>
      <c r="H332" s="171">
        <v>0</v>
      </c>
      <c r="I332" s="171">
        <f>J332+K332</f>
        <v>0</v>
      </c>
      <c r="J332" s="171">
        <v>0</v>
      </c>
      <c r="K332" s="171">
        <v>0</v>
      </c>
      <c r="N332" s="67"/>
    </row>
    <row r="333" spans="1:14" s="4" customFormat="1" ht="16.5" customHeight="1">
      <c r="A333" s="7" t="s">
        <v>5</v>
      </c>
      <c r="B333" s="75"/>
      <c r="C333" s="84"/>
      <c r="D333" s="84"/>
      <c r="E333" s="84"/>
      <c r="F333" s="84"/>
      <c r="G333" s="84"/>
      <c r="H333" s="84"/>
      <c r="I333" s="84"/>
      <c r="J333" s="84"/>
      <c r="K333" s="84"/>
      <c r="N333" s="67"/>
    </row>
    <row r="334" spans="1:14" s="4" customFormat="1" ht="16.5" customHeight="1">
      <c r="A334" s="8" t="s">
        <v>144</v>
      </c>
      <c r="B334" s="75"/>
      <c r="C334" s="84"/>
      <c r="D334" s="84"/>
      <c r="E334" s="84"/>
      <c r="F334" s="84"/>
      <c r="G334" s="84"/>
      <c r="H334" s="84"/>
      <c r="I334" s="84"/>
      <c r="J334" s="84"/>
      <c r="K334" s="84"/>
      <c r="N334" s="67"/>
    </row>
    <row r="335" spans="1:14" s="4" customFormat="1" ht="32.25" customHeight="1">
      <c r="A335" s="7" t="s">
        <v>145</v>
      </c>
      <c r="B335" s="75"/>
      <c r="C335" s="90">
        <f>D335+E335</f>
        <v>57.2</v>
      </c>
      <c r="D335" s="90">
        <v>57.2</v>
      </c>
      <c r="E335" s="90">
        <v>0</v>
      </c>
      <c r="F335" s="90">
        <f>G335+H335</f>
        <v>0</v>
      </c>
      <c r="G335" s="90">
        <v>0</v>
      </c>
      <c r="H335" s="90">
        <v>0</v>
      </c>
      <c r="I335" s="90">
        <f>J335+K335</f>
        <v>0</v>
      </c>
      <c r="J335" s="90">
        <v>0</v>
      </c>
      <c r="K335" s="90">
        <v>0</v>
      </c>
      <c r="N335" s="67"/>
    </row>
    <row r="336" spans="1:14" s="4" customFormat="1" ht="14.25">
      <c r="A336" s="8" t="s">
        <v>6</v>
      </c>
      <c r="B336" s="75"/>
      <c r="C336" s="75"/>
      <c r="D336" s="75"/>
      <c r="E336" s="75"/>
      <c r="F336" s="132"/>
      <c r="G336" s="132"/>
      <c r="H336" s="132"/>
      <c r="I336" s="132"/>
      <c r="J336" s="132"/>
      <c r="K336" s="132"/>
      <c r="N336" s="67"/>
    </row>
    <row r="337" spans="1:14" s="4" customFormat="1" ht="30">
      <c r="A337" s="5" t="s">
        <v>83</v>
      </c>
      <c r="B337" s="75"/>
      <c r="C337" s="61">
        <f>D337+E337</f>
        <v>77903</v>
      </c>
      <c r="D337" s="61">
        <v>77903</v>
      </c>
      <c r="E337" s="61">
        <v>0</v>
      </c>
      <c r="F337" s="61">
        <f>G337+H337</f>
        <v>0</v>
      </c>
      <c r="G337" s="61">
        <v>0</v>
      </c>
      <c r="H337" s="61">
        <v>0</v>
      </c>
      <c r="I337" s="61">
        <f>J337+K337</f>
        <v>0</v>
      </c>
      <c r="J337" s="61">
        <v>0</v>
      </c>
      <c r="K337" s="61">
        <v>0</v>
      </c>
      <c r="N337" s="67"/>
    </row>
    <row r="338" spans="1:14" s="4" customFormat="1" ht="30">
      <c r="A338" s="5" t="s">
        <v>82</v>
      </c>
      <c r="B338" s="75"/>
      <c r="C338" s="61">
        <f>D338+E338</f>
        <v>42550</v>
      </c>
      <c r="D338" s="61">
        <v>42550</v>
      </c>
      <c r="E338" s="61"/>
      <c r="F338" s="61">
        <f>G338+H338</f>
        <v>0</v>
      </c>
      <c r="G338" s="61">
        <v>0</v>
      </c>
      <c r="H338" s="61"/>
      <c r="I338" s="61">
        <f>J338+K338</f>
        <v>0</v>
      </c>
      <c r="J338" s="61">
        <v>0</v>
      </c>
      <c r="K338" s="61"/>
      <c r="N338" s="67"/>
    </row>
    <row r="339" spans="1:14" s="4" customFormat="1" ht="14.25">
      <c r="A339" s="16" t="s">
        <v>21</v>
      </c>
      <c r="B339" s="75"/>
      <c r="C339" s="132"/>
      <c r="D339" s="132"/>
      <c r="E339" s="132"/>
      <c r="F339" s="132"/>
      <c r="G339" s="132"/>
      <c r="H339" s="132"/>
      <c r="I339" s="132"/>
      <c r="J339" s="132"/>
      <c r="K339" s="132"/>
      <c r="N339" s="67"/>
    </row>
    <row r="340" spans="1:14" s="4" customFormat="1" ht="33.75" customHeight="1">
      <c r="A340" s="5" t="s">
        <v>146</v>
      </c>
      <c r="B340" s="75"/>
      <c r="C340" s="90">
        <f>D340+E340</f>
        <v>0.6</v>
      </c>
      <c r="D340" s="90">
        <v>0.6</v>
      </c>
      <c r="E340" s="90">
        <v>0</v>
      </c>
      <c r="F340" s="90">
        <f>G340+H340</f>
        <v>0</v>
      </c>
      <c r="G340" s="90">
        <v>0</v>
      </c>
      <c r="H340" s="90">
        <v>0</v>
      </c>
      <c r="I340" s="90">
        <f>J340+K340</f>
        <v>0</v>
      </c>
      <c r="J340" s="90">
        <v>0</v>
      </c>
      <c r="K340" s="90">
        <v>0</v>
      </c>
      <c r="N340" s="67"/>
    </row>
    <row r="341" spans="1:14" s="4" customFormat="1" ht="31.5" customHeight="1">
      <c r="A341" s="5" t="s">
        <v>84</v>
      </c>
      <c r="B341" s="121"/>
      <c r="C341" s="90">
        <f>D341+E341</f>
        <v>0.25</v>
      </c>
      <c r="D341" s="121">
        <v>0.25</v>
      </c>
      <c r="E341" s="166">
        <v>0</v>
      </c>
      <c r="F341" s="90">
        <f>G341+H341</f>
        <v>0</v>
      </c>
      <c r="G341" s="166">
        <v>0</v>
      </c>
      <c r="H341" s="166">
        <v>0</v>
      </c>
      <c r="I341" s="90">
        <f>J341+K341</f>
        <v>0</v>
      </c>
      <c r="J341" s="166">
        <v>0</v>
      </c>
      <c r="K341" s="166">
        <v>0</v>
      </c>
      <c r="N341" s="67"/>
    </row>
    <row r="342" spans="1:12" ht="19.5" customHeight="1">
      <c r="A342" s="21"/>
      <c r="B342" s="97"/>
      <c r="C342" s="98"/>
      <c r="D342" s="98"/>
      <c r="E342" s="98"/>
      <c r="F342" s="92"/>
      <c r="G342" s="92"/>
      <c r="H342" s="92"/>
      <c r="I342" s="92"/>
      <c r="J342" s="92"/>
      <c r="K342" s="92"/>
      <c r="L342" s="92"/>
    </row>
    <row r="343" spans="1:14" s="4" customFormat="1" ht="26.25" customHeight="1">
      <c r="A343" s="11"/>
      <c r="B343" s="10"/>
      <c r="C343" s="99"/>
      <c r="D343" s="99"/>
      <c r="E343" s="99"/>
      <c r="F343" s="99"/>
      <c r="G343" s="99"/>
      <c r="H343" s="99"/>
      <c r="I343" s="201" t="s">
        <v>218</v>
      </c>
      <c r="J343" s="201"/>
      <c r="K343" s="201"/>
      <c r="L343" s="99"/>
      <c r="N343" s="67"/>
    </row>
    <row r="344" spans="1:14" s="4" customFormat="1" ht="14.25">
      <c r="A344" s="13">
        <v>1</v>
      </c>
      <c r="B344" s="70">
        <v>2</v>
      </c>
      <c r="C344" s="68">
        <v>3</v>
      </c>
      <c r="D344" s="68">
        <v>4</v>
      </c>
      <c r="E344" s="68">
        <v>5</v>
      </c>
      <c r="F344" s="68">
        <v>6</v>
      </c>
      <c r="G344" s="68">
        <v>7</v>
      </c>
      <c r="H344" s="68">
        <v>8</v>
      </c>
      <c r="I344" s="68">
        <v>9</v>
      </c>
      <c r="J344" s="68">
        <v>10</v>
      </c>
      <c r="K344" s="68">
        <v>11</v>
      </c>
      <c r="L344" s="69"/>
      <c r="N344" s="67"/>
    </row>
    <row r="345" spans="1:14" s="4" customFormat="1" ht="14.25">
      <c r="A345" s="16" t="s">
        <v>20</v>
      </c>
      <c r="B345" s="75"/>
      <c r="C345" s="132"/>
      <c r="D345" s="132"/>
      <c r="E345" s="132"/>
      <c r="F345" s="132"/>
      <c r="G345" s="132"/>
      <c r="H345" s="132"/>
      <c r="I345" s="132"/>
      <c r="J345" s="132"/>
      <c r="K345" s="132"/>
      <c r="N345" s="67"/>
    </row>
    <row r="346" spans="1:14" s="4" customFormat="1" ht="16.5">
      <c r="A346" s="5" t="s">
        <v>75</v>
      </c>
      <c r="B346" s="75"/>
      <c r="C346" s="124">
        <f>D346+E346</f>
        <v>0</v>
      </c>
      <c r="D346" s="93">
        <v>0</v>
      </c>
      <c r="E346" s="93">
        <v>0</v>
      </c>
      <c r="F346" s="93">
        <f>G346+H346</f>
        <v>0</v>
      </c>
      <c r="G346" s="93">
        <f>+G332/D332*100</f>
        <v>0</v>
      </c>
      <c r="H346" s="93">
        <v>0</v>
      </c>
      <c r="I346" s="93">
        <f>J346+K346</f>
        <v>0</v>
      </c>
      <c r="J346" s="93">
        <v>0</v>
      </c>
      <c r="K346" s="93">
        <v>0</v>
      </c>
      <c r="N346" s="67"/>
    </row>
    <row r="347" spans="1:14" s="4" customFormat="1" ht="46.5" customHeight="1">
      <c r="A347" s="20" t="s">
        <v>151</v>
      </c>
      <c r="B347" s="75"/>
      <c r="C347" s="171">
        <f>D347+E347</f>
        <v>0</v>
      </c>
      <c r="D347" s="171">
        <v>0</v>
      </c>
      <c r="E347" s="171">
        <v>0</v>
      </c>
      <c r="F347" s="171">
        <f>G347+H347</f>
        <v>70000</v>
      </c>
      <c r="G347" s="171">
        <v>70000</v>
      </c>
      <c r="H347" s="171">
        <v>0</v>
      </c>
      <c r="I347" s="171">
        <f>J347+K347</f>
        <v>75000</v>
      </c>
      <c r="J347" s="171">
        <v>75000</v>
      </c>
      <c r="K347" s="171">
        <v>0</v>
      </c>
      <c r="N347" s="67"/>
    </row>
    <row r="348" spans="1:14" s="4" customFormat="1" ht="16.5">
      <c r="A348" s="7" t="s">
        <v>5</v>
      </c>
      <c r="B348" s="75"/>
      <c r="C348" s="124"/>
      <c r="D348" s="93"/>
      <c r="E348" s="93"/>
      <c r="F348" s="93"/>
      <c r="G348" s="93"/>
      <c r="H348" s="93"/>
      <c r="I348" s="93"/>
      <c r="J348" s="93"/>
      <c r="K348" s="93"/>
      <c r="N348" s="67"/>
    </row>
    <row r="349" spans="1:14" s="4" customFormat="1" ht="16.5">
      <c r="A349" s="8" t="s">
        <v>144</v>
      </c>
      <c r="B349" s="75"/>
      <c r="C349" s="124"/>
      <c r="D349" s="93"/>
      <c r="E349" s="93"/>
      <c r="F349" s="93"/>
      <c r="G349" s="93"/>
      <c r="H349" s="93"/>
      <c r="I349" s="93"/>
      <c r="J349" s="93"/>
      <c r="K349" s="93"/>
      <c r="N349" s="67"/>
    </row>
    <row r="350" spans="1:14" s="4" customFormat="1" ht="44.25" customHeight="1">
      <c r="A350" s="5" t="s">
        <v>147</v>
      </c>
      <c r="B350" s="75"/>
      <c r="C350" s="124">
        <f>D350+E350</f>
        <v>0</v>
      </c>
      <c r="D350" s="93">
        <v>0</v>
      </c>
      <c r="E350" s="93">
        <v>0</v>
      </c>
      <c r="F350" s="93">
        <f>G350+H350</f>
        <v>70</v>
      </c>
      <c r="G350" s="93">
        <v>70</v>
      </c>
      <c r="H350" s="93">
        <v>0</v>
      </c>
      <c r="I350" s="93">
        <f>J350+K350</f>
        <v>75</v>
      </c>
      <c r="J350" s="93">
        <v>75</v>
      </c>
      <c r="K350" s="93">
        <v>0</v>
      </c>
      <c r="N350" s="67"/>
    </row>
    <row r="351" spans="1:14" s="4" customFormat="1" ht="16.5">
      <c r="A351" s="8" t="s">
        <v>6</v>
      </c>
      <c r="B351" s="75"/>
      <c r="C351" s="124"/>
      <c r="D351" s="93"/>
      <c r="E351" s="93"/>
      <c r="F351" s="93"/>
      <c r="G351" s="93"/>
      <c r="H351" s="93"/>
      <c r="I351" s="93"/>
      <c r="J351" s="93"/>
      <c r="K351" s="93"/>
      <c r="N351" s="67"/>
    </row>
    <row r="352" spans="1:14" s="4" customFormat="1" ht="16.5">
      <c r="A352" s="7" t="s">
        <v>148</v>
      </c>
      <c r="B352" s="75"/>
      <c r="C352" s="96">
        <f>D352+E352</f>
        <v>0</v>
      </c>
      <c r="D352" s="96">
        <v>0</v>
      </c>
      <c r="E352" s="96">
        <v>0</v>
      </c>
      <c r="F352" s="61">
        <f>G352+H352</f>
        <v>190920</v>
      </c>
      <c r="G352" s="61">
        <v>190920</v>
      </c>
      <c r="H352" s="61">
        <v>0</v>
      </c>
      <c r="I352" s="61">
        <f>J352+K352</f>
        <v>193514</v>
      </c>
      <c r="J352" s="61">
        <v>193514</v>
      </c>
      <c r="K352" s="61">
        <v>0</v>
      </c>
      <c r="N352" s="67"/>
    </row>
    <row r="353" spans="1:14" s="4" customFormat="1" ht="16.5">
      <c r="A353" s="16" t="s">
        <v>21</v>
      </c>
      <c r="B353" s="75"/>
      <c r="C353" s="124"/>
      <c r="D353" s="93"/>
      <c r="E353" s="93"/>
      <c r="F353" s="93"/>
      <c r="G353" s="93"/>
      <c r="H353" s="93"/>
      <c r="I353" s="93"/>
      <c r="J353" s="93"/>
      <c r="K353" s="93"/>
      <c r="N353" s="67"/>
    </row>
    <row r="354" spans="1:14" s="4" customFormat="1" ht="16.5">
      <c r="A354" s="5" t="s">
        <v>149</v>
      </c>
      <c r="B354" s="75"/>
      <c r="C354" s="124">
        <f>D354+E354</f>
        <v>0</v>
      </c>
      <c r="D354" s="93">
        <v>0</v>
      </c>
      <c r="E354" s="93">
        <v>0</v>
      </c>
      <c r="F354" s="90">
        <f>G354+H354</f>
        <v>0.37</v>
      </c>
      <c r="G354" s="90">
        <v>0.37</v>
      </c>
      <c r="H354" s="90">
        <v>0</v>
      </c>
      <c r="I354" s="90">
        <f>J354+K354</f>
        <v>0.39</v>
      </c>
      <c r="J354" s="90">
        <v>0.39</v>
      </c>
      <c r="K354" s="90">
        <v>0</v>
      </c>
      <c r="N354" s="67"/>
    </row>
    <row r="355" spans="1:14" s="4" customFormat="1" ht="16.5">
      <c r="A355" s="16" t="s">
        <v>20</v>
      </c>
      <c r="B355" s="75"/>
      <c r="C355" s="124"/>
      <c r="D355" s="93"/>
      <c r="E355" s="93"/>
      <c r="F355" s="93"/>
      <c r="G355" s="93"/>
      <c r="H355" s="93"/>
      <c r="I355" s="93"/>
      <c r="J355" s="93"/>
      <c r="K355" s="93"/>
      <c r="N355" s="67"/>
    </row>
    <row r="356" spans="1:14" s="4" customFormat="1" ht="16.5">
      <c r="A356" s="5" t="s">
        <v>150</v>
      </c>
      <c r="B356" s="75"/>
      <c r="C356" s="124">
        <f>D356+E356</f>
        <v>0</v>
      </c>
      <c r="D356" s="93">
        <v>0</v>
      </c>
      <c r="E356" s="93">
        <v>0</v>
      </c>
      <c r="F356" s="93">
        <f>G356+H356</f>
        <v>100</v>
      </c>
      <c r="G356" s="93">
        <v>100</v>
      </c>
      <c r="H356" s="93">
        <v>0</v>
      </c>
      <c r="I356" s="93">
        <f>J356+K356</f>
        <v>100</v>
      </c>
      <c r="J356" s="93">
        <v>100</v>
      </c>
      <c r="K356" s="93">
        <v>0</v>
      </c>
      <c r="N356" s="67"/>
    </row>
    <row r="357" spans="1:14" s="4" customFormat="1" ht="18" customHeight="1">
      <c r="A357" s="210" t="s">
        <v>96</v>
      </c>
      <c r="B357" s="210"/>
      <c r="C357" s="210"/>
      <c r="D357" s="210"/>
      <c r="E357" s="210"/>
      <c r="F357" s="210"/>
      <c r="G357" s="210"/>
      <c r="H357" s="210"/>
      <c r="I357" s="210"/>
      <c r="J357" s="210"/>
      <c r="K357" s="210"/>
      <c r="N357" s="67"/>
    </row>
    <row r="358" spans="1:11" ht="33" customHeight="1">
      <c r="A358" s="213" t="s">
        <v>204</v>
      </c>
      <c r="B358" s="213"/>
      <c r="C358" s="213"/>
      <c r="D358" s="213"/>
      <c r="E358" s="213"/>
      <c r="F358" s="213"/>
      <c r="G358" s="213"/>
      <c r="H358" s="213"/>
      <c r="I358" s="213"/>
      <c r="J358" s="213"/>
      <c r="K358" s="213"/>
    </row>
    <row r="359" spans="1:11" ht="16.5">
      <c r="A359" s="46" t="s">
        <v>7</v>
      </c>
      <c r="B359" s="172" t="s">
        <v>205</v>
      </c>
      <c r="C359" s="59">
        <f>D359+E359</f>
        <v>16477514</v>
      </c>
      <c r="D359" s="59">
        <f>D361+D371+D384+D395+D420</f>
        <v>16477514</v>
      </c>
      <c r="E359" s="59">
        <v>0</v>
      </c>
      <c r="F359" s="59">
        <f>G359+H359</f>
        <v>43796810</v>
      </c>
      <c r="G359" s="59">
        <f>G361+G371++G384+G395+G420</f>
        <v>43592198</v>
      </c>
      <c r="H359" s="59">
        <f>H361+H371++H384+H395</f>
        <v>204612</v>
      </c>
      <c r="I359" s="84">
        <f>J359+K359</f>
        <v>49606566</v>
      </c>
      <c r="J359" s="59">
        <f>J361+J371++J384+J395+J420</f>
        <v>49392566</v>
      </c>
      <c r="K359" s="59">
        <f>K361+K371++K384+K395</f>
        <v>214000</v>
      </c>
    </row>
    <row r="360" spans="1:11" ht="21.75" customHeight="1">
      <c r="A360" s="47" t="s">
        <v>206</v>
      </c>
      <c r="B360" s="173"/>
      <c r="C360" s="174"/>
      <c r="D360" s="174"/>
      <c r="E360" s="174"/>
      <c r="F360" s="173"/>
      <c r="G360" s="173"/>
      <c r="H360" s="173"/>
      <c r="I360" s="173"/>
      <c r="J360" s="173"/>
      <c r="K360" s="173"/>
    </row>
    <row r="361" spans="1:11" ht="28.5" customHeight="1">
      <c r="A361" s="48" t="s">
        <v>97</v>
      </c>
      <c r="B361" s="175"/>
      <c r="C361" s="84">
        <f>D361+E361</f>
        <v>3624570</v>
      </c>
      <c r="D361" s="91">
        <v>3624570</v>
      </c>
      <c r="E361" s="59">
        <v>0</v>
      </c>
      <c r="F361" s="59">
        <f>+G361</f>
        <v>11188632</v>
      </c>
      <c r="G361" s="91">
        <v>11188632</v>
      </c>
      <c r="H361" s="59">
        <v>0</v>
      </c>
      <c r="I361" s="84">
        <f>J361+K361</f>
        <v>13466596</v>
      </c>
      <c r="J361" s="91">
        <f>2000000+9466596+2000000</f>
        <v>13466596</v>
      </c>
      <c r="K361" s="90">
        <v>0</v>
      </c>
    </row>
    <row r="362" spans="1:14" ht="18" customHeight="1">
      <c r="A362" s="7" t="s">
        <v>5</v>
      </c>
      <c r="B362" s="86"/>
      <c r="C362" s="176"/>
      <c r="D362" s="60"/>
      <c r="E362" s="60"/>
      <c r="F362" s="60"/>
      <c r="G362" s="60"/>
      <c r="H362" s="60"/>
      <c r="I362" s="60"/>
      <c r="J362" s="60"/>
      <c r="K362" s="60"/>
      <c r="N362" s="55"/>
    </row>
    <row r="363" spans="1:14" ht="15">
      <c r="A363" s="8" t="s">
        <v>6</v>
      </c>
      <c r="B363" s="86"/>
      <c r="C363" s="176"/>
      <c r="D363" s="60"/>
      <c r="E363" s="60"/>
      <c r="F363" s="60"/>
      <c r="G363" s="60"/>
      <c r="H363" s="60"/>
      <c r="I363" s="60"/>
      <c r="J363" s="60"/>
      <c r="K363" s="60"/>
      <c r="N363" s="55"/>
    </row>
    <row r="364" spans="1:14" ht="27.75" customHeight="1">
      <c r="A364" s="17" t="s">
        <v>98</v>
      </c>
      <c r="B364" s="86"/>
      <c r="C364" s="61">
        <v>65900</v>
      </c>
      <c r="D364" s="61">
        <v>65900</v>
      </c>
      <c r="E364" s="61">
        <v>0</v>
      </c>
      <c r="F364" s="61">
        <f>+G364</f>
        <v>60420</v>
      </c>
      <c r="G364" s="61">
        <v>60420</v>
      </c>
      <c r="H364" s="96">
        <v>0</v>
      </c>
      <c r="I364" s="96">
        <f>+J364</f>
        <v>64200</v>
      </c>
      <c r="J364" s="96">
        <v>64200</v>
      </c>
      <c r="K364" s="96">
        <v>0</v>
      </c>
      <c r="N364" s="55"/>
    </row>
    <row r="365" spans="1:14" ht="27.75" customHeight="1">
      <c r="A365" s="17" t="s">
        <v>99</v>
      </c>
      <c r="B365" s="86"/>
      <c r="C365" s="96">
        <v>1</v>
      </c>
      <c r="D365" s="96">
        <v>1</v>
      </c>
      <c r="E365" s="96">
        <v>0</v>
      </c>
      <c r="F365" s="96">
        <f>+G365</f>
        <v>1</v>
      </c>
      <c r="G365" s="96">
        <v>1</v>
      </c>
      <c r="H365" s="96">
        <v>0</v>
      </c>
      <c r="I365" s="96">
        <f>+J365</f>
        <v>1</v>
      </c>
      <c r="J365" s="96">
        <v>1</v>
      </c>
      <c r="K365" s="96">
        <v>0</v>
      </c>
      <c r="N365" s="55"/>
    </row>
    <row r="366" spans="1:14" ht="17.25" customHeight="1">
      <c r="A366" s="18" t="s">
        <v>21</v>
      </c>
      <c r="B366" s="75"/>
      <c r="C366" s="177"/>
      <c r="D366" s="89"/>
      <c r="E366" s="89"/>
      <c r="F366" s="89"/>
      <c r="G366" s="89"/>
      <c r="H366" s="100"/>
      <c r="I366" s="100"/>
      <c r="J366" s="100"/>
      <c r="K366" s="100"/>
      <c r="N366" s="55"/>
    </row>
    <row r="367" spans="1:14" ht="30">
      <c r="A367" s="19" t="s">
        <v>100</v>
      </c>
      <c r="B367" s="75"/>
      <c r="C367" s="90">
        <f>D367+E367</f>
        <v>517795.71428571426</v>
      </c>
      <c r="D367" s="90">
        <f>+D361/7</f>
        <v>517795.71428571426</v>
      </c>
      <c r="E367" s="90">
        <v>0</v>
      </c>
      <c r="F367" s="90">
        <f>G367+H367</f>
        <v>932386</v>
      </c>
      <c r="G367" s="90">
        <f>+G361/12</f>
        <v>932386</v>
      </c>
      <c r="H367" s="90">
        <v>0</v>
      </c>
      <c r="I367" s="90">
        <f>J367+K367</f>
        <v>1122216.3333333333</v>
      </c>
      <c r="J367" s="90">
        <f>+J361/12</f>
        <v>1122216.3333333333</v>
      </c>
      <c r="K367" s="90">
        <v>0</v>
      </c>
      <c r="N367" s="55"/>
    </row>
    <row r="368" spans="1:14" ht="16.5">
      <c r="A368" s="16" t="s">
        <v>20</v>
      </c>
      <c r="B368" s="75"/>
      <c r="C368" s="90"/>
      <c r="D368" s="90"/>
      <c r="E368" s="90"/>
      <c r="F368" s="90"/>
      <c r="G368" s="91"/>
      <c r="H368" s="90"/>
      <c r="I368" s="90"/>
      <c r="J368" s="91"/>
      <c r="K368" s="90"/>
      <c r="N368" s="55"/>
    </row>
    <row r="369" spans="1:14" ht="21.75" customHeight="1">
      <c r="A369" s="19" t="s">
        <v>19</v>
      </c>
      <c r="B369" s="75"/>
      <c r="C369" s="93">
        <f>+D369</f>
        <v>100</v>
      </c>
      <c r="D369" s="93">
        <v>100</v>
      </c>
      <c r="E369" s="93">
        <v>0</v>
      </c>
      <c r="F369" s="93">
        <f>G369+H369</f>
        <v>100</v>
      </c>
      <c r="G369" s="94">
        <v>100</v>
      </c>
      <c r="H369" s="93">
        <v>0</v>
      </c>
      <c r="I369" s="93">
        <f>J369+K369</f>
        <v>100</v>
      </c>
      <c r="J369" s="94">
        <v>100</v>
      </c>
      <c r="K369" s="93">
        <v>0</v>
      </c>
      <c r="N369" s="55"/>
    </row>
    <row r="370" spans="1:11" ht="21.75" customHeight="1">
      <c r="A370" s="47" t="s">
        <v>174</v>
      </c>
      <c r="B370" s="47"/>
      <c r="C370" s="47"/>
      <c r="D370" s="47"/>
      <c r="E370" s="47"/>
      <c r="F370" s="47"/>
      <c r="G370" s="47"/>
      <c r="H370" s="47"/>
      <c r="I370" s="47"/>
      <c r="J370" s="47"/>
      <c r="K370" s="47"/>
    </row>
    <row r="371" spans="1:11" ht="30.75" customHeight="1">
      <c r="A371" s="48" t="s">
        <v>101</v>
      </c>
      <c r="B371" s="178"/>
      <c r="C371" s="84">
        <f>D371+E371</f>
        <v>9714663</v>
      </c>
      <c r="D371" s="84">
        <v>9714663</v>
      </c>
      <c r="E371" s="84">
        <v>0</v>
      </c>
      <c r="F371" s="179">
        <f>G371+H371</f>
        <v>28979753</v>
      </c>
      <c r="G371" s="179">
        <v>28979753</v>
      </c>
      <c r="H371" s="59">
        <v>0</v>
      </c>
      <c r="I371" s="59">
        <f>J371+K371</f>
        <v>33013066</v>
      </c>
      <c r="J371" s="59">
        <f>8000000+27013066-2000000</f>
        <v>33013066</v>
      </c>
      <c r="K371" s="59">
        <v>0</v>
      </c>
    </row>
    <row r="372" spans="1:14" ht="18" customHeight="1">
      <c r="A372" s="7" t="s">
        <v>5</v>
      </c>
      <c r="B372" s="75"/>
      <c r="C372" s="176"/>
      <c r="D372" s="60"/>
      <c r="E372" s="60"/>
      <c r="F372" s="60"/>
      <c r="G372" s="60"/>
      <c r="H372" s="60"/>
      <c r="I372" s="60"/>
      <c r="J372" s="60"/>
      <c r="K372" s="60"/>
      <c r="N372" s="55"/>
    </row>
    <row r="373" spans="1:14" ht="15">
      <c r="A373" s="8" t="s">
        <v>6</v>
      </c>
      <c r="B373" s="75"/>
      <c r="C373" s="176"/>
      <c r="D373" s="60"/>
      <c r="E373" s="60"/>
      <c r="F373" s="60"/>
      <c r="G373" s="60"/>
      <c r="H373" s="60"/>
      <c r="I373" s="60"/>
      <c r="J373" s="60"/>
      <c r="K373" s="60"/>
      <c r="N373" s="55"/>
    </row>
    <row r="374" spans="1:14" ht="27.75" customHeight="1">
      <c r="A374" s="17" t="s">
        <v>102</v>
      </c>
      <c r="B374" s="75"/>
      <c r="C374" s="61">
        <v>65900</v>
      </c>
      <c r="D374" s="61">
        <v>65900</v>
      </c>
      <c r="E374" s="61">
        <v>0</v>
      </c>
      <c r="F374" s="61">
        <f>+G374</f>
        <v>60420</v>
      </c>
      <c r="G374" s="61">
        <v>60420</v>
      </c>
      <c r="H374" s="96">
        <v>0</v>
      </c>
      <c r="I374" s="61">
        <f>J374+K374</f>
        <v>64200</v>
      </c>
      <c r="J374" s="61">
        <v>64200</v>
      </c>
      <c r="K374" s="96">
        <v>0</v>
      </c>
      <c r="N374" s="55"/>
    </row>
    <row r="375" spans="1:14" ht="27.75" customHeight="1">
      <c r="A375" s="17" t="s">
        <v>99</v>
      </c>
      <c r="B375" s="75"/>
      <c r="C375" s="96">
        <v>1</v>
      </c>
      <c r="D375" s="96">
        <v>1</v>
      </c>
      <c r="E375" s="96">
        <v>0</v>
      </c>
      <c r="F375" s="96">
        <f>+G375</f>
        <v>1</v>
      </c>
      <c r="G375" s="96">
        <v>1</v>
      </c>
      <c r="H375" s="96">
        <v>0</v>
      </c>
      <c r="I375" s="96">
        <f>+J375</f>
        <v>1</v>
      </c>
      <c r="J375" s="96">
        <v>1</v>
      </c>
      <c r="K375" s="96">
        <v>0</v>
      </c>
      <c r="N375" s="55"/>
    </row>
    <row r="376" spans="1:14" ht="17.25" customHeight="1">
      <c r="A376" s="18" t="s">
        <v>21</v>
      </c>
      <c r="B376" s="75"/>
      <c r="C376" s="177"/>
      <c r="D376" s="89"/>
      <c r="E376" s="89"/>
      <c r="F376" s="177"/>
      <c r="G376" s="89"/>
      <c r="H376" s="89"/>
      <c r="I376" s="177"/>
      <c r="J376" s="89"/>
      <c r="K376" s="89"/>
      <c r="N376" s="55"/>
    </row>
    <row r="377" spans="1:14" ht="30">
      <c r="A377" s="19" t="s">
        <v>100</v>
      </c>
      <c r="B377" s="75"/>
      <c r="C377" s="90">
        <f>D377+E377</f>
        <v>1387809</v>
      </c>
      <c r="D377" s="90">
        <f>D371/7</f>
        <v>1387809</v>
      </c>
      <c r="E377" s="90">
        <v>0</v>
      </c>
      <c r="F377" s="90">
        <f>G377+H377</f>
        <v>2414979.4166666665</v>
      </c>
      <c r="G377" s="90">
        <f>G371/12</f>
        <v>2414979.4166666665</v>
      </c>
      <c r="H377" s="90">
        <v>0</v>
      </c>
      <c r="I377" s="90">
        <f>J377+K377</f>
        <v>2751088.8333333335</v>
      </c>
      <c r="J377" s="91">
        <f>J371/12</f>
        <v>2751088.8333333335</v>
      </c>
      <c r="K377" s="90">
        <v>0</v>
      </c>
      <c r="N377" s="55"/>
    </row>
    <row r="378" spans="1:14" ht="16.5">
      <c r="A378" s="16" t="s">
        <v>20</v>
      </c>
      <c r="B378" s="75"/>
      <c r="C378" s="90"/>
      <c r="D378" s="90"/>
      <c r="E378" s="90"/>
      <c r="F378" s="90"/>
      <c r="G378" s="91"/>
      <c r="H378" s="90"/>
      <c r="I378" s="90"/>
      <c r="J378" s="91"/>
      <c r="K378" s="90"/>
      <c r="N378" s="55"/>
    </row>
    <row r="379" spans="1:14" ht="18" customHeight="1">
      <c r="A379" s="19" t="s">
        <v>19</v>
      </c>
      <c r="B379" s="75"/>
      <c r="C379" s="93">
        <f>+D379</f>
        <v>100</v>
      </c>
      <c r="D379" s="93">
        <v>100</v>
      </c>
      <c r="E379" s="93">
        <v>0</v>
      </c>
      <c r="F379" s="93">
        <f>G379+H379</f>
        <v>100</v>
      </c>
      <c r="G379" s="94">
        <v>100</v>
      </c>
      <c r="H379" s="93">
        <v>0</v>
      </c>
      <c r="I379" s="93">
        <f>J379+K379</f>
        <v>100</v>
      </c>
      <c r="J379" s="94">
        <v>100</v>
      </c>
      <c r="K379" s="93">
        <v>0</v>
      </c>
      <c r="N379" s="55"/>
    </row>
    <row r="380" spans="1:12" ht="19.5" customHeight="1">
      <c r="A380" s="21"/>
      <c r="B380" s="97"/>
      <c r="C380" s="98"/>
      <c r="D380" s="98"/>
      <c r="E380" s="98"/>
      <c r="F380" s="92"/>
      <c r="G380" s="92"/>
      <c r="H380" s="92"/>
      <c r="I380" s="92"/>
      <c r="J380" s="92"/>
      <c r="K380" s="92"/>
      <c r="L380" s="92"/>
    </row>
    <row r="381" spans="1:14" s="4" customFormat="1" ht="26.25" customHeight="1">
      <c r="A381" s="11"/>
      <c r="B381" s="10"/>
      <c r="C381" s="99"/>
      <c r="D381" s="99"/>
      <c r="E381" s="99"/>
      <c r="F381" s="99"/>
      <c r="G381" s="99"/>
      <c r="H381" s="99"/>
      <c r="I381" s="201" t="s">
        <v>218</v>
      </c>
      <c r="J381" s="201"/>
      <c r="K381" s="201"/>
      <c r="L381" s="99"/>
      <c r="N381" s="67"/>
    </row>
    <row r="382" spans="1:14" s="4" customFormat="1" ht="14.25">
      <c r="A382" s="13">
        <v>1</v>
      </c>
      <c r="B382" s="70">
        <v>2</v>
      </c>
      <c r="C382" s="68">
        <v>3</v>
      </c>
      <c r="D382" s="68">
        <v>4</v>
      </c>
      <c r="E382" s="68">
        <v>5</v>
      </c>
      <c r="F382" s="68">
        <v>6</v>
      </c>
      <c r="G382" s="68">
        <v>7</v>
      </c>
      <c r="H382" s="68">
        <v>8</v>
      </c>
      <c r="I382" s="68">
        <v>9</v>
      </c>
      <c r="J382" s="68">
        <v>10</v>
      </c>
      <c r="K382" s="68">
        <v>11</v>
      </c>
      <c r="L382" s="69"/>
      <c r="N382" s="67"/>
    </row>
    <row r="383" spans="1:11" ht="21" customHeight="1">
      <c r="A383" s="47" t="s">
        <v>207</v>
      </c>
      <c r="B383" s="180"/>
      <c r="C383" s="47"/>
      <c r="D383" s="47"/>
      <c r="E383" s="47"/>
      <c r="F383" s="180"/>
      <c r="G383" s="180"/>
      <c r="H383" s="180"/>
      <c r="I383" s="180"/>
      <c r="J383" s="180"/>
      <c r="K383" s="180"/>
    </row>
    <row r="384" spans="1:11" ht="30.75" customHeight="1">
      <c r="A384" s="6" t="s">
        <v>239</v>
      </c>
      <c r="B384" s="181"/>
      <c r="C384" s="84">
        <f>D384+E384</f>
        <v>1439932</v>
      </c>
      <c r="D384" s="84">
        <v>1439932</v>
      </c>
      <c r="E384" s="84">
        <v>0</v>
      </c>
      <c r="F384" s="59">
        <f>G384+H384</f>
        <v>1531251</v>
      </c>
      <c r="G384" s="59">
        <v>1531251</v>
      </c>
      <c r="H384" s="59">
        <v>0</v>
      </c>
      <c r="I384" s="84">
        <f>J384+K384</f>
        <v>1541402</v>
      </c>
      <c r="J384" s="59">
        <v>1541402</v>
      </c>
      <c r="K384" s="84">
        <v>0</v>
      </c>
    </row>
    <row r="385" spans="1:14" ht="18" customHeight="1">
      <c r="A385" s="7" t="s">
        <v>5</v>
      </c>
      <c r="B385" s="86"/>
      <c r="C385" s="176"/>
      <c r="D385" s="60"/>
      <c r="E385" s="60"/>
      <c r="F385" s="60"/>
      <c r="G385" s="60"/>
      <c r="H385" s="60"/>
      <c r="I385" s="60"/>
      <c r="J385" s="60"/>
      <c r="K385" s="60"/>
      <c r="N385" s="55"/>
    </row>
    <row r="386" spans="1:14" ht="15">
      <c r="A386" s="8" t="s">
        <v>6</v>
      </c>
      <c r="B386" s="86"/>
      <c r="C386" s="176"/>
      <c r="D386" s="60"/>
      <c r="E386" s="60"/>
      <c r="F386" s="60"/>
      <c r="G386" s="60"/>
      <c r="H386" s="60"/>
      <c r="I386" s="60"/>
      <c r="J386" s="60"/>
      <c r="K386" s="60"/>
      <c r="N386" s="55"/>
    </row>
    <row r="387" spans="1:14" ht="34.5" customHeight="1">
      <c r="A387" s="22" t="s">
        <v>104</v>
      </c>
      <c r="B387" s="86"/>
      <c r="C387" s="61">
        <f>+D387</f>
        <v>6250</v>
      </c>
      <c r="D387" s="61">
        <v>6250</v>
      </c>
      <c r="E387" s="61">
        <v>0</v>
      </c>
      <c r="F387" s="61">
        <f>+G387</f>
        <v>5571</v>
      </c>
      <c r="G387" s="61">
        <v>5571</v>
      </c>
      <c r="H387" s="96">
        <v>0</v>
      </c>
      <c r="I387" s="96">
        <f>+J387</f>
        <v>4679</v>
      </c>
      <c r="J387" s="96">
        <v>4679</v>
      </c>
      <c r="K387" s="96">
        <v>0</v>
      </c>
      <c r="N387" s="55"/>
    </row>
    <row r="388" spans="1:14" ht="34.5" customHeight="1">
      <c r="A388" s="22" t="s">
        <v>105</v>
      </c>
      <c r="B388" s="86"/>
      <c r="C388" s="61">
        <f>+D388</f>
        <v>123</v>
      </c>
      <c r="D388" s="96">
        <v>123</v>
      </c>
      <c r="E388" s="96">
        <v>0</v>
      </c>
      <c r="F388" s="96">
        <f>+G388</f>
        <v>123</v>
      </c>
      <c r="G388" s="96">
        <v>123</v>
      </c>
      <c r="H388" s="96">
        <v>0</v>
      </c>
      <c r="I388" s="96">
        <f>J388+K388</f>
        <v>47</v>
      </c>
      <c r="J388" s="96">
        <v>47</v>
      </c>
      <c r="K388" s="96">
        <v>0</v>
      </c>
      <c r="N388" s="55"/>
    </row>
    <row r="389" spans="1:14" ht="17.25" customHeight="1">
      <c r="A389" s="18" t="s">
        <v>21</v>
      </c>
      <c r="B389" s="86"/>
      <c r="C389" s="89"/>
      <c r="D389" s="89"/>
      <c r="E389" s="89"/>
      <c r="F389" s="89"/>
      <c r="G389" s="89"/>
      <c r="H389" s="89"/>
      <c r="I389" s="89"/>
      <c r="J389" s="89"/>
      <c r="K389" s="89"/>
      <c r="N389" s="55"/>
    </row>
    <row r="390" spans="1:14" ht="32.25" customHeight="1">
      <c r="A390" s="22" t="s">
        <v>106</v>
      </c>
      <c r="B390" s="86"/>
      <c r="C390" s="90">
        <f>D390</f>
        <v>118712.06666666667</v>
      </c>
      <c r="D390" s="90">
        <f>1424544.8/12</f>
        <v>118712.06666666667</v>
      </c>
      <c r="E390" s="90">
        <v>0</v>
      </c>
      <c r="F390" s="90">
        <f>+G390</f>
        <v>126321.98333333334</v>
      </c>
      <c r="G390" s="90">
        <v>126321.98333333334</v>
      </c>
      <c r="H390" s="90">
        <v>0</v>
      </c>
      <c r="I390" s="90">
        <f>+J390</f>
        <v>127840.33333333333</v>
      </c>
      <c r="J390" s="91">
        <f>1534084/12</f>
        <v>127840.33333333333</v>
      </c>
      <c r="K390" s="90">
        <v>0</v>
      </c>
      <c r="N390" s="55"/>
    </row>
    <row r="391" spans="1:14" ht="30" customHeight="1">
      <c r="A391" s="5" t="s">
        <v>107</v>
      </c>
      <c r="B391" s="86"/>
      <c r="C391" s="90">
        <f>+D391</f>
        <v>125.09918699186993</v>
      </c>
      <c r="D391" s="90">
        <f>15387.2/123</f>
        <v>125.09918699186993</v>
      </c>
      <c r="E391" s="90">
        <v>0</v>
      </c>
      <c r="F391" s="90">
        <f>+G391</f>
        <v>125.09918699186993</v>
      </c>
      <c r="G391" s="91">
        <f>15387.2/G388</f>
        <v>125.09918699186993</v>
      </c>
      <c r="H391" s="90">
        <v>0</v>
      </c>
      <c r="I391" s="90">
        <f>+J391</f>
        <v>155.70212765957447</v>
      </c>
      <c r="J391" s="91">
        <f>7318/J388</f>
        <v>155.70212765957447</v>
      </c>
      <c r="K391" s="90">
        <v>0</v>
      </c>
      <c r="N391" s="55"/>
    </row>
    <row r="392" spans="1:14" ht="16.5">
      <c r="A392" s="16" t="s">
        <v>243</v>
      </c>
      <c r="B392" s="86"/>
      <c r="C392" s="90"/>
      <c r="D392" s="90"/>
      <c r="E392" s="90"/>
      <c r="F392" s="90"/>
      <c r="G392" s="91"/>
      <c r="H392" s="90"/>
      <c r="I392" s="90"/>
      <c r="J392" s="91"/>
      <c r="K392" s="90"/>
      <c r="N392" s="55"/>
    </row>
    <row r="393" spans="1:14" ht="21.75" customHeight="1">
      <c r="A393" s="19" t="s">
        <v>103</v>
      </c>
      <c r="B393" s="86"/>
      <c r="C393" s="93">
        <f>+D393</f>
        <v>100</v>
      </c>
      <c r="D393" s="93">
        <v>100</v>
      </c>
      <c r="E393" s="93">
        <v>0</v>
      </c>
      <c r="F393" s="93">
        <f>G393+H393</f>
        <v>100</v>
      </c>
      <c r="G393" s="94">
        <v>100</v>
      </c>
      <c r="H393" s="93">
        <v>0</v>
      </c>
      <c r="I393" s="93">
        <f>J393+K393</f>
        <v>100</v>
      </c>
      <c r="J393" s="94">
        <v>100</v>
      </c>
      <c r="K393" s="93">
        <v>0</v>
      </c>
      <c r="N393" s="55"/>
    </row>
    <row r="394" spans="1:14" ht="21.75" customHeight="1">
      <c r="A394" s="47" t="s">
        <v>208</v>
      </c>
      <c r="B394" s="180"/>
      <c r="C394" s="47"/>
      <c r="D394" s="47"/>
      <c r="E394" s="47"/>
      <c r="F394" s="180"/>
      <c r="G394" s="180"/>
      <c r="H394" s="180"/>
      <c r="I394" s="180"/>
      <c r="J394" s="180"/>
      <c r="K394" s="180"/>
      <c r="N394" s="55"/>
    </row>
    <row r="395" spans="1:14" ht="35.25" customHeight="1">
      <c r="A395" s="6" t="s">
        <v>240</v>
      </c>
      <c r="B395" s="86"/>
      <c r="C395" s="169">
        <f>D395+E395</f>
        <v>348349</v>
      </c>
      <c r="D395" s="169">
        <f>D397+D398+D400</f>
        <v>348349</v>
      </c>
      <c r="E395" s="169">
        <f>E397+E398</f>
        <v>0</v>
      </c>
      <c r="F395" s="179">
        <f>G395+H395</f>
        <v>597174</v>
      </c>
      <c r="G395" s="169">
        <f>G397+G398+G399+G400</f>
        <v>392562</v>
      </c>
      <c r="H395" s="169">
        <f>H397+H398+H399</f>
        <v>204612</v>
      </c>
      <c r="I395" s="169">
        <f>J395+K395</f>
        <v>585502</v>
      </c>
      <c r="J395" s="169">
        <f>J397+J398+J399+J400</f>
        <v>371502</v>
      </c>
      <c r="K395" s="169">
        <f>K397+K398+K399</f>
        <v>214000</v>
      </c>
      <c r="N395" s="55"/>
    </row>
    <row r="396" spans="1:14" ht="16.5" customHeight="1">
      <c r="A396" s="8" t="s">
        <v>108</v>
      </c>
      <c r="B396" s="75"/>
      <c r="C396" s="182"/>
      <c r="D396" s="93"/>
      <c r="E396" s="93"/>
      <c r="F396" s="179"/>
      <c r="G396" s="91"/>
      <c r="H396" s="90"/>
      <c r="I396" s="179"/>
      <c r="J396" s="91"/>
      <c r="K396" s="90"/>
      <c r="N396" s="55"/>
    </row>
    <row r="397" spans="1:14" ht="20.25" customHeight="1">
      <c r="A397" s="40" t="s">
        <v>241</v>
      </c>
      <c r="B397" s="75"/>
      <c r="C397" s="93">
        <f>D397</f>
        <v>28775</v>
      </c>
      <c r="D397" s="90">
        <v>28775</v>
      </c>
      <c r="E397" s="90">
        <v>0</v>
      </c>
      <c r="F397" s="183">
        <f>G397+H397</f>
        <v>27890</v>
      </c>
      <c r="G397" s="91">
        <v>27890</v>
      </c>
      <c r="H397" s="90">
        <v>0</v>
      </c>
      <c r="I397" s="183">
        <f>J397+K397</f>
        <v>31200</v>
      </c>
      <c r="J397" s="91">
        <v>31200</v>
      </c>
      <c r="K397" s="90">
        <v>0</v>
      </c>
      <c r="N397" s="55"/>
    </row>
    <row r="398" spans="1:14" ht="30.75" customHeight="1">
      <c r="A398" s="26" t="s">
        <v>117</v>
      </c>
      <c r="B398" s="75"/>
      <c r="C398" s="93">
        <f>D398</f>
        <v>225571</v>
      </c>
      <c r="D398" s="90">
        <v>225571</v>
      </c>
      <c r="E398" s="90">
        <v>0</v>
      </c>
      <c r="F398" s="183">
        <f>G398+H398</f>
        <v>243800</v>
      </c>
      <c r="G398" s="91">
        <v>243800</v>
      </c>
      <c r="H398" s="90">
        <v>0</v>
      </c>
      <c r="I398" s="183">
        <f>J398+K398</f>
        <v>260866</v>
      </c>
      <c r="J398" s="91">
        <v>260866</v>
      </c>
      <c r="K398" s="90">
        <v>0</v>
      </c>
      <c r="N398" s="55"/>
    </row>
    <row r="399" spans="1:14" ht="21" customHeight="1">
      <c r="A399" s="49" t="s">
        <v>123</v>
      </c>
      <c r="B399" s="75"/>
      <c r="C399" s="93">
        <v>0</v>
      </c>
      <c r="D399" s="90">
        <v>0</v>
      </c>
      <c r="E399" s="90">
        <v>0</v>
      </c>
      <c r="F399" s="183">
        <f>G399+H399</f>
        <v>204612</v>
      </c>
      <c r="G399" s="91">
        <v>0</v>
      </c>
      <c r="H399" s="90">
        <v>204612</v>
      </c>
      <c r="I399" s="183">
        <f>J399+K399</f>
        <v>214000</v>
      </c>
      <c r="J399" s="91">
        <v>0</v>
      </c>
      <c r="K399" s="90">
        <v>214000</v>
      </c>
      <c r="N399" s="55"/>
    </row>
    <row r="400" spans="1:14" ht="43.5" customHeight="1">
      <c r="A400" s="33" t="s">
        <v>209</v>
      </c>
      <c r="B400" s="86"/>
      <c r="C400" s="93">
        <f>+D400</f>
        <v>94003</v>
      </c>
      <c r="D400" s="90">
        <v>94003</v>
      </c>
      <c r="E400" s="90">
        <v>0</v>
      </c>
      <c r="F400" s="183">
        <f>+G400</f>
        <v>120872</v>
      </c>
      <c r="G400" s="91">
        <v>120872</v>
      </c>
      <c r="H400" s="90">
        <v>0</v>
      </c>
      <c r="I400" s="183">
        <f>+J400</f>
        <v>79436</v>
      </c>
      <c r="J400" s="91">
        <v>79436</v>
      </c>
      <c r="K400" s="90">
        <v>0</v>
      </c>
      <c r="N400" s="55"/>
    </row>
    <row r="401" spans="1:14" ht="21.75" customHeight="1">
      <c r="A401" s="16" t="s">
        <v>109</v>
      </c>
      <c r="B401" s="86"/>
      <c r="C401" s="93"/>
      <c r="D401" s="93"/>
      <c r="E401" s="93"/>
      <c r="F401" s="184"/>
      <c r="G401" s="159"/>
      <c r="H401" s="184"/>
      <c r="I401" s="184"/>
      <c r="J401" s="159"/>
      <c r="K401" s="184"/>
      <c r="N401" s="55"/>
    </row>
    <row r="402" spans="1:14" ht="21.75" customHeight="1">
      <c r="A402" s="26" t="s">
        <v>110</v>
      </c>
      <c r="B402" s="86"/>
      <c r="C402" s="61">
        <f>D402</f>
        <v>2</v>
      </c>
      <c r="D402" s="61">
        <v>2</v>
      </c>
      <c r="E402" s="61">
        <v>0</v>
      </c>
      <c r="F402" s="61">
        <f>G402</f>
        <v>2</v>
      </c>
      <c r="G402" s="160">
        <v>2</v>
      </c>
      <c r="H402" s="61">
        <v>0</v>
      </c>
      <c r="I402" s="61">
        <f>J402</f>
        <v>2</v>
      </c>
      <c r="J402" s="160">
        <v>2</v>
      </c>
      <c r="K402" s="61">
        <v>0</v>
      </c>
      <c r="N402" s="55"/>
    </row>
    <row r="403" spans="1:14" ht="39" customHeight="1">
      <c r="A403" s="26" t="s">
        <v>111</v>
      </c>
      <c r="B403" s="86"/>
      <c r="C403" s="61">
        <f>D403</f>
        <v>2116</v>
      </c>
      <c r="D403" s="61">
        <v>2116</v>
      </c>
      <c r="E403" s="61">
        <v>0</v>
      </c>
      <c r="F403" s="61">
        <f>G403</f>
        <v>3842</v>
      </c>
      <c r="G403" s="160">
        <v>3842</v>
      </c>
      <c r="H403" s="61">
        <v>0</v>
      </c>
      <c r="I403" s="61">
        <f>J403</f>
        <v>4315</v>
      </c>
      <c r="J403" s="160">
        <v>4315</v>
      </c>
      <c r="K403" s="61">
        <v>0</v>
      </c>
      <c r="N403" s="55"/>
    </row>
    <row r="404" spans="1:14" ht="33" customHeight="1">
      <c r="A404" s="33" t="s">
        <v>122</v>
      </c>
      <c r="B404" s="86"/>
      <c r="C404" s="61">
        <f>D404</f>
        <v>0</v>
      </c>
      <c r="D404" s="61">
        <v>0</v>
      </c>
      <c r="E404" s="61">
        <v>0</v>
      </c>
      <c r="F404" s="61">
        <f>G404+H404</f>
        <v>4</v>
      </c>
      <c r="G404" s="160">
        <v>0</v>
      </c>
      <c r="H404" s="61">
        <v>4</v>
      </c>
      <c r="I404" s="61">
        <f>J404+K404</f>
        <v>5</v>
      </c>
      <c r="J404" s="160">
        <v>0</v>
      </c>
      <c r="K404" s="61">
        <v>5</v>
      </c>
      <c r="N404" s="55"/>
    </row>
    <row r="405" spans="1:14" ht="33" customHeight="1">
      <c r="A405" s="5" t="s">
        <v>210</v>
      </c>
      <c r="B405" s="86"/>
      <c r="C405" s="61">
        <f>+D405</f>
        <v>229</v>
      </c>
      <c r="D405" s="61">
        <v>229</v>
      </c>
      <c r="E405" s="61">
        <v>0</v>
      </c>
      <c r="F405" s="61">
        <f>+G405</f>
        <v>251</v>
      </c>
      <c r="G405" s="160">
        <v>251</v>
      </c>
      <c r="H405" s="61">
        <v>0</v>
      </c>
      <c r="I405" s="61">
        <f>+J405</f>
        <v>182</v>
      </c>
      <c r="J405" s="160">
        <v>182</v>
      </c>
      <c r="K405" s="61">
        <v>0</v>
      </c>
      <c r="N405" s="55"/>
    </row>
    <row r="406" spans="1:14" ht="21.75" customHeight="1">
      <c r="A406" s="16" t="s">
        <v>112</v>
      </c>
      <c r="B406" s="86"/>
      <c r="C406" s="93"/>
      <c r="D406" s="93"/>
      <c r="E406" s="93"/>
      <c r="F406" s="184"/>
      <c r="G406" s="159"/>
      <c r="H406" s="184"/>
      <c r="I406" s="184"/>
      <c r="J406" s="159"/>
      <c r="K406" s="184"/>
      <c r="N406" s="55"/>
    </row>
    <row r="407" spans="1:14" ht="21.75" customHeight="1">
      <c r="A407" s="50" t="s">
        <v>113</v>
      </c>
      <c r="B407" s="75"/>
      <c r="C407" s="90">
        <f>D407</f>
        <v>1198.9583333333333</v>
      </c>
      <c r="D407" s="90">
        <f>D397/D402/12</f>
        <v>1198.9583333333333</v>
      </c>
      <c r="E407" s="90">
        <v>0</v>
      </c>
      <c r="F407" s="90">
        <f>G407</f>
        <v>1162.0833333333333</v>
      </c>
      <c r="G407" s="91">
        <f>+G397/G402/12</f>
        <v>1162.0833333333333</v>
      </c>
      <c r="H407" s="90">
        <v>0</v>
      </c>
      <c r="I407" s="90">
        <f>J407</f>
        <v>1300</v>
      </c>
      <c r="J407" s="91">
        <f>J397/J402/12</f>
        <v>1300</v>
      </c>
      <c r="K407" s="90">
        <v>0</v>
      </c>
      <c r="N407" s="55"/>
    </row>
    <row r="408" spans="1:14" ht="50.25" customHeight="1">
      <c r="A408" s="26" t="s">
        <v>114</v>
      </c>
      <c r="B408" s="75"/>
      <c r="C408" s="90">
        <f>D408</f>
        <v>106.60255198487712</v>
      </c>
      <c r="D408" s="90">
        <f>D398/D403</f>
        <v>106.60255198487712</v>
      </c>
      <c r="E408" s="90">
        <v>0</v>
      </c>
      <c r="F408" s="90">
        <f>G408</f>
        <v>63.456533055700156</v>
      </c>
      <c r="G408" s="91">
        <f>+G398/G403</f>
        <v>63.456533055700156</v>
      </c>
      <c r="H408" s="90">
        <v>0</v>
      </c>
      <c r="I408" s="90">
        <f>J408</f>
        <v>60.45561993047509</v>
      </c>
      <c r="J408" s="91">
        <f>J398/J403</f>
        <v>60.45561993047509</v>
      </c>
      <c r="K408" s="90">
        <v>0</v>
      </c>
      <c r="N408" s="55"/>
    </row>
    <row r="409" spans="1:12" ht="19.5" customHeight="1">
      <c r="A409" s="21"/>
      <c r="B409" s="97"/>
      <c r="C409" s="98"/>
      <c r="D409" s="98"/>
      <c r="E409" s="98"/>
      <c r="F409" s="92"/>
      <c r="G409" s="92"/>
      <c r="H409" s="92"/>
      <c r="I409" s="92"/>
      <c r="J409" s="92"/>
      <c r="K409" s="92"/>
      <c r="L409" s="92"/>
    </row>
    <row r="410" spans="1:14" s="4" customFormat="1" ht="26.25" customHeight="1">
      <c r="A410" s="11"/>
      <c r="B410" s="10"/>
      <c r="C410" s="99"/>
      <c r="D410" s="99"/>
      <c r="E410" s="99"/>
      <c r="F410" s="99"/>
      <c r="G410" s="99"/>
      <c r="H410" s="99"/>
      <c r="I410" s="201" t="s">
        <v>218</v>
      </c>
      <c r="J410" s="201"/>
      <c r="K410" s="201"/>
      <c r="L410" s="99"/>
      <c r="N410" s="67"/>
    </row>
    <row r="411" spans="1:14" s="4" customFormat="1" ht="14.25">
      <c r="A411" s="13">
        <v>1</v>
      </c>
      <c r="B411" s="70">
        <v>2</v>
      </c>
      <c r="C411" s="68">
        <v>3</v>
      </c>
      <c r="D411" s="68">
        <v>4</v>
      </c>
      <c r="E411" s="68">
        <v>5</v>
      </c>
      <c r="F411" s="68">
        <v>6</v>
      </c>
      <c r="G411" s="68">
        <v>7</v>
      </c>
      <c r="H411" s="68">
        <v>8</v>
      </c>
      <c r="I411" s="68">
        <v>9</v>
      </c>
      <c r="J411" s="68">
        <v>10</v>
      </c>
      <c r="K411" s="68">
        <v>11</v>
      </c>
      <c r="L411" s="69"/>
      <c r="N411" s="67"/>
    </row>
    <row r="412" spans="1:14" ht="26.25" customHeight="1">
      <c r="A412" s="49" t="s">
        <v>124</v>
      </c>
      <c r="B412" s="75"/>
      <c r="C412" s="90">
        <f>D412</f>
        <v>0</v>
      </c>
      <c r="D412" s="90">
        <v>0</v>
      </c>
      <c r="E412" s="90">
        <v>0</v>
      </c>
      <c r="F412" s="90">
        <f>+G412+H412</f>
        <v>51153</v>
      </c>
      <c r="G412" s="91">
        <v>0</v>
      </c>
      <c r="H412" s="90">
        <f>+H399/H404</f>
        <v>51153</v>
      </c>
      <c r="I412" s="90">
        <f>J412+K412</f>
        <v>42800</v>
      </c>
      <c r="J412" s="91">
        <v>0</v>
      </c>
      <c r="K412" s="90">
        <f>K399/K404</f>
        <v>42800</v>
      </c>
      <c r="N412" s="55"/>
    </row>
    <row r="413" spans="1:14" ht="31.5" customHeight="1">
      <c r="A413" s="5" t="s">
        <v>211</v>
      </c>
      <c r="B413" s="75"/>
      <c r="C413" s="90">
        <f>+D413</f>
        <v>410.49344978165936</v>
      </c>
      <c r="D413" s="90">
        <f>+D400/D405</f>
        <v>410.49344978165936</v>
      </c>
      <c r="E413" s="90">
        <v>0</v>
      </c>
      <c r="F413" s="90">
        <f>+G413</f>
        <v>481.56175298804783</v>
      </c>
      <c r="G413" s="91">
        <f>+G400/G405</f>
        <v>481.56175298804783</v>
      </c>
      <c r="H413" s="90">
        <v>0</v>
      </c>
      <c r="I413" s="90">
        <f>+J413</f>
        <v>436.46153846153845</v>
      </c>
      <c r="J413" s="91">
        <f>J400/J405</f>
        <v>436.46153846153845</v>
      </c>
      <c r="K413" s="90">
        <v>0</v>
      </c>
      <c r="N413" s="55"/>
    </row>
    <row r="414" spans="1:11" s="4" customFormat="1" ht="18.75" customHeight="1">
      <c r="A414" s="16" t="s">
        <v>115</v>
      </c>
      <c r="B414" s="75"/>
      <c r="C414" s="93"/>
      <c r="D414" s="93"/>
      <c r="E414" s="93"/>
      <c r="F414" s="93"/>
      <c r="G414" s="94"/>
      <c r="H414" s="93"/>
      <c r="I414" s="93"/>
      <c r="J414" s="94"/>
      <c r="K414" s="93"/>
    </row>
    <row r="415" spans="1:11" s="4" customFormat="1" ht="34.5" customHeight="1">
      <c r="A415" s="5" t="s">
        <v>116</v>
      </c>
      <c r="B415" s="75"/>
      <c r="C415" s="93">
        <f>D415</f>
        <v>100</v>
      </c>
      <c r="D415" s="93">
        <v>100</v>
      </c>
      <c r="E415" s="93">
        <v>0</v>
      </c>
      <c r="F415" s="93">
        <f>G415</f>
        <v>100</v>
      </c>
      <c r="G415" s="94">
        <v>100</v>
      </c>
      <c r="H415" s="93">
        <v>0</v>
      </c>
      <c r="I415" s="93">
        <f>J415</f>
        <v>100</v>
      </c>
      <c r="J415" s="94">
        <v>100</v>
      </c>
      <c r="K415" s="93">
        <v>0</v>
      </c>
    </row>
    <row r="416" spans="1:11" s="4" customFormat="1" ht="36" customHeight="1">
      <c r="A416" s="5" t="s">
        <v>125</v>
      </c>
      <c r="B416" s="75"/>
      <c r="C416" s="93">
        <f>D416</f>
        <v>100</v>
      </c>
      <c r="D416" s="93">
        <v>100</v>
      </c>
      <c r="E416" s="93">
        <v>0</v>
      </c>
      <c r="F416" s="93">
        <f>G416</f>
        <v>100</v>
      </c>
      <c r="G416" s="94">
        <v>100</v>
      </c>
      <c r="H416" s="93">
        <v>0</v>
      </c>
      <c r="I416" s="93">
        <f>J416</f>
        <v>100</v>
      </c>
      <c r="J416" s="94">
        <v>100</v>
      </c>
      <c r="K416" s="93">
        <v>0</v>
      </c>
    </row>
    <row r="417" spans="1:11" s="4" customFormat="1" ht="23.25" customHeight="1">
      <c r="A417" s="43" t="s">
        <v>126</v>
      </c>
      <c r="B417" s="75"/>
      <c r="C417" s="93">
        <v>0</v>
      </c>
      <c r="D417" s="93">
        <v>0</v>
      </c>
      <c r="E417" s="93">
        <v>0</v>
      </c>
      <c r="F417" s="93">
        <f>+G417+H417</f>
        <v>100</v>
      </c>
      <c r="G417" s="94">
        <v>0</v>
      </c>
      <c r="H417" s="93">
        <v>100</v>
      </c>
      <c r="I417" s="93">
        <f>J417+K417</f>
        <v>100</v>
      </c>
      <c r="J417" s="94">
        <v>0</v>
      </c>
      <c r="K417" s="93">
        <v>100</v>
      </c>
    </row>
    <row r="418" spans="1:14" ht="30" customHeight="1">
      <c r="A418" s="43" t="s">
        <v>212</v>
      </c>
      <c r="B418" s="86"/>
      <c r="C418" s="93">
        <v>100</v>
      </c>
      <c r="D418" s="93">
        <v>100</v>
      </c>
      <c r="E418" s="93">
        <v>0</v>
      </c>
      <c r="F418" s="93">
        <v>100</v>
      </c>
      <c r="G418" s="94">
        <v>100</v>
      </c>
      <c r="H418" s="93">
        <v>0</v>
      </c>
      <c r="I418" s="93">
        <v>100</v>
      </c>
      <c r="J418" s="94">
        <v>100</v>
      </c>
      <c r="K418" s="93">
        <v>0</v>
      </c>
      <c r="N418" s="55"/>
    </row>
    <row r="419" spans="1:14" ht="36" customHeight="1">
      <c r="A419" s="51" t="s">
        <v>247</v>
      </c>
      <c r="B419" s="75"/>
      <c r="C419" s="182"/>
      <c r="D419" s="93"/>
      <c r="E419" s="93"/>
      <c r="F419" s="182"/>
      <c r="G419" s="94"/>
      <c r="H419" s="93"/>
      <c r="I419" s="182"/>
      <c r="J419" s="94"/>
      <c r="K419" s="93"/>
      <c r="N419" s="55"/>
    </row>
    <row r="420" spans="1:14" ht="45" customHeight="1">
      <c r="A420" s="20" t="s">
        <v>242</v>
      </c>
      <c r="B420" s="75"/>
      <c r="C420" s="182">
        <f>D420+E420</f>
        <v>1350000</v>
      </c>
      <c r="D420" s="182">
        <v>1350000</v>
      </c>
      <c r="E420" s="182">
        <v>0</v>
      </c>
      <c r="F420" s="182">
        <f>G420+H420</f>
        <v>1500000</v>
      </c>
      <c r="G420" s="185">
        <v>1500000</v>
      </c>
      <c r="H420" s="182">
        <v>0</v>
      </c>
      <c r="I420" s="182">
        <f>J420+K420</f>
        <v>1000000</v>
      </c>
      <c r="J420" s="185">
        <v>1000000</v>
      </c>
      <c r="K420" s="182">
        <v>0</v>
      </c>
      <c r="N420" s="55"/>
    </row>
    <row r="421" spans="1:14" ht="17.25" customHeight="1">
      <c r="A421" s="7" t="s">
        <v>5</v>
      </c>
      <c r="B421" s="75"/>
      <c r="C421" s="182"/>
      <c r="D421" s="93"/>
      <c r="E421" s="93"/>
      <c r="F421" s="182"/>
      <c r="G421" s="94"/>
      <c r="H421" s="93"/>
      <c r="I421" s="182"/>
      <c r="J421" s="94"/>
      <c r="K421" s="93"/>
      <c r="N421" s="55"/>
    </row>
    <row r="422" spans="1:14" ht="19.5" customHeight="1">
      <c r="A422" s="8" t="s">
        <v>108</v>
      </c>
      <c r="B422" s="75"/>
      <c r="C422" s="182"/>
      <c r="D422" s="93"/>
      <c r="E422" s="93"/>
      <c r="F422" s="182"/>
      <c r="G422" s="94"/>
      <c r="H422" s="93"/>
      <c r="I422" s="182"/>
      <c r="J422" s="94"/>
      <c r="K422" s="93"/>
      <c r="N422" s="55"/>
    </row>
    <row r="423" spans="1:14" ht="27.75" customHeight="1">
      <c r="A423" s="22" t="s">
        <v>152</v>
      </c>
      <c r="B423" s="75"/>
      <c r="C423" s="61">
        <f>D423+E423</f>
        <v>65900</v>
      </c>
      <c r="D423" s="61">
        <v>65900</v>
      </c>
      <c r="E423" s="61">
        <v>0</v>
      </c>
      <c r="F423" s="61">
        <f>G423+H423</f>
        <v>60420</v>
      </c>
      <c r="G423" s="160">
        <v>60420</v>
      </c>
      <c r="H423" s="61">
        <v>0</v>
      </c>
      <c r="I423" s="61">
        <v>64200</v>
      </c>
      <c r="J423" s="160">
        <v>64200</v>
      </c>
      <c r="K423" s="61">
        <v>0</v>
      </c>
      <c r="N423" s="55"/>
    </row>
    <row r="424" spans="1:14" ht="36" customHeight="1">
      <c r="A424" s="22" t="s">
        <v>99</v>
      </c>
      <c r="B424" s="75"/>
      <c r="C424" s="61">
        <f>D424+E424</f>
        <v>1</v>
      </c>
      <c r="D424" s="61">
        <v>1</v>
      </c>
      <c r="E424" s="61">
        <v>0</v>
      </c>
      <c r="F424" s="61">
        <f>G424+H424</f>
        <v>1</v>
      </c>
      <c r="G424" s="160">
        <v>1</v>
      </c>
      <c r="H424" s="61">
        <v>0</v>
      </c>
      <c r="I424" s="61">
        <f>J424+K424</f>
        <v>1</v>
      </c>
      <c r="J424" s="160">
        <v>1</v>
      </c>
      <c r="K424" s="61">
        <v>0</v>
      </c>
      <c r="N424" s="55"/>
    </row>
    <row r="425" spans="1:11" s="4" customFormat="1" ht="18.75" customHeight="1">
      <c r="A425" s="52" t="s">
        <v>21</v>
      </c>
      <c r="B425" s="75"/>
      <c r="C425" s="93"/>
      <c r="D425" s="93"/>
      <c r="E425" s="93"/>
      <c r="F425" s="93"/>
      <c r="G425" s="94"/>
      <c r="H425" s="93"/>
      <c r="I425" s="93"/>
      <c r="J425" s="94"/>
      <c r="K425" s="93"/>
    </row>
    <row r="426" spans="1:11" s="4" customFormat="1" ht="29.25" customHeight="1">
      <c r="A426" s="9" t="s">
        <v>153</v>
      </c>
      <c r="B426" s="75"/>
      <c r="C426" s="93">
        <f>D426+E426</f>
        <v>112500</v>
      </c>
      <c r="D426" s="93">
        <f>1350000/12</f>
        <v>112500</v>
      </c>
      <c r="E426" s="93">
        <v>0</v>
      </c>
      <c r="F426" s="93">
        <f>G426+H426</f>
        <v>125000</v>
      </c>
      <c r="G426" s="93">
        <f>G420/12</f>
        <v>125000</v>
      </c>
      <c r="H426" s="93">
        <v>0</v>
      </c>
      <c r="I426" s="93">
        <f>J426+K426</f>
        <v>83333.33333333333</v>
      </c>
      <c r="J426" s="93">
        <f>J420/12</f>
        <v>83333.33333333333</v>
      </c>
      <c r="K426" s="93">
        <v>0</v>
      </c>
    </row>
    <row r="427" spans="1:11" s="4" customFormat="1" ht="21" customHeight="1">
      <c r="A427" s="6" t="s">
        <v>20</v>
      </c>
      <c r="B427" s="75"/>
      <c r="C427" s="93"/>
      <c r="D427" s="93"/>
      <c r="E427" s="93"/>
      <c r="F427" s="93"/>
      <c r="G427" s="93"/>
      <c r="H427" s="93"/>
      <c r="I427" s="93"/>
      <c r="J427" s="93"/>
      <c r="K427" s="93"/>
    </row>
    <row r="428" spans="1:11" s="4" customFormat="1" ht="19.5" customHeight="1">
      <c r="A428" s="9" t="s">
        <v>19</v>
      </c>
      <c r="B428" s="75"/>
      <c r="C428" s="93">
        <f>D428+E428</f>
        <v>100</v>
      </c>
      <c r="D428" s="93">
        <v>100</v>
      </c>
      <c r="E428" s="93">
        <v>0</v>
      </c>
      <c r="F428" s="93">
        <f>G428+H428</f>
        <v>100</v>
      </c>
      <c r="G428" s="93">
        <v>100</v>
      </c>
      <c r="H428" s="93">
        <v>0</v>
      </c>
      <c r="I428" s="93">
        <f>J428+K428</f>
        <v>100</v>
      </c>
      <c r="J428" s="93">
        <v>100</v>
      </c>
      <c r="K428" s="93">
        <v>0</v>
      </c>
    </row>
    <row r="429" spans="1:12" ht="18" customHeight="1">
      <c r="A429" s="47" t="s">
        <v>213</v>
      </c>
      <c r="B429" s="186" t="s">
        <v>214</v>
      </c>
      <c r="C429" s="174"/>
      <c r="D429" s="174"/>
      <c r="E429" s="174"/>
      <c r="F429" s="173"/>
      <c r="G429" s="173"/>
      <c r="H429" s="173"/>
      <c r="I429" s="173"/>
      <c r="J429" s="173"/>
      <c r="K429" s="173"/>
      <c r="L429" s="165"/>
    </row>
    <row r="430" spans="1:14" ht="18.75" customHeight="1">
      <c r="A430" s="16" t="s">
        <v>92</v>
      </c>
      <c r="B430" s="75"/>
      <c r="C430" s="76"/>
      <c r="D430" s="76"/>
      <c r="E430" s="76"/>
      <c r="F430" s="76"/>
      <c r="G430" s="76"/>
      <c r="H430" s="76"/>
      <c r="I430" s="76"/>
      <c r="J430" s="76"/>
      <c r="K430" s="76"/>
      <c r="N430" s="55"/>
    </row>
    <row r="431" spans="1:12" ht="33" customHeight="1">
      <c r="A431" s="209" t="s">
        <v>118</v>
      </c>
      <c r="B431" s="209"/>
      <c r="C431" s="209"/>
      <c r="D431" s="209"/>
      <c r="E431" s="209"/>
      <c r="F431" s="209"/>
      <c r="G431" s="209"/>
      <c r="H431" s="209"/>
      <c r="I431" s="209"/>
      <c r="J431" s="209"/>
      <c r="K431" s="209"/>
      <c r="L431" s="187"/>
    </row>
    <row r="432" spans="1:12" ht="32.25" customHeight="1">
      <c r="A432" s="213" t="s">
        <v>94</v>
      </c>
      <c r="B432" s="213"/>
      <c r="C432" s="213"/>
      <c r="D432" s="213"/>
      <c r="E432" s="213"/>
      <c r="F432" s="213"/>
      <c r="G432" s="213"/>
      <c r="H432" s="213"/>
      <c r="I432" s="213"/>
      <c r="J432" s="213"/>
      <c r="K432" s="213"/>
      <c r="L432" s="188"/>
    </row>
    <row r="433" spans="1:14" s="4" customFormat="1" ht="24" customHeight="1">
      <c r="A433" s="39" t="s">
        <v>7</v>
      </c>
      <c r="B433" s="43"/>
      <c r="C433" s="84">
        <f>C434+C438</f>
        <v>1445456</v>
      </c>
      <c r="D433" s="84">
        <f>D434+D438</f>
        <v>1445456</v>
      </c>
      <c r="E433" s="84">
        <f aca="true" t="shared" si="8" ref="E433:K433">E434+E438</f>
        <v>0</v>
      </c>
      <c r="F433" s="84">
        <f t="shared" si="8"/>
        <v>103992</v>
      </c>
      <c r="G433" s="84">
        <f t="shared" si="8"/>
        <v>103992</v>
      </c>
      <c r="H433" s="84">
        <f t="shared" si="8"/>
        <v>0</v>
      </c>
      <c r="I433" s="84">
        <f t="shared" si="8"/>
        <v>64620</v>
      </c>
      <c r="J433" s="84">
        <f t="shared" si="8"/>
        <v>64620</v>
      </c>
      <c r="K433" s="84">
        <f t="shared" si="8"/>
        <v>0</v>
      </c>
      <c r="L433" s="189"/>
      <c r="N433" s="67"/>
    </row>
    <row r="434" spans="1:14" s="4" customFormat="1" ht="62.25" customHeight="1">
      <c r="A434" s="53" t="s">
        <v>95</v>
      </c>
      <c r="B434" s="178"/>
      <c r="C434" s="90">
        <f>D434+E434</f>
        <v>220430</v>
      </c>
      <c r="D434" s="90">
        <v>220430</v>
      </c>
      <c r="E434" s="90">
        <v>0</v>
      </c>
      <c r="F434" s="90">
        <f>G434+H434</f>
        <v>103992</v>
      </c>
      <c r="G434" s="90">
        <v>103992</v>
      </c>
      <c r="H434" s="90">
        <v>0</v>
      </c>
      <c r="I434" s="90">
        <f>J434+K434</f>
        <v>64620</v>
      </c>
      <c r="J434" s="90">
        <f>137160-72540</f>
        <v>64620</v>
      </c>
      <c r="K434" s="90">
        <v>0</v>
      </c>
      <c r="L434" s="190"/>
      <c r="N434" s="67"/>
    </row>
    <row r="435" spans="1:12" ht="19.5" customHeight="1">
      <c r="A435" s="21"/>
      <c r="B435" s="97"/>
      <c r="C435" s="98"/>
      <c r="D435" s="98"/>
      <c r="E435" s="98"/>
      <c r="F435" s="92"/>
      <c r="G435" s="92"/>
      <c r="H435" s="92"/>
      <c r="I435" s="92"/>
      <c r="J435" s="92"/>
      <c r="K435" s="92"/>
      <c r="L435" s="92"/>
    </row>
    <row r="436" spans="1:14" s="4" customFormat="1" ht="26.25" customHeight="1">
      <c r="A436" s="11"/>
      <c r="B436" s="10"/>
      <c r="C436" s="99"/>
      <c r="D436" s="99"/>
      <c r="E436" s="99"/>
      <c r="F436" s="99"/>
      <c r="G436" s="99"/>
      <c r="H436" s="99"/>
      <c r="I436" s="201" t="s">
        <v>218</v>
      </c>
      <c r="J436" s="201"/>
      <c r="K436" s="201"/>
      <c r="L436" s="99"/>
      <c r="N436" s="67"/>
    </row>
    <row r="437" spans="1:14" s="4" customFormat="1" ht="14.25">
      <c r="A437" s="13">
        <v>1</v>
      </c>
      <c r="B437" s="70">
        <v>2</v>
      </c>
      <c r="C437" s="68">
        <v>3</v>
      </c>
      <c r="D437" s="68">
        <v>4</v>
      </c>
      <c r="E437" s="68">
        <v>5</v>
      </c>
      <c r="F437" s="68">
        <v>6</v>
      </c>
      <c r="G437" s="68">
        <v>7</v>
      </c>
      <c r="H437" s="68">
        <v>8</v>
      </c>
      <c r="I437" s="68">
        <v>9</v>
      </c>
      <c r="J437" s="68">
        <v>10</v>
      </c>
      <c r="K437" s="68">
        <v>11</v>
      </c>
      <c r="L437" s="69"/>
      <c r="N437" s="67"/>
    </row>
    <row r="438" spans="1:14" s="4" customFormat="1" ht="83.25" customHeight="1">
      <c r="A438" s="54" t="s">
        <v>93</v>
      </c>
      <c r="B438" s="178"/>
      <c r="C438" s="90">
        <f>D438+E438</f>
        <v>1225026</v>
      </c>
      <c r="D438" s="90">
        <v>1225026</v>
      </c>
      <c r="E438" s="90">
        <v>0</v>
      </c>
      <c r="F438" s="90">
        <f>G438+H438</f>
        <v>0</v>
      </c>
      <c r="G438" s="90">
        <v>0</v>
      </c>
      <c r="H438" s="90">
        <v>0</v>
      </c>
      <c r="I438" s="90">
        <f>J438+K438</f>
        <v>0</v>
      </c>
      <c r="J438" s="90">
        <v>0</v>
      </c>
      <c r="K438" s="90">
        <v>0</v>
      </c>
      <c r="L438" s="190"/>
      <c r="N438" s="67"/>
    </row>
    <row r="443" ht="12.75" customHeight="1"/>
    <row r="444" spans="1:9" s="4" customFormat="1" ht="17.25" customHeight="1">
      <c r="A444" s="56" t="s">
        <v>249</v>
      </c>
      <c r="B444" s="56"/>
      <c r="C444" s="191"/>
      <c r="D444" s="2"/>
      <c r="E444" s="191"/>
      <c r="F444" s="191"/>
      <c r="H444" s="191"/>
      <c r="I444" s="191" t="s">
        <v>250</v>
      </c>
    </row>
    <row r="445" spans="1:8" s="4" customFormat="1" ht="19.5" customHeight="1">
      <c r="A445" s="56"/>
      <c r="B445" s="56"/>
      <c r="C445" s="191"/>
      <c r="D445" s="191"/>
      <c r="E445" s="191"/>
      <c r="F445" s="191"/>
      <c r="G445" s="191"/>
      <c r="H445" s="191"/>
    </row>
    <row r="446" spans="1:14" s="4" customFormat="1" ht="18.75">
      <c r="A446" s="57" t="s">
        <v>245</v>
      </c>
      <c r="B446" s="56"/>
      <c r="C446" s="191"/>
      <c r="D446" s="191"/>
      <c r="E446" s="191"/>
      <c r="F446" s="191"/>
      <c r="G446" s="191"/>
      <c r="H446" s="191"/>
      <c r="N446" s="67"/>
    </row>
    <row r="447" spans="1:14" s="4" customFormat="1" ht="18.75">
      <c r="A447" s="57" t="s">
        <v>162</v>
      </c>
      <c r="B447" s="56"/>
      <c r="C447" s="191"/>
      <c r="D447" s="191"/>
      <c r="E447" s="191"/>
      <c r="F447" s="191"/>
      <c r="G447" s="191"/>
      <c r="H447" s="191"/>
      <c r="N447" s="67"/>
    </row>
  </sheetData>
  <sheetProtection/>
  <mergeCells count="56">
    <mergeCell ref="A432:K432"/>
    <mergeCell ref="A357:K357"/>
    <mergeCell ref="A181:K181"/>
    <mergeCell ref="I436:K436"/>
    <mergeCell ref="A329:K329"/>
    <mergeCell ref="A330:K330"/>
    <mergeCell ref="I194:K194"/>
    <mergeCell ref="I224:K224"/>
    <mergeCell ref="I253:K253"/>
    <mergeCell ref="I284:K284"/>
    <mergeCell ref="A431:K431"/>
    <mergeCell ref="A196:K196"/>
    <mergeCell ref="I343:K343"/>
    <mergeCell ref="A256:K256"/>
    <mergeCell ref="I309:K309"/>
    <mergeCell ref="I410:K410"/>
    <mergeCell ref="I381:K381"/>
    <mergeCell ref="A255:K255"/>
    <mergeCell ref="A358:K358"/>
    <mergeCell ref="A317:K317"/>
    <mergeCell ref="A318:K318"/>
    <mergeCell ref="I159:K159"/>
    <mergeCell ref="A106:K106"/>
    <mergeCell ref="A16:K16"/>
    <mergeCell ref="A7:A10"/>
    <mergeCell ref="I9:I10"/>
    <mergeCell ref="F7:H8"/>
    <mergeCell ref="A168:K168"/>
    <mergeCell ref="A197:K197"/>
    <mergeCell ref="A17:A19"/>
    <mergeCell ref="I127:K127"/>
    <mergeCell ref="H1:J1"/>
    <mergeCell ref="A5:K5"/>
    <mergeCell ref="G9:H9"/>
    <mergeCell ref="I7:K8"/>
    <mergeCell ref="H2:K2"/>
    <mergeCell ref="A180:K180"/>
    <mergeCell ref="A136:K136"/>
    <mergeCell ref="A167:K167"/>
    <mergeCell ref="A137:K137"/>
    <mergeCell ref="A107:K107"/>
    <mergeCell ref="I35:K35"/>
    <mergeCell ref="I65:K65"/>
    <mergeCell ref="A89:K89"/>
    <mergeCell ref="A90:K90"/>
    <mergeCell ref="I98:K98"/>
    <mergeCell ref="M23:M24"/>
    <mergeCell ref="M29:M30"/>
    <mergeCell ref="J9:K9"/>
    <mergeCell ref="C9:C10"/>
    <mergeCell ref="A15:K15"/>
    <mergeCell ref="A28:A30"/>
    <mergeCell ref="B7:B10"/>
    <mergeCell ref="C7:E8"/>
    <mergeCell ref="F9:F10"/>
    <mergeCell ref="D9:E9"/>
  </mergeCells>
  <printOptions horizontalCentered="1"/>
  <pageMargins left="0.7874015748031497" right="0.7874015748031497" top="1.1811023622047245" bottom="0.5905511811023623" header="0.5118110236220472" footer="0.3937007874015748"/>
  <pageSetup fitToHeight="39" fitToWidth="22" horizontalDpi="600" verticalDpi="600" orientation="landscape" paperSize="9" scale="58" r:id="rId1"/>
  <rowBreaks count="11" manualBreakCount="11">
    <brk id="34" max="10" man="1"/>
    <brk id="64" max="10" man="1"/>
    <brk id="97" max="10" man="1"/>
    <brk id="126" max="10" man="1"/>
    <brk id="158" max="10" man="1"/>
    <brk id="193" max="10" man="1"/>
    <brk id="223" max="10" man="1"/>
    <brk id="252" max="10" man="1"/>
    <brk id="342" max="10" man="1"/>
    <brk id="409" max="10" man="1"/>
    <brk id="435"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2018-03-19T08:18:19Z</cp:lastPrinted>
  <dcterms:created xsi:type="dcterms:W3CDTF">1996-10-08T23:32:33Z</dcterms:created>
  <dcterms:modified xsi:type="dcterms:W3CDTF">2018-03-29T13:19:43Z</dcterms:modified>
  <cp:category/>
  <cp:version/>
  <cp:contentType/>
  <cp:contentStatus/>
</cp:coreProperties>
</file>