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2390" windowHeight="8175" tabRatio="246" activeTab="0"/>
  </bookViews>
  <sheets>
    <sheet name="додаток (смр)" sheetId="1" r:id="rId1"/>
  </sheets>
  <definedNames>
    <definedName name="_xlfn.AGGREGATE" hidden="1">#NAME?</definedName>
    <definedName name="_xlnm.Print_Titles" localSheetId="0">'додаток (смр)'!$16:$16</definedName>
    <definedName name="_xlnm.Print_Area" localSheetId="0">'додаток (смр)'!$A$1:$N$342</definedName>
  </definedNames>
  <calcPr fullCalcOnLoad="1"/>
</workbook>
</file>

<file path=xl/sharedStrings.xml><?xml version="1.0" encoding="utf-8"?>
<sst xmlns="http://schemas.openxmlformats.org/spreadsheetml/2006/main" count="796" uniqueCount="492">
  <si>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</si>
  <si>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</si>
  <si>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</si>
  <si>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</si>
  <si>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</si>
  <si>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</si>
  <si>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</si>
  <si>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</si>
  <si>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</si>
  <si>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</si>
  <si>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</si>
  <si>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</si>
  <si>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</si>
  <si>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</si>
  <si>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</si>
  <si>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</si>
  <si>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</si>
  <si>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</si>
  <si>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</si>
  <si>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</si>
  <si>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</si>
  <si>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</si>
  <si>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</si>
  <si>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</si>
  <si>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</si>
  <si>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</si>
  <si>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</si>
  <si>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</si>
  <si>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</si>
  <si>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</si>
  <si>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</si>
  <si>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</si>
  <si>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</si>
  <si>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</si>
  <si>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</si>
  <si>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</si>
  <si>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</si>
  <si>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</si>
  <si>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</si>
  <si>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</si>
  <si>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</si>
  <si>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</si>
  <si>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</si>
  <si>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</si>
  <si>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</si>
  <si>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</si>
  <si>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</si>
  <si>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</si>
  <si>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</si>
  <si>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</si>
  <si>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</si>
  <si>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</si>
  <si>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</si>
  <si>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</si>
  <si>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</si>
  <si>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</si>
  <si>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</si>
  <si>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</si>
  <si>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</si>
  <si>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</si>
  <si>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</si>
  <si>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</si>
  <si>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</si>
  <si>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</si>
  <si>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</si>
  <si>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</si>
  <si>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</si>
  <si>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</si>
  <si>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</si>
  <si>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</si>
  <si>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</si>
  <si>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</si>
  <si>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</si>
  <si>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</si>
  <si>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</si>
  <si>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</si>
  <si>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</si>
  <si>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</si>
  <si>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</si>
  <si>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</si>
  <si>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</si>
  <si>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</si>
  <si>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</si>
  <si>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</si>
  <si>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</si>
  <si>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</si>
  <si>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</si>
  <si>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</si>
  <si>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</si>
  <si>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</si>
  <si>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</si>
  <si>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</si>
  <si>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</si>
  <si>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</si>
  <si>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</si>
  <si>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</si>
  <si>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</si>
  <si>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</si>
  <si>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</si>
  <si>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</si>
  <si>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</si>
  <si>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</si>
  <si>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</si>
  <si>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</si>
  <si>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</si>
  <si>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</si>
  <si>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</si>
  <si>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</si>
  <si>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</si>
  <si>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</si>
  <si>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</si>
  <si>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</si>
  <si>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</si>
  <si>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</si>
  <si>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</si>
  <si>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</si>
  <si>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</si>
  <si>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</si>
  <si>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</si>
  <si>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</si>
  <si>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</si>
  <si>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</si>
  <si>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</si>
  <si>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</si>
  <si>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</si>
  <si>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</si>
  <si>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</si>
  <si>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</si>
  <si>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</si>
  <si>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</si>
  <si>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</si>
  <si>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</si>
  <si>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</si>
  <si>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</si>
  <si>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</si>
  <si>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</si>
  <si>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</si>
  <si>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</si>
  <si>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</si>
  <si>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</si>
  <si>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</si>
  <si>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</si>
  <si>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</si>
  <si>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</si>
  <si>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</si>
  <si>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</si>
  <si>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</si>
  <si>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</si>
  <si>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</si>
  <si>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</si>
  <si>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</si>
  <si>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</si>
  <si>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</si>
  <si>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</si>
  <si>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</si>
  <si>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</si>
  <si>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</si>
  <si>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</si>
  <si>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</si>
  <si>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</si>
  <si>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</si>
  <si>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</si>
  <si>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</si>
  <si>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</si>
  <si>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</si>
  <si>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</si>
  <si>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</si>
  <si>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</si>
  <si>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</si>
  <si>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</si>
  <si>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</si>
  <si>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</si>
  <si>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</si>
  <si>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</si>
  <si>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</si>
  <si>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</si>
  <si>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</si>
  <si>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</si>
  <si>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</si>
  <si>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</si>
  <si>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</si>
  <si>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</si>
  <si>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</si>
  <si>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</si>
  <si>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</si>
  <si>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</si>
  <si>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</si>
  <si>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</si>
  <si>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</si>
  <si>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</si>
  <si>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</si>
  <si>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</si>
  <si>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</si>
  <si>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</si>
  <si>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</si>
  <si>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</si>
  <si>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</si>
  <si>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</si>
  <si>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</si>
  <si>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</si>
  <si>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</si>
  <si>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</si>
  <si>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</si>
  <si>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</si>
  <si>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</si>
  <si>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</si>
  <si>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</si>
  <si>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</si>
  <si>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</si>
  <si>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</si>
  <si>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</si>
  <si>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</si>
  <si>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</si>
  <si>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</si>
  <si>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</si>
  <si>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</si>
  <si>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</si>
  <si>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</si>
  <si>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</si>
  <si>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</si>
  <si>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</si>
  <si>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</si>
  <si>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</si>
  <si>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</si>
  <si>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</si>
  <si>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</si>
  <si>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</si>
  <si>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</si>
  <si>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</si>
  <si>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</si>
  <si>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</si>
  <si>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</si>
  <si>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</si>
  <si>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</si>
  <si>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</si>
  <si>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</si>
  <si>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</si>
  <si>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</si>
  <si>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</si>
  <si>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</si>
  <si>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</si>
  <si>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</si>
  <si>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</si>
  <si>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</si>
  <si>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</si>
  <si>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</si>
  <si>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</si>
  <si>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</si>
  <si>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</si>
  <si>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</si>
  <si>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</si>
  <si>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</si>
  <si>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</si>
  <si>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</si>
  <si>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</si>
  <si>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</si>
  <si>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</si>
  <si>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</si>
  <si>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</si>
  <si>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</si>
  <si>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</si>
  <si>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</si>
  <si>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</si>
  <si>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</si>
  <si>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</si>
  <si>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</si>
  <si>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</si>
  <si>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</si>
  <si>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</si>
  <si>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</si>
  <si>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</si>
  <si>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</si>
  <si>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</si>
  <si>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</si>
  <si>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</si>
  <si>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</si>
  <si>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</si>
  <si>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</si>
  <si>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</si>
  <si>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</si>
  <si>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</si>
  <si>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</si>
  <si>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</si>
  <si>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</si>
  <si>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</si>
  <si>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</si>
  <si>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</si>
  <si>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</si>
  <si>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</si>
  <si>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</si>
  <si>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</si>
  <si>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</si>
  <si>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</si>
  <si>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</si>
  <si>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</si>
  <si>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</si>
  <si>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</si>
  <si>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</si>
  <si>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</si>
  <si>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</si>
  <si>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</si>
  <si>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</si>
  <si>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</si>
  <si>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</si>
  <si>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</si>
  <si>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</si>
  <si>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</si>
  <si>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</si>
  <si>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</si>
  <si>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</si>
  <si>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</si>
  <si>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</si>
  <si>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</si>
  <si>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</si>
  <si>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</si>
  <si>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</si>
  <si>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</si>
  <si>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</si>
  <si>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</si>
  <si>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</si>
  <si>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</si>
  <si>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</si>
  <si>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</si>
  <si>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</si>
  <si>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</si>
  <si>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</si>
  <si>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</si>
  <si>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</si>
  <si>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</si>
  <si>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</si>
  <si>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</si>
  <si>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</si>
  <si>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</si>
  <si>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</si>
  <si>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</si>
  <si>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</si>
  <si>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</si>
  <si>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</si>
  <si>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</si>
  <si>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</si>
  <si>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</si>
  <si>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</si>
  <si>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</si>
  <si>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</si>
  <si>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</si>
  <si>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</si>
  <si>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</si>
  <si>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</si>
  <si>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</si>
  <si>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</si>
  <si>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</si>
  <si>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</si>
  <si>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</si>
  <si>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</si>
  <si>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</si>
  <si>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</si>
  <si>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</si>
  <si>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</si>
  <si>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</si>
  <si>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</si>
  <si>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</si>
  <si>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</si>
  <si>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</si>
  <si>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</si>
  <si>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</si>
  <si>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</si>
  <si>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</si>
  <si>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</si>
  <si>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</si>
  <si>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</si>
  <si>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</si>
  <si>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</si>
  <si>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</si>
  <si>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</si>
  <si>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</si>
  <si>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</si>
  <si>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</si>
  <si>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</si>
  <si>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</si>
  <si>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</si>
  <si>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</si>
  <si>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</si>
  <si>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</si>
  <si>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</si>
  <si>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</si>
  <si>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</si>
  <si>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0813222</t>
  </si>
  <si>
    <t>3222</t>
  </si>
  <si>
    <t>1060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</si>
  <si>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</si>
  <si>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</si>
  <si>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</si>
  <si>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</si>
  <si>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</si>
  <si>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</si>
  <si>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</si>
  <si>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</si>
  <si>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</si>
  <si>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</si>
  <si>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</si>
  <si>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</si>
  <si>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</si>
  <si>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</si>
  <si>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</si>
  <si>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</si>
  <si>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</si>
  <si>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</si>
  <si>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</si>
  <si>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</si>
  <si>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</si>
  <si>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</si>
  <si>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</si>
  <si>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</si>
  <si>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</si>
  <si>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</si>
  <si>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</si>
  <si>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</si>
  <si>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</si>
  <si>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</si>
  <si>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</si>
  <si>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</si>
  <si>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</si>
  <si>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</si>
  <si>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</si>
  <si>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</si>
  <si>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</si>
  <si>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</si>
  <si>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</si>
  <si>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</si>
  <si>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</si>
  <si>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</si>
  <si>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</si>
  <si>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</si>
  <si>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</si>
  <si>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</si>
  <si>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</si>
  <si>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</si>
  <si>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</si>
  <si>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</si>
  <si>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</si>
  <si>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</si>
  <si>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</si>
  <si>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</si>
  <si>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</si>
  <si>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</si>
  <si>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</si>
  <si>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</si>
  <si>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</si>
  <si>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</si>
  <si>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</si>
  <si>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</si>
  <si>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</si>
  <si>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</si>
  <si>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</si>
  <si>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</si>
  <si>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</si>
  <si>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</si>
  <si>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</si>
  <si>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</si>
  <si>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</si>
  <si>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</si>
  <si>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</si>
  <si>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</si>
  <si>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</si>
  <si>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Заходи з енергозбереження, в т.ч.: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</si>
  <si>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</si>
  <si>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</si>
  <si>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Всього за рахунок коштів бюджету розвитку міського бюджету:</t>
  </si>
  <si>
    <t>тис. грн.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</si>
  <si>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</si>
  <si>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</si>
  <si>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4. Капітальні трансферти підприємствам (установам, організаціям)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</si>
  <si>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</si>
  <si>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та модернізація інженерних мереж ССШ №24</t>
  </si>
  <si>
    <t>Реконструкція-термомодернізація будівлі НВК ДНЗ №16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</si>
  <si>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</si>
  <si>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</si>
  <si>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Будівництво спортивного майданчику в парку ім. І. Кожедуба</t>
  </si>
  <si>
    <t>1217670</t>
  </si>
  <si>
    <t>КП «Сумижилкомсервіс» Сумської міської ради</t>
  </si>
  <si>
    <t xml:space="preserve">Інші заклади та заходи, в т.ч.: </t>
  </si>
  <si>
    <t>Сумський міський голова</t>
  </si>
  <si>
    <t>О.М. Лисенко</t>
  </si>
  <si>
    <t>Виконавець: Липова С.А.</t>
  </si>
  <si>
    <t>_________</t>
  </si>
  <si>
    <t xml:space="preserve">до рішення  Сумської міської ради «Про внесення змін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</si>
  <si>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</si>
  <si>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</si>
  <si>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</si>
  <si>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</si>
  <si>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від 28 листопада 2018 року  № 4131 - МР</t>
  </si>
  <si>
    <t xml:space="preserve">                                     Додаток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</si>
</sst>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  <numFmt numFmtId="222" formatCode="#,##0.000_ ;[Red]\-#,##0.000\ 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2"/>
      <color indexed="8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47" borderId="9" applyNumberFormat="0" applyAlignment="0" applyProtection="0"/>
    <xf numFmtId="0" fontId="10" fillId="48" borderId="10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6" fillId="3" borderId="0" applyNumberFormat="0" applyBorder="0" applyAlignment="0" applyProtection="0"/>
    <xf numFmtId="0" fontId="5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4" fillId="50" borderId="14" applyNumberFormat="0" applyAlignment="0" applyProtection="0"/>
    <xf numFmtId="0" fontId="18" fillId="0" borderId="15" applyNumberFormat="0" applyFill="0" applyAlignment="0" applyProtection="0"/>
    <xf numFmtId="0" fontId="55" fillId="54" borderId="0" applyNumberFormat="0" applyBorder="0" applyAlignment="0" applyProtection="0"/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8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200" fontId="28" fillId="0" borderId="16" xfId="0" applyNumberFormat="1" applyFont="1" applyFill="1" applyBorder="1" applyAlignment="1">
      <alignment/>
    </xf>
    <xf numFmtId="200" fontId="29" fillId="0" borderId="16" xfId="0" applyNumberFormat="1" applyFont="1" applyFill="1" applyBorder="1" applyAlignment="1">
      <alignment/>
    </xf>
    <xf numFmtId="200" fontId="30" fillId="0" borderId="16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25" fillId="0" borderId="16" xfId="0" applyFont="1" applyFill="1" applyBorder="1" applyAlignment="1">
      <alignment horizontal="center"/>
    </xf>
    <xf numFmtId="200" fontId="28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/>
    </xf>
    <xf numFmtId="200" fontId="31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0" fillId="0" borderId="16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Border="1" applyAlignment="1">
      <alignment horizontal="center"/>
    </xf>
    <xf numFmtId="221" fontId="30" fillId="0" borderId="0" xfId="0" applyNumberFormat="1" applyFont="1" applyFill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221" fontId="25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200" fontId="30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221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>
      <alignment horizontal="left" vertical="center" wrapText="1"/>
    </xf>
    <xf numFmtId="221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221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30" fillId="0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200" fontId="29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right" vertical="center"/>
    </xf>
    <xf numFmtId="221" fontId="31" fillId="0" borderId="16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justify" vertical="center"/>
    </xf>
    <xf numFmtId="4" fontId="30" fillId="0" borderId="16" xfId="0" applyNumberFormat="1" applyFont="1" applyFill="1" applyBorder="1" applyAlignment="1">
      <alignment horizontal="center" vertical="center"/>
    </xf>
    <xf numFmtId="221" fontId="30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justify" vertical="center"/>
    </xf>
    <xf numFmtId="4" fontId="29" fillId="0" borderId="16" xfId="0" applyNumberFormat="1" applyFont="1" applyFill="1" applyBorder="1" applyAlignment="1">
      <alignment horizontal="center" vertical="center"/>
    </xf>
    <xf numFmtId="221" fontId="29" fillId="0" borderId="16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4" fontId="28" fillId="0" borderId="16" xfId="0" applyNumberFormat="1" applyFont="1" applyFill="1" applyBorder="1" applyAlignment="1">
      <alignment horizontal="center" vertical="center"/>
    </xf>
    <xf numFmtId="221" fontId="28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3" fontId="30" fillId="0" borderId="16" xfId="0" applyNumberFormat="1" applyFont="1" applyFill="1" applyBorder="1" applyAlignment="1">
      <alignment horizontal="center" vertical="center"/>
    </xf>
    <xf numFmtId="203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/>
    </xf>
    <xf numFmtId="200" fontId="30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200" fontId="30" fillId="0" borderId="16" xfId="95" applyNumberFormat="1" applyFont="1" applyFill="1" applyBorder="1" applyAlignment="1">
      <alignment horizontal="center" vertical="center"/>
      <protection/>
    </xf>
    <xf numFmtId="4" fontId="30" fillId="0" borderId="16" xfId="95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/>
    </xf>
    <xf numFmtId="0" fontId="31" fillId="0" borderId="16" xfId="0" applyFont="1" applyFill="1" applyBorder="1" applyAlignment="1">
      <alignment wrapText="1"/>
    </xf>
    <xf numFmtId="0" fontId="30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221" fontId="28" fillId="0" borderId="16" xfId="0" applyNumberFormat="1" applyFont="1" applyFill="1" applyBorder="1" applyAlignment="1">
      <alignment horizontal="right" vertical="center" wrapText="1"/>
    </xf>
    <xf numFmtId="200" fontId="28" fillId="0" borderId="16" xfId="0" applyNumberFormat="1" applyFont="1" applyFill="1" applyBorder="1" applyAlignment="1">
      <alignment horizontal="right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/>
    </xf>
    <xf numFmtId="3" fontId="28" fillId="0" borderId="16" xfId="0" applyNumberFormat="1" applyFont="1" applyFill="1" applyBorder="1" applyAlignment="1">
      <alignment horizontal="center" vertical="center"/>
    </xf>
    <xf numFmtId="200" fontId="28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vertical="center"/>
    </xf>
    <xf numFmtId="221" fontId="30" fillId="0" borderId="16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 applyProtection="1">
      <alignment horizontal="center"/>
      <protection/>
    </xf>
    <xf numFmtId="0" fontId="30" fillId="0" borderId="16" xfId="0" applyNumberFormat="1" applyFont="1" applyFill="1" applyBorder="1" applyAlignment="1" applyProtection="1">
      <alignment horizontal="center"/>
      <protection/>
    </xf>
    <xf numFmtId="0" fontId="30" fillId="0" borderId="16" xfId="0" applyNumberFormat="1" applyFont="1" applyFill="1" applyBorder="1" applyAlignment="1" applyProtection="1">
      <alignment/>
      <protection/>
    </xf>
    <xf numFmtId="0" fontId="30" fillId="0" borderId="16" xfId="0" applyFont="1" applyFill="1" applyBorder="1" applyAlignment="1">
      <alignment horizontal="right"/>
    </xf>
    <xf numFmtId="0" fontId="30" fillId="0" borderId="16" xfId="0" applyFont="1" applyFill="1" applyBorder="1" applyAlignment="1">
      <alignment/>
    </xf>
    <xf numFmtId="221" fontId="30" fillId="0" borderId="16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221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 vertical="top"/>
    </xf>
    <xf numFmtId="1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textRotation="180"/>
    </xf>
    <xf numFmtId="0" fontId="26" fillId="0" borderId="0" xfId="0" applyNumberFormat="1" applyFont="1" applyFill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221" fontId="28" fillId="0" borderId="16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/>
      <protection/>
    </xf>
    <xf numFmtId="0" fontId="28" fillId="0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distributed" wrapText="1"/>
    </xf>
    <xf numFmtId="0" fontId="30" fillId="0" borderId="0" xfId="0" applyNumberFormat="1" applyFont="1" applyFill="1" applyAlignment="1" applyProtection="1">
      <alignment horizontal="left"/>
      <protection/>
    </xf>
    <xf numFmtId="0" fontId="30" fillId="0" borderId="0" xfId="0" applyFont="1" applyFill="1" applyAlignment="1">
      <alignment horizontal="center"/>
    </xf>
    <xf numFmtId="49" fontId="26" fillId="0" borderId="0" xfId="0" applyNumberFormat="1" applyFont="1" applyFill="1" applyAlignment="1" applyProtection="1">
      <alignment horizontal="center"/>
      <protection/>
    </xf>
    <xf numFmtId="0" fontId="40" fillId="0" borderId="0" xfId="0" applyNumberFormat="1" applyFont="1" applyFill="1" applyAlignment="1" applyProtection="1">
      <alignment wrapText="1"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200" fontId="30" fillId="0" borderId="0" xfId="0" applyNumberFormat="1" applyFont="1" applyFill="1" applyBorder="1" applyAlignment="1">
      <alignment horizontal="center" vertical="center" wrapText="1"/>
    </xf>
    <xf numFmtId="221" fontId="30" fillId="0" borderId="0" xfId="0" applyNumberFormat="1" applyFont="1" applyFill="1" applyBorder="1" applyAlignment="1">
      <alignment/>
    </xf>
    <xf numFmtId="200" fontId="29" fillId="0" borderId="0" xfId="0" applyNumberFormat="1" applyFont="1" applyFill="1" applyBorder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2"/>
  <sheetViews>
    <sheetView showGridLines="0" showZeros="0" tabSelected="1" view="pageBreakPreview" zoomScale="50" zoomScaleNormal="70" zoomScaleSheetLayoutView="50" zoomScalePageLayoutView="0" workbookViewId="0" topLeftCell="D1">
      <selection activeCell="R10" sqref="R10"/>
    </sheetView>
  </sheetViews>
  <sheetFormatPr defaultColWidth="9.16015625" defaultRowHeight="12.75"/>
  <cols>
    <col min="1" max="1" width="21.33203125" style="16" hidden="1" customWidth="1"/>
    <col min="2" max="2" width="17" style="17" hidden="1" customWidth="1"/>
    <col min="3" max="3" width="19.33203125" style="17" hidden="1" customWidth="1"/>
    <col min="4" max="4" width="156.83203125" style="18" customWidth="1"/>
    <col min="5" max="5" width="145.66015625" style="18" hidden="1" customWidth="1"/>
    <col min="6" max="6" width="17.83203125" style="18" hidden="1" customWidth="1"/>
    <col min="7" max="8" width="32.5" style="18" customWidth="1"/>
    <col min="9" max="9" width="19.5" style="18" hidden="1" customWidth="1"/>
    <col min="10" max="10" width="32.5" style="18" customWidth="1"/>
    <col min="11" max="11" width="28" style="115" hidden="1" customWidth="1"/>
    <col min="12" max="12" width="35" style="13" hidden="1" customWidth="1"/>
    <col min="13" max="13" width="39" style="116" hidden="1" customWidth="1"/>
    <col min="14" max="14" width="32.5" style="13" customWidth="1"/>
    <col min="15" max="16384" width="9.16015625" style="13" customWidth="1"/>
  </cols>
  <sheetData>
    <row r="1" spans="7:14" ht="27.75">
      <c r="G1" s="126" t="s">
        <v>491</v>
      </c>
      <c r="H1" s="126"/>
      <c r="I1" s="126"/>
      <c r="J1" s="126"/>
      <c r="K1" s="126"/>
      <c r="L1" s="126"/>
      <c r="M1" s="126"/>
      <c r="N1" s="126"/>
    </row>
    <row r="2" spans="7:14" ht="27.75">
      <c r="G2" s="126" t="s">
        <v>485</v>
      </c>
      <c r="H2" s="126"/>
      <c r="I2" s="126"/>
      <c r="J2" s="126"/>
      <c r="K2" s="126"/>
      <c r="L2" s="126"/>
      <c r="M2" s="126"/>
      <c r="N2" s="126"/>
    </row>
    <row r="3" spans="7:14" ht="27.75">
      <c r="G3" s="126" t="s">
        <v>486</v>
      </c>
      <c r="H3" s="126"/>
      <c r="I3" s="126"/>
      <c r="J3" s="126"/>
      <c r="K3" s="126"/>
      <c r="L3" s="126"/>
      <c r="M3" s="126"/>
      <c r="N3" s="126"/>
    </row>
    <row r="4" spans="7:14" ht="27.75">
      <c r="G4" s="126" t="s">
        <v>487</v>
      </c>
      <c r="H4" s="126"/>
      <c r="I4" s="126"/>
      <c r="J4" s="126"/>
      <c r="K4" s="126"/>
      <c r="L4" s="126"/>
      <c r="M4" s="126"/>
      <c r="N4" s="126"/>
    </row>
    <row r="5" spans="7:14" ht="30" customHeight="1">
      <c r="G5" s="126" t="s">
        <v>488</v>
      </c>
      <c r="H5" s="126"/>
      <c r="I5" s="126"/>
      <c r="J5" s="126"/>
      <c r="K5" s="126"/>
      <c r="L5" s="126"/>
      <c r="M5" s="126"/>
      <c r="N5" s="126"/>
    </row>
    <row r="6" spans="7:14" ht="27.75">
      <c r="G6" s="126" t="s">
        <v>489</v>
      </c>
      <c r="H6" s="126"/>
      <c r="I6" s="126"/>
      <c r="J6" s="126"/>
      <c r="K6" s="126"/>
      <c r="L6" s="126"/>
      <c r="M6" s="126"/>
      <c r="N6" s="126"/>
    </row>
    <row r="7" spans="7:14" ht="27.75">
      <c r="G7" s="126" t="s">
        <v>490</v>
      </c>
      <c r="H7" s="126"/>
      <c r="I7" s="126"/>
      <c r="J7" s="126"/>
      <c r="K7" s="126"/>
      <c r="L7" s="126"/>
      <c r="M7" s="126"/>
      <c r="N7" s="126"/>
    </row>
    <row r="8" spans="8:14" ht="27.75">
      <c r="H8" s="20"/>
      <c r="I8" s="129"/>
      <c r="J8" s="129"/>
      <c r="K8" s="129"/>
      <c r="L8" s="129"/>
      <c r="M8" s="129"/>
      <c r="N8" s="7"/>
    </row>
    <row r="9" spans="4:14" ht="38.25" customHeight="1">
      <c r="D9" s="21"/>
      <c r="E9" s="21"/>
      <c r="F9" s="21"/>
      <c r="G9" s="21"/>
      <c r="H9" s="19"/>
      <c r="I9" s="129"/>
      <c r="J9" s="129"/>
      <c r="K9" s="129"/>
      <c r="L9" s="129"/>
      <c r="M9" s="129"/>
      <c r="N9" s="7"/>
    </row>
    <row r="10" spans="4:14" ht="38.25" customHeight="1">
      <c r="D10" s="127" t="s">
        <v>475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s="7" customFormat="1" ht="45" customHeight="1">
      <c r="A11" s="6"/>
      <c r="B11" s="6"/>
      <c r="C11" s="6"/>
      <c r="D11" s="128" t="s">
        <v>476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4:14" ht="20.25">
      <c r="D12" s="22"/>
      <c r="E12" s="22"/>
      <c r="F12" s="22"/>
      <c r="G12" s="22"/>
      <c r="H12" s="22"/>
      <c r="I12" s="22"/>
      <c r="J12" s="22"/>
      <c r="K12" s="22"/>
      <c r="M12" s="23"/>
      <c r="N12" s="8" t="s">
        <v>468</v>
      </c>
    </row>
    <row r="13" spans="1:14" s="25" customFormat="1" ht="42.75" customHeight="1">
      <c r="A13" s="132" t="s">
        <v>47</v>
      </c>
      <c r="B13" s="124" t="s">
        <v>48</v>
      </c>
      <c r="C13" s="124" t="s">
        <v>24</v>
      </c>
      <c r="D13" s="124" t="s">
        <v>463</v>
      </c>
      <c r="E13" s="130" t="s">
        <v>166</v>
      </c>
      <c r="F13" s="124" t="s">
        <v>167</v>
      </c>
      <c r="G13" s="124" t="s">
        <v>167</v>
      </c>
      <c r="H13" s="124" t="s">
        <v>168</v>
      </c>
      <c r="I13" s="124" t="s">
        <v>169</v>
      </c>
      <c r="J13" s="124" t="s">
        <v>169</v>
      </c>
      <c r="K13" s="124" t="s">
        <v>170</v>
      </c>
      <c r="L13" s="130" t="s">
        <v>208</v>
      </c>
      <c r="M13" s="125" t="s">
        <v>209</v>
      </c>
      <c r="N13" s="124" t="s">
        <v>170</v>
      </c>
    </row>
    <row r="14" spans="1:14" s="25" customFormat="1" ht="42" customHeight="1">
      <c r="A14" s="132"/>
      <c r="B14" s="124"/>
      <c r="C14" s="124"/>
      <c r="D14" s="124"/>
      <c r="E14" s="130"/>
      <c r="F14" s="124"/>
      <c r="G14" s="124"/>
      <c r="H14" s="124"/>
      <c r="I14" s="124"/>
      <c r="J14" s="124"/>
      <c r="K14" s="124"/>
      <c r="L14" s="130"/>
      <c r="M14" s="125"/>
      <c r="N14" s="124"/>
    </row>
    <row r="15" spans="1:14" s="25" customFormat="1" ht="53.25" customHeight="1">
      <c r="A15" s="132"/>
      <c r="B15" s="124"/>
      <c r="C15" s="124"/>
      <c r="D15" s="124"/>
      <c r="E15" s="130"/>
      <c r="F15" s="124"/>
      <c r="G15" s="124"/>
      <c r="H15" s="124"/>
      <c r="I15" s="124"/>
      <c r="J15" s="124"/>
      <c r="K15" s="124"/>
      <c r="L15" s="130"/>
      <c r="M15" s="125"/>
      <c r="N15" s="124"/>
    </row>
    <row r="16" spans="1:14" s="29" customFormat="1" ht="15.75" customHeight="1">
      <c r="A16" s="26"/>
      <c r="B16" s="27"/>
      <c r="C16" s="27"/>
      <c r="D16" s="27">
        <v>1</v>
      </c>
      <c r="E16" s="27"/>
      <c r="F16" s="27"/>
      <c r="G16" s="27">
        <v>2</v>
      </c>
      <c r="H16" s="27">
        <v>3</v>
      </c>
      <c r="I16" s="27"/>
      <c r="J16" s="27">
        <v>4</v>
      </c>
      <c r="K16" s="27"/>
      <c r="L16" s="9"/>
      <c r="M16" s="28"/>
      <c r="N16" s="9">
        <v>5</v>
      </c>
    </row>
    <row r="17" spans="1:14" s="35" customFormat="1" ht="33.75" customHeight="1">
      <c r="A17" s="30" t="s">
        <v>73</v>
      </c>
      <c r="B17" s="30"/>
      <c r="C17" s="30"/>
      <c r="D17" s="31" t="s">
        <v>17</v>
      </c>
      <c r="E17" s="31"/>
      <c r="F17" s="31"/>
      <c r="G17" s="32">
        <f>ROUND(F17/1000,1)</f>
        <v>0</v>
      </c>
      <c r="H17" s="31"/>
      <c r="I17" s="31"/>
      <c r="J17" s="32">
        <f>ROUND(I17/1000,1)</f>
        <v>0</v>
      </c>
      <c r="K17" s="33">
        <f>K18+K19+K22+K26+K29+K34+K32+K24+K21+K33+K36+K39+K37+K38</f>
        <v>50069724</v>
      </c>
      <c r="L17" s="33">
        <f>L18+L19+L22+L26+L29+L34+L32+L24+L21+L33+L36+L39+L37+L38</f>
        <v>390000</v>
      </c>
      <c r="M17" s="34">
        <f>M18+M19+M22+M26+M29+M34+M32+M24+M21+M33+M36+M39+M37+M38</f>
        <v>50459724</v>
      </c>
      <c r="N17" s="10">
        <f>N18+N19+N22+N26+N29+N34+N32+N24+N21+N33+N36+N39+N37+N38</f>
        <v>50659.70000000001</v>
      </c>
    </row>
    <row r="18" spans="1:14" s="39" customFormat="1" ht="48" customHeight="1">
      <c r="A18" s="36" t="s">
        <v>74</v>
      </c>
      <c r="B18" s="36" t="s">
        <v>55</v>
      </c>
      <c r="C18" s="36" t="s">
        <v>23</v>
      </c>
      <c r="D18" s="37" t="s">
        <v>56</v>
      </c>
      <c r="E18" s="37"/>
      <c r="F18" s="37"/>
      <c r="G18" s="32">
        <f aca="true" t="shared" si="0" ref="G18:G81">ROUND(F18/1000,1)</f>
        <v>0</v>
      </c>
      <c r="H18" s="37"/>
      <c r="I18" s="37"/>
      <c r="J18" s="32">
        <f aca="true" t="shared" si="1" ref="J18:J81">ROUND(I18/1000,1)</f>
        <v>0</v>
      </c>
      <c r="K18" s="15">
        <f>4000000-1295000+302014+31200+180000</f>
        <v>3218214</v>
      </c>
      <c r="L18" s="15"/>
      <c r="M18" s="38">
        <f>L18+K18</f>
        <v>3218214</v>
      </c>
      <c r="N18" s="5">
        <f aca="true" t="shared" si="2" ref="N18:N80">ROUND(M18/1000,1)</f>
        <v>3218.2</v>
      </c>
    </row>
    <row r="19" spans="1:14" s="39" customFormat="1" ht="33" customHeight="1">
      <c r="A19" s="36" t="s">
        <v>75</v>
      </c>
      <c r="B19" s="36" t="s">
        <v>59</v>
      </c>
      <c r="C19" s="36"/>
      <c r="D19" s="37" t="s">
        <v>425</v>
      </c>
      <c r="E19" s="37"/>
      <c r="F19" s="37"/>
      <c r="G19" s="32">
        <f t="shared" si="0"/>
        <v>0</v>
      </c>
      <c r="H19" s="37"/>
      <c r="I19" s="37"/>
      <c r="J19" s="32">
        <f t="shared" si="1"/>
        <v>0</v>
      </c>
      <c r="K19" s="15">
        <f>K20</f>
        <v>790500</v>
      </c>
      <c r="L19" s="15">
        <f>L20</f>
        <v>0</v>
      </c>
      <c r="M19" s="38">
        <f>M20</f>
        <v>790500</v>
      </c>
      <c r="N19" s="5">
        <f>N20</f>
        <v>790.5</v>
      </c>
    </row>
    <row r="20" spans="1:14" s="45" customFormat="1" ht="36.75" customHeight="1">
      <c r="A20" s="40" t="s">
        <v>76</v>
      </c>
      <c r="B20" s="40" t="s">
        <v>60</v>
      </c>
      <c r="C20" s="40" t="s">
        <v>46</v>
      </c>
      <c r="D20" s="41" t="s">
        <v>61</v>
      </c>
      <c r="E20" s="42"/>
      <c r="F20" s="42"/>
      <c r="G20" s="32">
        <f t="shared" si="0"/>
        <v>0</v>
      </c>
      <c r="H20" s="42"/>
      <c r="I20" s="42"/>
      <c r="J20" s="32">
        <f t="shared" si="1"/>
        <v>0</v>
      </c>
      <c r="K20" s="43">
        <f>20500+385000+300000+85000</f>
        <v>790500</v>
      </c>
      <c r="L20" s="43"/>
      <c r="M20" s="44">
        <f>L20+K20</f>
        <v>790500</v>
      </c>
      <c r="N20" s="11">
        <f t="shared" si="2"/>
        <v>790.5</v>
      </c>
    </row>
    <row r="21" spans="1:14" s="47" customFormat="1" ht="45.75" customHeight="1">
      <c r="A21" s="36" t="s">
        <v>230</v>
      </c>
      <c r="B21" s="36" t="s">
        <v>231</v>
      </c>
      <c r="C21" s="36" t="s">
        <v>229</v>
      </c>
      <c r="D21" s="37" t="s">
        <v>228</v>
      </c>
      <c r="E21" s="46"/>
      <c r="F21" s="46"/>
      <c r="G21" s="32">
        <f t="shared" si="0"/>
        <v>0</v>
      </c>
      <c r="H21" s="46"/>
      <c r="I21" s="46"/>
      <c r="J21" s="32">
        <f t="shared" si="1"/>
        <v>0</v>
      </c>
      <c r="K21" s="15">
        <v>28500</v>
      </c>
      <c r="L21" s="15"/>
      <c r="M21" s="38">
        <f>L21+K21</f>
        <v>28500</v>
      </c>
      <c r="N21" s="5">
        <f t="shared" si="2"/>
        <v>28.5</v>
      </c>
    </row>
    <row r="22" spans="1:14" s="39" customFormat="1" ht="30.75" customHeight="1">
      <c r="A22" s="36" t="s">
        <v>77</v>
      </c>
      <c r="B22" s="36" t="s">
        <v>5</v>
      </c>
      <c r="C22" s="36"/>
      <c r="D22" s="37" t="s">
        <v>426</v>
      </c>
      <c r="E22" s="37"/>
      <c r="F22" s="37"/>
      <c r="G22" s="32">
        <f t="shared" si="0"/>
        <v>0</v>
      </c>
      <c r="H22" s="37"/>
      <c r="I22" s="37"/>
      <c r="J22" s="32">
        <f t="shared" si="1"/>
        <v>0</v>
      </c>
      <c r="K22" s="15">
        <f>K23</f>
        <v>20500</v>
      </c>
      <c r="L22" s="15">
        <f>L23</f>
        <v>0</v>
      </c>
      <c r="M22" s="38">
        <f>M23</f>
        <v>20500</v>
      </c>
      <c r="N22" s="5">
        <f>N23</f>
        <v>20.5</v>
      </c>
    </row>
    <row r="23" spans="1:14" s="48" customFormat="1" ht="35.25" customHeight="1">
      <c r="A23" s="40" t="s">
        <v>183</v>
      </c>
      <c r="B23" s="40" t="s">
        <v>184</v>
      </c>
      <c r="C23" s="40" t="s">
        <v>41</v>
      </c>
      <c r="D23" s="41" t="s">
        <v>185</v>
      </c>
      <c r="E23" s="41"/>
      <c r="F23" s="41"/>
      <c r="G23" s="32">
        <f t="shared" si="0"/>
        <v>0</v>
      </c>
      <c r="H23" s="41"/>
      <c r="I23" s="41"/>
      <c r="J23" s="32">
        <f t="shared" si="1"/>
        <v>0</v>
      </c>
      <c r="K23" s="43">
        <f>49000-28500</f>
        <v>20500</v>
      </c>
      <c r="L23" s="43"/>
      <c r="M23" s="44">
        <f>L23+K23</f>
        <v>20500</v>
      </c>
      <c r="N23" s="11">
        <f t="shared" si="2"/>
        <v>20.5</v>
      </c>
    </row>
    <row r="24" spans="1:14" s="39" customFormat="1" ht="28.5" customHeight="1">
      <c r="A24" s="36" t="s">
        <v>210</v>
      </c>
      <c r="B24" s="36" t="s">
        <v>212</v>
      </c>
      <c r="C24" s="36"/>
      <c r="D24" s="37" t="s">
        <v>427</v>
      </c>
      <c r="E24" s="37"/>
      <c r="F24" s="37"/>
      <c r="G24" s="32">
        <f t="shared" si="0"/>
        <v>0</v>
      </c>
      <c r="H24" s="37"/>
      <c r="I24" s="37"/>
      <c r="J24" s="32">
        <f t="shared" si="1"/>
        <v>0</v>
      </c>
      <c r="K24" s="15">
        <f>K25</f>
        <v>177000</v>
      </c>
      <c r="L24" s="15">
        <f>L25</f>
        <v>0</v>
      </c>
      <c r="M24" s="38">
        <f>M25</f>
        <v>177000</v>
      </c>
      <c r="N24" s="5">
        <f>N25</f>
        <v>177</v>
      </c>
    </row>
    <row r="25" spans="1:14" s="48" customFormat="1" ht="42" customHeight="1">
      <c r="A25" s="40" t="s">
        <v>211</v>
      </c>
      <c r="B25" s="40" t="s">
        <v>213</v>
      </c>
      <c r="C25" s="40" t="s">
        <v>42</v>
      </c>
      <c r="D25" s="41" t="s">
        <v>214</v>
      </c>
      <c r="E25" s="41"/>
      <c r="F25" s="41"/>
      <c r="G25" s="32">
        <f t="shared" si="0"/>
        <v>0</v>
      </c>
      <c r="H25" s="41"/>
      <c r="I25" s="41"/>
      <c r="J25" s="32">
        <f t="shared" si="1"/>
        <v>0</v>
      </c>
      <c r="K25" s="43">
        <v>177000</v>
      </c>
      <c r="L25" s="43"/>
      <c r="M25" s="44">
        <f>L25+K25</f>
        <v>177000</v>
      </c>
      <c r="N25" s="11">
        <f t="shared" si="2"/>
        <v>177</v>
      </c>
    </row>
    <row r="26" spans="1:14" s="39" customFormat="1" ht="29.25" customHeight="1">
      <c r="A26" s="49" t="s">
        <v>78</v>
      </c>
      <c r="B26" s="49" t="s">
        <v>52</v>
      </c>
      <c r="C26" s="49"/>
      <c r="D26" s="37" t="s">
        <v>428</v>
      </c>
      <c r="E26" s="37"/>
      <c r="F26" s="37"/>
      <c r="G26" s="32">
        <f t="shared" si="0"/>
        <v>0</v>
      </c>
      <c r="H26" s="37"/>
      <c r="I26" s="37"/>
      <c r="J26" s="32">
        <f t="shared" si="1"/>
        <v>0</v>
      </c>
      <c r="K26" s="15">
        <f>K27+K28</f>
        <v>370650</v>
      </c>
      <c r="L26" s="15">
        <f>L27+L28</f>
        <v>0</v>
      </c>
      <c r="M26" s="38">
        <f>M27+M28</f>
        <v>370650</v>
      </c>
      <c r="N26" s="5">
        <f>N27+N28</f>
        <v>370.6</v>
      </c>
    </row>
    <row r="27" spans="1:14" s="45" customFormat="1" ht="45" customHeight="1">
      <c r="A27" s="50" t="s">
        <v>79</v>
      </c>
      <c r="B27" s="50" t="s">
        <v>53</v>
      </c>
      <c r="C27" s="50" t="s">
        <v>42</v>
      </c>
      <c r="D27" s="41" t="s">
        <v>6</v>
      </c>
      <c r="E27" s="42"/>
      <c r="F27" s="42"/>
      <c r="G27" s="32">
        <f t="shared" si="0"/>
        <v>0</v>
      </c>
      <c r="H27" s="42"/>
      <c r="I27" s="42"/>
      <c r="J27" s="32">
        <f t="shared" si="1"/>
        <v>0</v>
      </c>
      <c r="K27" s="43">
        <f>200000+25000+75000</f>
        <v>300000</v>
      </c>
      <c r="L27" s="43"/>
      <c r="M27" s="44">
        <f>L27+K27</f>
        <v>300000</v>
      </c>
      <c r="N27" s="11">
        <f t="shared" si="2"/>
        <v>300</v>
      </c>
    </row>
    <row r="28" spans="1:14" s="45" customFormat="1" ht="45.75" customHeight="1">
      <c r="A28" s="50" t="s">
        <v>349</v>
      </c>
      <c r="B28" s="50" t="s">
        <v>350</v>
      </c>
      <c r="C28" s="50" t="s">
        <v>42</v>
      </c>
      <c r="D28" s="41" t="s">
        <v>351</v>
      </c>
      <c r="E28" s="42"/>
      <c r="F28" s="42"/>
      <c r="G28" s="32">
        <f t="shared" si="0"/>
        <v>0</v>
      </c>
      <c r="H28" s="42"/>
      <c r="I28" s="42"/>
      <c r="J28" s="32">
        <f t="shared" si="1"/>
        <v>0</v>
      </c>
      <c r="K28" s="43">
        <f>10000+45650+15000</f>
        <v>70650</v>
      </c>
      <c r="L28" s="43"/>
      <c r="M28" s="44">
        <f>L28+K28</f>
        <v>70650</v>
      </c>
      <c r="N28" s="11">
        <f>ROUND(M28/1000,1)-0.1</f>
        <v>70.60000000000001</v>
      </c>
    </row>
    <row r="29" spans="1:14" s="48" customFormat="1" ht="28.5" customHeight="1">
      <c r="A29" s="49" t="s">
        <v>80</v>
      </c>
      <c r="B29" s="49" t="s">
        <v>43</v>
      </c>
      <c r="C29" s="49"/>
      <c r="D29" s="37" t="s">
        <v>429</v>
      </c>
      <c r="E29" s="37"/>
      <c r="F29" s="37"/>
      <c r="G29" s="32">
        <f t="shared" si="0"/>
        <v>0</v>
      </c>
      <c r="H29" s="37"/>
      <c r="I29" s="37"/>
      <c r="J29" s="32">
        <f t="shared" si="1"/>
        <v>0</v>
      </c>
      <c r="K29" s="15">
        <f>K30+K31</f>
        <v>2943980</v>
      </c>
      <c r="L29" s="15">
        <f>L30+L31</f>
        <v>0</v>
      </c>
      <c r="M29" s="38">
        <f>M30+M31</f>
        <v>2943980</v>
      </c>
      <c r="N29" s="5">
        <f>N30+N31</f>
        <v>2944</v>
      </c>
    </row>
    <row r="30" spans="1:14" s="48" customFormat="1" ht="62.25" customHeight="1">
      <c r="A30" s="50" t="s">
        <v>81</v>
      </c>
      <c r="B30" s="50" t="s">
        <v>50</v>
      </c>
      <c r="C30" s="50" t="s">
        <v>42</v>
      </c>
      <c r="D30" s="41" t="s">
        <v>51</v>
      </c>
      <c r="E30" s="41"/>
      <c r="F30" s="41"/>
      <c r="G30" s="32">
        <f t="shared" si="0"/>
        <v>0</v>
      </c>
      <c r="H30" s="41"/>
      <c r="I30" s="41"/>
      <c r="J30" s="32">
        <f t="shared" si="1"/>
        <v>0</v>
      </c>
      <c r="K30" s="43">
        <f>20000+2900000</f>
        <v>2920000</v>
      </c>
      <c r="L30" s="43"/>
      <c r="M30" s="44">
        <f>L30+K30</f>
        <v>2920000</v>
      </c>
      <c r="N30" s="11">
        <f t="shared" si="2"/>
        <v>2920</v>
      </c>
    </row>
    <row r="31" spans="1:14" s="48" customFormat="1" ht="47.25" customHeight="1">
      <c r="A31" s="50" t="s">
        <v>369</v>
      </c>
      <c r="B31" s="50" t="s">
        <v>370</v>
      </c>
      <c r="C31" s="50" t="s">
        <v>42</v>
      </c>
      <c r="D31" s="41" t="s">
        <v>371</v>
      </c>
      <c r="E31" s="41"/>
      <c r="F31" s="41"/>
      <c r="G31" s="32">
        <f t="shared" si="0"/>
        <v>0</v>
      </c>
      <c r="H31" s="41"/>
      <c r="I31" s="41"/>
      <c r="J31" s="32">
        <f t="shared" si="1"/>
        <v>0</v>
      </c>
      <c r="K31" s="43">
        <f>20000+3980</f>
        <v>23980</v>
      </c>
      <c r="L31" s="43"/>
      <c r="M31" s="44">
        <f>L31+K31</f>
        <v>23980</v>
      </c>
      <c r="N31" s="11">
        <f t="shared" si="2"/>
        <v>24</v>
      </c>
    </row>
    <row r="32" spans="1:14" s="39" customFormat="1" ht="26.25" customHeight="1">
      <c r="A32" s="49" t="s">
        <v>194</v>
      </c>
      <c r="B32" s="49" t="s">
        <v>195</v>
      </c>
      <c r="C32" s="49" t="s">
        <v>197</v>
      </c>
      <c r="D32" s="37" t="s">
        <v>196</v>
      </c>
      <c r="E32" s="37"/>
      <c r="F32" s="37"/>
      <c r="G32" s="32">
        <f t="shared" si="0"/>
        <v>0</v>
      </c>
      <c r="H32" s="37"/>
      <c r="I32" s="37"/>
      <c r="J32" s="32">
        <f t="shared" si="1"/>
        <v>0</v>
      </c>
      <c r="K32" s="15">
        <f>4897000+3385000-900000+729000</f>
        <v>8111000</v>
      </c>
      <c r="L32" s="15">
        <v>390000</v>
      </c>
      <c r="M32" s="38">
        <f aca="true" t="shared" si="3" ref="M32:M39">L32+K32</f>
        <v>8501000</v>
      </c>
      <c r="N32" s="5">
        <f t="shared" si="2"/>
        <v>8501</v>
      </c>
    </row>
    <row r="33" spans="1:14" s="39" customFormat="1" ht="30.75" customHeight="1">
      <c r="A33" s="49" t="s">
        <v>235</v>
      </c>
      <c r="B33" s="49" t="s">
        <v>236</v>
      </c>
      <c r="C33" s="49" t="s">
        <v>238</v>
      </c>
      <c r="D33" s="51" t="s">
        <v>237</v>
      </c>
      <c r="E33" s="37"/>
      <c r="F33" s="37"/>
      <c r="G33" s="32">
        <f t="shared" si="0"/>
        <v>0</v>
      </c>
      <c r="H33" s="37"/>
      <c r="I33" s="37"/>
      <c r="J33" s="32">
        <f t="shared" si="1"/>
        <v>0</v>
      </c>
      <c r="K33" s="15">
        <v>16800</v>
      </c>
      <c r="L33" s="15"/>
      <c r="M33" s="38">
        <f t="shared" si="3"/>
        <v>16800</v>
      </c>
      <c r="N33" s="5">
        <f t="shared" si="2"/>
        <v>16.8</v>
      </c>
    </row>
    <row r="34" spans="1:14" s="48" customFormat="1" ht="30.75" customHeight="1">
      <c r="A34" s="49" t="s">
        <v>82</v>
      </c>
      <c r="B34" s="49" t="s">
        <v>2</v>
      </c>
      <c r="C34" s="49" t="s">
        <v>44</v>
      </c>
      <c r="D34" s="37" t="s">
        <v>430</v>
      </c>
      <c r="E34" s="37" t="s">
        <v>178</v>
      </c>
      <c r="F34" s="37"/>
      <c r="G34" s="32">
        <f t="shared" si="0"/>
        <v>0</v>
      </c>
      <c r="H34" s="37"/>
      <c r="I34" s="37"/>
      <c r="J34" s="32">
        <f t="shared" si="1"/>
        <v>0</v>
      </c>
      <c r="K34" s="15">
        <f>4220000+24220000+800000-380000</f>
        <v>28860000</v>
      </c>
      <c r="L34" s="15"/>
      <c r="M34" s="38">
        <f t="shared" si="3"/>
        <v>28860000</v>
      </c>
      <c r="N34" s="5">
        <f t="shared" si="2"/>
        <v>28860</v>
      </c>
    </row>
    <row r="35" spans="1:14" s="48" customFormat="1" ht="29.25" customHeight="1">
      <c r="A35" s="50"/>
      <c r="B35" s="50"/>
      <c r="C35" s="50"/>
      <c r="D35" s="41" t="s">
        <v>178</v>
      </c>
      <c r="E35" s="41"/>
      <c r="F35" s="41"/>
      <c r="G35" s="52">
        <f t="shared" si="0"/>
        <v>0</v>
      </c>
      <c r="H35" s="41"/>
      <c r="I35" s="41"/>
      <c r="J35" s="52">
        <f t="shared" si="1"/>
        <v>0</v>
      </c>
      <c r="K35" s="43">
        <f>K34</f>
        <v>28860000</v>
      </c>
      <c r="L35" s="43"/>
      <c r="M35" s="44">
        <f t="shared" si="3"/>
        <v>28860000</v>
      </c>
      <c r="N35" s="11">
        <f t="shared" si="2"/>
        <v>28860</v>
      </c>
    </row>
    <row r="36" spans="1:14" s="48" customFormat="1" ht="39" customHeight="1">
      <c r="A36" s="49" t="s">
        <v>239</v>
      </c>
      <c r="B36" s="49" t="s">
        <v>240</v>
      </c>
      <c r="C36" s="49" t="s">
        <v>241</v>
      </c>
      <c r="D36" s="51" t="s">
        <v>242</v>
      </c>
      <c r="E36" s="37"/>
      <c r="F36" s="37"/>
      <c r="G36" s="32">
        <f t="shared" si="0"/>
        <v>0</v>
      </c>
      <c r="H36" s="37"/>
      <c r="I36" s="37"/>
      <c r="J36" s="32">
        <f t="shared" si="1"/>
        <v>0</v>
      </c>
      <c r="K36" s="15">
        <f>55900+180000</f>
        <v>235900</v>
      </c>
      <c r="L36" s="15"/>
      <c r="M36" s="38">
        <f t="shared" si="3"/>
        <v>235900</v>
      </c>
      <c r="N36" s="5">
        <f t="shared" si="2"/>
        <v>235.9</v>
      </c>
    </row>
    <row r="37" spans="1:14" s="48" customFormat="1" ht="24.75" customHeight="1">
      <c r="A37" s="49" t="s">
        <v>290</v>
      </c>
      <c r="B37" s="49" t="s">
        <v>293</v>
      </c>
      <c r="C37" s="49" t="s">
        <v>241</v>
      </c>
      <c r="D37" s="37" t="s">
        <v>292</v>
      </c>
      <c r="E37" s="37"/>
      <c r="F37" s="37"/>
      <c r="G37" s="32">
        <f t="shared" si="0"/>
        <v>0</v>
      </c>
      <c r="H37" s="37"/>
      <c r="I37" s="37"/>
      <c r="J37" s="32">
        <f t="shared" si="1"/>
        <v>0</v>
      </c>
      <c r="K37" s="15">
        <v>57900</v>
      </c>
      <c r="L37" s="15"/>
      <c r="M37" s="38">
        <f t="shared" si="3"/>
        <v>57900</v>
      </c>
      <c r="N37" s="5">
        <f t="shared" si="2"/>
        <v>57.9</v>
      </c>
    </row>
    <row r="38" spans="1:14" s="48" customFormat="1" ht="27" customHeight="1">
      <c r="A38" s="49" t="s">
        <v>302</v>
      </c>
      <c r="B38" s="49" t="s">
        <v>201</v>
      </c>
      <c r="C38" s="49" t="s">
        <v>22</v>
      </c>
      <c r="D38" s="37" t="s">
        <v>199</v>
      </c>
      <c r="E38" s="37"/>
      <c r="F38" s="37"/>
      <c r="G38" s="32">
        <f t="shared" si="0"/>
        <v>0</v>
      </c>
      <c r="H38" s="37"/>
      <c r="I38" s="37"/>
      <c r="J38" s="32">
        <f t="shared" si="1"/>
        <v>0</v>
      </c>
      <c r="K38" s="15">
        <v>344000</v>
      </c>
      <c r="L38" s="15"/>
      <c r="M38" s="38">
        <f t="shared" si="3"/>
        <v>344000</v>
      </c>
      <c r="N38" s="5">
        <f t="shared" si="2"/>
        <v>344</v>
      </c>
    </row>
    <row r="39" spans="1:14" s="48" customFormat="1" ht="47.25" customHeight="1">
      <c r="A39" s="49" t="s">
        <v>261</v>
      </c>
      <c r="B39" s="49" t="s">
        <v>250</v>
      </c>
      <c r="C39" s="49" t="s">
        <v>22</v>
      </c>
      <c r="D39" s="51" t="s">
        <v>260</v>
      </c>
      <c r="E39" s="37"/>
      <c r="F39" s="37"/>
      <c r="G39" s="32">
        <f t="shared" si="0"/>
        <v>0</v>
      </c>
      <c r="H39" s="37"/>
      <c r="I39" s="37"/>
      <c r="J39" s="32">
        <f t="shared" si="1"/>
        <v>0</v>
      </c>
      <c r="K39" s="15">
        <f>2563780+1000000+51000+900000+190000+190000</f>
        <v>4894780</v>
      </c>
      <c r="L39" s="15"/>
      <c r="M39" s="38">
        <f t="shared" si="3"/>
        <v>4894780</v>
      </c>
      <c r="N39" s="5">
        <f>ROUND(M39/1000,1)+200</f>
        <v>5094.8</v>
      </c>
    </row>
    <row r="40" spans="1:14" s="35" customFormat="1" ht="42" customHeight="1">
      <c r="A40" s="53" t="s">
        <v>83</v>
      </c>
      <c r="B40" s="53"/>
      <c r="C40" s="53"/>
      <c r="D40" s="54" t="s">
        <v>7</v>
      </c>
      <c r="E40" s="54"/>
      <c r="F40" s="54"/>
      <c r="G40" s="32">
        <f t="shared" si="0"/>
        <v>0</v>
      </c>
      <c r="H40" s="54"/>
      <c r="I40" s="54"/>
      <c r="J40" s="32">
        <f t="shared" si="1"/>
        <v>0</v>
      </c>
      <c r="K40" s="33">
        <f>K42+K43+K44+K46+K47+K51+K54+K59+K56+K60+K48+K50</f>
        <v>56844571.42</v>
      </c>
      <c r="L40" s="33">
        <f>L42+L43+L44+L46+L47+L51+L54+L59+L56+L60+L48+L50</f>
        <v>7692595</v>
      </c>
      <c r="M40" s="34">
        <f>M42+M43+M44+M46+M47+M51+M54+M59+M56+M60+M48+M50</f>
        <v>64537166.42</v>
      </c>
      <c r="N40" s="10">
        <f>N42+N43+N44+N46+N47+N51+N54+N59+N56+N60+N48+N50</f>
        <v>64537.299999999996</v>
      </c>
    </row>
    <row r="41" spans="1:14" s="59" customFormat="1" ht="23.25" customHeight="1">
      <c r="A41" s="55"/>
      <c r="B41" s="55"/>
      <c r="C41" s="55"/>
      <c r="D41" s="56" t="s">
        <v>397</v>
      </c>
      <c r="E41" s="56"/>
      <c r="F41" s="56"/>
      <c r="G41" s="32">
        <f t="shared" si="0"/>
        <v>0</v>
      </c>
      <c r="H41" s="56"/>
      <c r="I41" s="56"/>
      <c r="J41" s="32">
        <f t="shared" si="1"/>
        <v>0</v>
      </c>
      <c r="K41" s="57">
        <f>K45+K49+K53+K58</f>
        <v>18165095.78</v>
      </c>
      <c r="L41" s="57">
        <f>L45+L49+L53+L58</f>
        <v>8411000</v>
      </c>
      <c r="M41" s="58">
        <f>M45+M49+M53+M58</f>
        <v>26576095.78</v>
      </c>
      <c r="N41" s="12">
        <f>N45+N49+N53+N58</f>
        <v>26576.1</v>
      </c>
    </row>
    <row r="42" spans="1:14" s="39" customFormat="1" ht="53.25" customHeight="1">
      <c r="A42" s="36" t="s">
        <v>84</v>
      </c>
      <c r="B42" s="36" t="s">
        <v>55</v>
      </c>
      <c r="C42" s="36" t="s">
        <v>23</v>
      </c>
      <c r="D42" s="37" t="s">
        <v>56</v>
      </c>
      <c r="E42" s="37"/>
      <c r="F42" s="37"/>
      <c r="G42" s="32">
        <f t="shared" si="0"/>
        <v>0</v>
      </c>
      <c r="H42" s="37"/>
      <c r="I42" s="37"/>
      <c r="J42" s="32">
        <f t="shared" si="1"/>
        <v>0</v>
      </c>
      <c r="K42" s="15">
        <v>16000</v>
      </c>
      <c r="L42" s="15"/>
      <c r="M42" s="38">
        <f aca="true" t="shared" si="4" ref="M42:M50">L42+K42</f>
        <v>16000</v>
      </c>
      <c r="N42" s="5">
        <f t="shared" si="2"/>
        <v>16</v>
      </c>
    </row>
    <row r="43" spans="1:14" s="39" customFormat="1" ht="28.5" customHeight="1">
      <c r="A43" s="36" t="s">
        <v>85</v>
      </c>
      <c r="B43" s="36" t="s">
        <v>25</v>
      </c>
      <c r="C43" s="36" t="s">
        <v>26</v>
      </c>
      <c r="D43" s="37" t="s">
        <v>68</v>
      </c>
      <c r="E43" s="37"/>
      <c r="F43" s="37"/>
      <c r="G43" s="32">
        <f t="shared" si="0"/>
        <v>0</v>
      </c>
      <c r="H43" s="37"/>
      <c r="I43" s="37"/>
      <c r="J43" s="32">
        <f t="shared" si="1"/>
        <v>0</v>
      </c>
      <c r="K43" s="15">
        <f>3500000+40000+300269+455116.65+15000+8000+60000+670000-2286+75000</f>
        <v>5121099.65</v>
      </c>
      <c r="L43" s="15"/>
      <c r="M43" s="38">
        <f t="shared" si="4"/>
        <v>5121099.65</v>
      </c>
      <c r="N43" s="5">
        <f t="shared" si="2"/>
        <v>5121.1</v>
      </c>
    </row>
    <row r="44" spans="1:14" s="39" customFormat="1" ht="63.75" customHeight="1">
      <c r="A44" s="36" t="s">
        <v>86</v>
      </c>
      <c r="B44" s="36" t="s">
        <v>27</v>
      </c>
      <c r="C44" s="36" t="s">
        <v>28</v>
      </c>
      <c r="D44" s="37" t="s">
        <v>69</v>
      </c>
      <c r="E44" s="37"/>
      <c r="F44" s="37"/>
      <c r="G44" s="32">
        <f t="shared" si="0"/>
        <v>0</v>
      </c>
      <c r="H44" s="37"/>
      <c r="I44" s="37"/>
      <c r="J44" s="32">
        <f t="shared" si="1"/>
        <v>0</v>
      </c>
      <c r="K44" s="15">
        <f>17926422+272847-31407+104680</f>
        <v>18272542</v>
      </c>
      <c r="L44" s="15"/>
      <c r="M44" s="38">
        <f t="shared" si="4"/>
        <v>18272542</v>
      </c>
      <c r="N44" s="5">
        <f>ROUND(M44/1000,1)+0.1</f>
        <v>18272.6</v>
      </c>
    </row>
    <row r="45" spans="1:14" s="48" customFormat="1" ht="31.5" customHeight="1">
      <c r="A45" s="40"/>
      <c r="B45" s="40"/>
      <c r="C45" s="40"/>
      <c r="D45" s="41" t="s">
        <v>397</v>
      </c>
      <c r="E45" s="41"/>
      <c r="F45" s="41"/>
      <c r="G45" s="32">
        <f t="shared" si="0"/>
        <v>0</v>
      </c>
      <c r="H45" s="41"/>
      <c r="I45" s="41"/>
      <c r="J45" s="32">
        <f t="shared" si="1"/>
        <v>0</v>
      </c>
      <c r="K45" s="43">
        <v>1416542</v>
      </c>
      <c r="L45" s="43"/>
      <c r="M45" s="44">
        <f t="shared" si="4"/>
        <v>1416542</v>
      </c>
      <c r="N45" s="11">
        <f t="shared" si="2"/>
        <v>1416.5</v>
      </c>
    </row>
    <row r="46" spans="1:14" s="39" customFormat="1" ht="69.75" customHeight="1">
      <c r="A46" s="36" t="s">
        <v>117</v>
      </c>
      <c r="B46" s="36" t="s">
        <v>29</v>
      </c>
      <c r="C46" s="36" t="s">
        <v>30</v>
      </c>
      <c r="D46" s="37" t="s">
        <v>57</v>
      </c>
      <c r="E46" s="37"/>
      <c r="F46" s="37"/>
      <c r="G46" s="32">
        <f t="shared" si="0"/>
        <v>0</v>
      </c>
      <c r="H46" s="37"/>
      <c r="I46" s="37"/>
      <c r="J46" s="32">
        <f t="shared" si="1"/>
        <v>0</v>
      </c>
      <c r="K46" s="15">
        <v>103611</v>
      </c>
      <c r="L46" s="15"/>
      <c r="M46" s="38">
        <f t="shared" si="4"/>
        <v>103611</v>
      </c>
      <c r="N46" s="5">
        <f t="shared" si="2"/>
        <v>103.6</v>
      </c>
    </row>
    <row r="47" spans="1:14" s="39" customFormat="1" ht="42.75" customHeight="1">
      <c r="A47" s="36" t="s">
        <v>118</v>
      </c>
      <c r="B47" s="36" t="s">
        <v>31</v>
      </c>
      <c r="C47" s="36" t="s">
        <v>32</v>
      </c>
      <c r="D47" s="37" t="s">
        <v>70</v>
      </c>
      <c r="E47" s="37"/>
      <c r="F47" s="37"/>
      <c r="G47" s="32">
        <f t="shared" si="0"/>
        <v>0</v>
      </c>
      <c r="H47" s="37"/>
      <c r="I47" s="37"/>
      <c r="J47" s="32">
        <f t="shared" si="1"/>
        <v>0</v>
      </c>
      <c r="K47" s="15">
        <f>433709-50411-1623</f>
        <v>381675</v>
      </c>
      <c r="L47" s="15"/>
      <c r="M47" s="38">
        <f t="shared" si="4"/>
        <v>381675</v>
      </c>
      <c r="N47" s="5">
        <f t="shared" si="2"/>
        <v>381.7</v>
      </c>
    </row>
    <row r="48" spans="1:14" s="39" customFormat="1" ht="34.5" customHeight="1">
      <c r="A48" s="36" t="s">
        <v>318</v>
      </c>
      <c r="B48" s="36" t="s">
        <v>319</v>
      </c>
      <c r="C48" s="36" t="s">
        <v>321</v>
      </c>
      <c r="D48" s="37" t="s">
        <v>320</v>
      </c>
      <c r="E48" s="37"/>
      <c r="F48" s="37"/>
      <c r="G48" s="32">
        <f t="shared" si="0"/>
        <v>0</v>
      </c>
      <c r="H48" s="37"/>
      <c r="I48" s="37"/>
      <c r="J48" s="32">
        <f t="shared" si="1"/>
        <v>0</v>
      </c>
      <c r="K48" s="15">
        <f>2300000+2700000-370000+55000</f>
        <v>4685000</v>
      </c>
      <c r="L48" s="15"/>
      <c r="M48" s="38">
        <f t="shared" si="4"/>
        <v>4685000</v>
      </c>
      <c r="N48" s="5">
        <f t="shared" si="2"/>
        <v>4685</v>
      </c>
    </row>
    <row r="49" spans="1:14" s="48" customFormat="1" ht="24.75" customHeight="1">
      <c r="A49" s="40"/>
      <c r="B49" s="40"/>
      <c r="C49" s="40"/>
      <c r="D49" s="41" t="s">
        <v>397</v>
      </c>
      <c r="E49" s="41"/>
      <c r="F49" s="41"/>
      <c r="G49" s="32">
        <f t="shared" si="0"/>
        <v>0</v>
      </c>
      <c r="H49" s="41"/>
      <c r="I49" s="41"/>
      <c r="J49" s="32">
        <f t="shared" si="1"/>
        <v>0</v>
      </c>
      <c r="K49" s="43">
        <v>4630000</v>
      </c>
      <c r="L49" s="43"/>
      <c r="M49" s="44">
        <f t="shared" si="4"/>
        <v>4630000</v>
      </c>
      <c r="N49" s="11">
        <f t="shared" si="2"/>
        <v>4630</v>
      </c>
    </row>
    <row r="50" spans="1:14" s="39" customFormat="1" ht="26.25" customHeight="1">
      <c r="A50" s="36" t="s">
        <v>344</v>
      </c>
      <c r="B50" s="36" t="s">
        <v>345</v>
      </c>
      <c r="C50" s="36" t="s">
        <v>34</v>
      </c>
      <c r="D50" s="51" t="s">
        <v>343</v>
      </c>
      <c r="E50" s="37"/>
      <c r="F50" s="37"/>
      <c r="G50" s="32">
        <f t="shared" si="0"/>
        <v>0</v>
      </c>
      <c r="H50" s="37"/>
      <c r="I50" s="37"/>
      <c r="J50" s="32">
        <f t="shared" si="1"/>
        <v>0</v>
      </c>
      <c r="K50" s="15">
        <v>13000</v>
      </c>
      <c r="L50" s="15"/>
      <c r="M50" s="38">
        <f t="shared" si="4"/>
        <v>13000</v>
      </c>
      <c r="N50" s="5">
        <f t="shared" si="2"/>
        <v>13</v>
      </c>
    </row>
    <row r="51" spans="1:14" s="39" customFormat="1" ht="33" customHeight="1">
      <c r="A51" s="36" t="s">
        <v>119</v>
      </c>
      <c r="B51" s="36" t="s">
        <v>120</v>
      </c>
      <c r="C51" s="36"/>
      <c r="D51" s="37" t="s">
        <v>431</v>
      </c>
      <c r="E51" s="37"/>
      <c r="F51" s="37"/>
      <c r="G51" s="32">
        <f t="shared" si="0"/>
        <v>0</v>
      </c>
      <c r="H51" s="37"/>
      <c r="I51" s="37"/>
      <c r="J51" s="32">
        <f t="shared" si="1"/>
        <v>0</v>
      </c>
      <c r="K51" s="15">
        <f>K52</f>
        <v>349361</v>
      </c>
      <c r="L51" s="15">
        <f>L52</f>
        <v>0</v>
      </c>
      <c r="M51" s="38">
        <f>M52</f>
        <v>349361</v>
      </c>
      <c r="N51" s="5">
        <f>N52</f>
        <v>349.4</v>
      </c>
    </row>
    <row r="52" spans="1:14" s="48" customFormat="1" ht="29.25" customHeight="1">
      <c r="A52" s="40" t="s">
        <v>186</v>
      </c>
      <c r="B52" s="40" t="s">
        <v>187</v>
      </c>
      <c r="C52" s="40" t="s">
        <v>34</v>
      </c>
      <c r="D52" s="60" t="s">
        <v>188</v>
      </c>
      <c r="E52" s="41"/>
      <c r="F52" s="41"/>
      <c r="G52" s="32">
        <f t="shared" si="0"/>
        <v>0</v>
      </c>
      <c r="H52" s="41"/>
      <c r="I52" s="41"/>
      <c r="J52" s="32">
        <f t="shared" si="1"/>
        <v>0</v>
      </c>
      <c r="K52" s="43">
        <f>337950+11411</f>
        <v>349361</v>
      </c>
      <c r="L52" s="43"/>
      <c r="M52" s="44">
        <f>L52+K52</f>
        <v>349361</v>
      </c>
      <c r="N52" s="11">
        <f t="shared" si="2"/>
        <v>349.4</v>
      </c>
    </row>
    <row r="53" spans="1:14" s="48" customFormat="1" ht="25.5" customHeight="1">
      <c r="A53" s="40"/>
      <c r="B53" s="40"/>
      <c r="C53" s="40"/>
      <c r="D53" s="41" t="s">
        <v>397</v>
      </c>
      <c r="E53" s="41"/>
      <c r="F53" s="41"/>
      <c r="G53" s="32">
        <f t="shared" si="0"/>
        <v>0</v>
      </c>
      <c r="H53" s="41"/>
      <c r="I53" s="41"/>
      <c r="J53" s="32">
        <f t="shared" si="1"/>
        <v>0</v>
      </c>
      <c r="K53" s="43">
        <v>107950</v>
      </c>
      <c r="L53" s="43"/>
      <c r="M53" s="44">
        <f>L53+K53</f>
        <v>107950</v>
      </c>
      <c r="N53" s="11">
        <f t="shared" si="2"/>
        <v>108</v>
      </c>
    </row>
    <row r="54" spans="1:14" s="39" customFormat="1" ht="30" customHeight="1">
      <c r="A54" s="36" t="s">
        <v>87</v>
      </c>
      <c r="B54" s="36" t="s">
        <v>52</v>
      </c>
      <c r="C54" s="36"/>
      <c r="D54" s="51" t="s">
        <v>428</v>
      </c>
      <c r="E54" s="51"/>
      <c r="F54" s="51"/>
      <c r="G54" s="32">
        <f t="shared" si="0"/>
        <v>0</v>
      </c>
      <c r="H54" s="51"/>
      <c r="I54" s="51"/>
      <c r="J54" s="32">
        <f t="shared" si="1"/>
        <v>0</v>
      </c>
      <c r="K54" s="15">
        <f>K55</f>
        <v>95129</v>
      </c>
      <c r="L54" s="15">
        <f>L55</f>
        <v>0</v>
      </c>
      <c r="M54" s="38">
        <f>M55</f>
        <v>95129</v>
      </c>
      <c r="N54" s="5">
        <f>N55</f>
        <v>95.1</v>
      </c>
    </row>
    <row r="55" spans="1:14" s="48" customFormat="1" ht="41.25" customHeight="1">
      <c r="A55" s="40" t="s">
        <v>88</v>
      </c>
      <c r="B55" s="40" t="s">
        <v>53</v>
      </c>
      <c r="C55" s="40" t="s">
        <v>42</v>
      </c>
      <c r="D55" s="60" t="s">
        <v>6</v>
      </c>
      <c r="E55" s="60"/>
      <c r="F55" s="60"/>
      <c r="G55" s="32">
        <f t="shared" si="0"/>
        <v>0</v>
      </c>
      <c r="H55" s="60"/>
      <c r="I55" s="60"/>
      <c r="J55" s="32">
        <f t="shared" si="1"/>
        <v>0</v>
      </c>
      <c r="K55" s="43">
        <f>100000-4871</f>
        <v>95129</v>
      </c>
      <c r="L55" s="43"/>
      <c r="M55" s="44">
        <f>L55+K55</f>
        <v>95129</v>
      </c>
      <c r="N55" s="11">
        <f t="shared" si="2"/>
        <v>95.1</v>
      </c>
    </row>
    <row r="56" spans="1:14" s="48" customFormat="1" ht="20.25" customHeight="1">
      <c r="A56" s="36" t="s">
        <v>254</v>
      </c>
      <c r="B56" s="36" t="s">
        <v>255</v>
      </c>
      <c r="C56" s="36"/>
      <c r="D56" s="61" t="s">
        <v>432</v>
      </c>
      <c r="E56" s="37"/>
      <c r="F56" s="37"/>
      <c r="G56" s="32">
        <f t="shared" si="0"/>
        <v>0</v>
      </c>
      <c r="H56" s="37"/>
      <c r="I56" s="37"/>
      <c r="J56" s="32">
        <f t="shared" si="1"/>
        <v>0</v>
      </c>
      <c r="K56" s="62">
        <f>SUM(K57)</f>
        <v>12466734.77</v>
      </c>
      <c r="L56" s="62">
        <f>SUM(L57)</f>
        <v>8663330</v>
      </c>
      <c r="M56" s="63">
        <f>SUM(M57)</f>
        <v>21130064.77</v>
      </c>
      <c r="N56" s="5">
        <f>SUM(N57)</f>
        <v>21130.1</v>
      </c>
    </row>
    <row r="57" spans="1:14" s="48" customFormat="1" ht="39.75" customHeight="1">
      <c r="A57" s="40" t="s">
        <v>252</v>
      </c>
      <c r="B57" s="40" t="s">
        <v>262</v>
      </c>
      <c r="C57" s="40" t="s">
        <v>44</v>
      </c>
      <c r="D57" s="64" t="s">
        <v>253</v>
      </c>
      <c r="E57" s="41"/>
      <c r="F57" s="41"/>
      <c r="G57" s="32">
        <f t="shared" si="0"/>
        <v>0</v>
      </c>
      <c r="H57" s="41"/>
      <c r="I57" s="41"/>
      <c r="J57" s="32">
        <f t="shared" si="1"/>
        <v>0</v>
      </c>
      <c r="K57" s="65">
        <v>12466734.77</v>
      </c>
      <c r="L57" s="65">
        <f>8411000+252330</f>
        <v>8663330</v>
      </c>
      <c r="M57" s="66">
        <f>L57+K57</f>
        <v>21130064.77</v>
      </c>
      <c r="N57" s="11">
        <f>ROUND(M57/1000,1)</f>
        <v>21130.1</v>
      </c>
    </row>
    <row r="58" spans="1:14" s="48" customFormat="1" ht="20.25">
      <c r="A58" s="40"/>
      <c r="B58" s="40"/>
      <c r="C58" s="40"/>
      <c r="D58" s="41" t="s">
        <v>397</v>
      </c>
      <c r="E58" s="41"/>
      <c r="F58" s="41"/>
      <c r="G58" s="32">
        <f t="shared" si="0"/>
        <v>0</v>
      </c>
      <c r="H58" s="41"/>
      <c r="I58" s="41"/>
      <c r="J58" s="32">
        <f t="shared" si="1"/>
        <v>0</v>
      </c>
      <c r="K58" s="43">
        <v>12010603.78</v>
      </c>
      <c r="L58" s="43">
        <v>8411000</v>
      </c>
      <c r="M58" s="44">
        <f>L58+K58</f>
        <v>20421603.78</v>
      </c>
      <c r="N58" s="11">
        <f>ROUND(M58/1000,1)</f>
        <v>20421.6</v>
      </c>
    </row>
    <row r="59" spans="1:14" s="48" customFormat="1" ht="20.25" customHeight="1">
      <c r="A59" s="36" t="s">
        <v>89</v>
      </c>
      <c r="B59" s="36" t="s">
        <v>1</v>
      </c>
      <c r="C59" s="36" t="s">
        <v>45</v>
      </c>
      <c r="D59" s="37" t="s">
        <v>14</v>
      </c>
      <c r="E59" s="37"/>
      <c r="F59" s="37"/>
      <c r="G59" s="32">
        <f t="shared" si="0"/>
        <v>0</v>
      </c>
      <c r="H59" s="37"/>
      <c r="I59" s="37"/>
      <c r="J59" s="32">
        <f t="shared" si="1"/>
        <v>0</v>
      </c>
      <c r="K59" s="15">
        <f>11768000+900000+283419+389000</f>
        <v>13340419</v>
      </c>
      <c r="L59" s="15">
        <v>-970735</v>
      </c>
      <c r="M59" s="38">
        <f>L59+K59</f>
        <v>12369684</v>
      </c>
      <c r="N59" s="5">
        <f t="shared" si="2"/>
        <v>12369.7</v>
      </c>
    </row>
    <row r="60" spans="1:14" s="48" customFormat="1" ht="49.5" customHeight="1">
      <c r="A60" s="36" t="s">
        <v>286</v>
      </c>
      <c r="B60" s="36" t="s">
        <v>250</v>
      </c>
      <c r="C60" s="36" t="s">
        <v>22</v>
      </c>
      <c r="D60" s="37" t="s">
        <v>260</v>
      </c>
      <c r="E60" s="37"/>
      <c r="F60" s="37"/>
      <c r="G60" s="32">
        <f t="shared" si="0"/>
        <v>0</v>
      </c>
      <c r="H60" s="37"/>
      <c r="I60" s="37"/>
      <c r="J60" s="32">
        <f t="shared" si="1"/>
        <v>0</v>
      </c>
      <c r="K60" s="15">
        <v>2000000</v>
      </c>
      <c r="L60" s="15"/>
      <c r="M60" s="38">
        <f>L60+K60</f>
        <v>2000000</v>
      </c>
      <c r="N60" s="5">
        <f t="shared" si="2"/>
        <v>2000</v>
      </c>
    </row>
    <row r="61" spans="1:14" s="35" customFormat="1" ht="33.75" customHeight="1">
      <c r="A61" s="30" t="s">
        <v>90</v>
      </c>
      <c r="B61" s="30"/>
      <c r="C61" s="30"/>
      <c r="D61" s="54" t="s">
        <v>8</v>
      </c>
      <c r="E61" s="54"/>
      <c r="F61" s="54"/>
      <c r="G61" s="32">
        <f t="shared" si="0"/>
        <v>0</v>
      </c>
      <c r="H61" s="54"/>
      <c r="I61" s="54"/>
      <c r="J61" s="32">
        <f t="shared" si="1"/>
        <v>0</v>
      </c>
      <c r="K61" s="33">
        <f>K63+K72+K69+K64+K65+K68+K73</f>
        <v>51266288.6</v>
      </c>
      <c r="L61" s="33">
        <f>L63+L72+L69+L64+L65+L68+L73</f>
        <v>-874945</v>
      </c>
      <c r="M61" s="34">
        <f>M63+M72+M69+M64+M65+M68+M73</f>
        <v>50391343.6</v>
      </c>
      <c r="N61" s="10">
        <f>N63+N72+N69+N64+N65+N68+N73</f>
        <v>50391.3</v>
      </c>
    </row>
    <row r="62" spans="1:14" s="59" customFormat="1" ht="24.75" customHeight="1">
      <c r="A62" s="55"/>
      <c r="B62" s="55"/>
      <c r="C62" s="55"/>
      <c r="D62" s="56" t="s">
        <v>397</v>
      </c>
      <c r="E62" s="56"/>
      <c r="F62" s="56"/>
      <c r="G62" s="32">
        <f t="shared" si="0"/>
        <v>0</v>
      </c>
      <c r="H62" s="56"/>
      <c r="I62" s="56"/>
      <c r="J62" s="32">
        <f t="shared" si="1"/>
        <v>0</v>
      </c>
      <c r="K62" s="57">
        <f>K71</f>
        <v>4529964.66</v>
      </c>
      <c r="L62" s="57">
        <f>L71</f>
        <v>30000</v>
      </c>
      <c r="M62" s="58">
        <f>M71</f>
        <v>4559964.66</v>
      </c>
      <c r="N62" s="12">
        <f>N71</f>
        <v>4560</v>
      </c>
    </row>
    <row r="63" spans="1:14" s="39" customFormat="1" ht="27" customHeight="1">
      <c r="A63" s="36" t="s">
        <v>91</v>
      </c>
      <c r="B63" s="36" t="s">
        <v>35</v>
      </c>
      <c r="C63" s="36" t="s">
        <v>36</v>
      </c>
      <c r="D63" s="37" t="s">
        <v>9</v>
      </c>
      <c r="E63" s="37"/>
      <c r="F63" s="37"/>
      <c r="G63" s="32">
        <f t="shared" si="0"/>
        <v>0</v>
      </c>
      <c r="H63" s="37"/>
      <c r="I63" s="37"/>
      <c r="J63" s="32">
        <f t="shared" si="1"/>
        <v>0</v>
      </c>
      <c r="K63" s="15">
        <f>28491409+3464315+744355+130333</f>
        <v>32830412</v>
      </c>
      <c r="L63" s="15">
        <f>-557775-900+23000</f>
        <v>-535675</v>
      </c>
      <c r="M63" s="38">
        <f>L63+K63</f>
        <v>32294737</v>
      </c>
      <c r="N63" s="5">
        <f>ROUND(M63/1000,1)</f>
        <v>32294.7</v>
      </c>
    </row>
    <row r="64" spans="1:14" s="39" customFormat="1" ht="28.5" customHeight="1">
      <c r="A64" s="36" t="s">
        <v>308</v>
      </c>
      <c r="B64" s="36" t="s">
        <v>309</v>
      </c>
      <c r="C64" s="36" t="s">
        <v>311</v>
      </c>
      <c r="D64" s="37" t="s">
        <v>310</v>
      </c>
      <c r="E64" s="37"/>
      <c r="F64" s="37"/>
      <c r="G64" s="32">
        <f t="shared" si="0"/>
        <v>0</v>
      </c>
      <c r="H64" s="37"/>
      <c r="I64" s="37"/>
      <c r="J64" s="32">
        <f t="shared" si="1"/>
        <v>0</v>
      </c>
      <c r="K64" s="15">
        <f>15000+115000+1539</f>
        <v>131539</v>
      </c>
      <c r="L64" s="15"/>
      <c r="M64" s="38">
        <f>L64+K64</f>
        <v>131539</v>
      </c>
      <c r="N64" s="5">
        <f t="shared" si="2"/>
        <v>131.5</v>
      </c>
    </row>
    <row r="65" spans="1:14" s="39" customFormat="1" ht="20.25">
      <c r="A65" s="36" t="s">
        <v>312</v>
      </c>
      <c r="B65" s="36" t="s">
        <v>313</v>
      </c>
      <c r="C65" s="36"/>
      <c r="D65" s="37" t="s">
        <v>433</v>
      </c>
      <c r="E65" s="37"/>
      <c r="F65" s="37"/>
      <c r="G65" s="32">
        <f t="shared" si="0"/>
        <v>0</v>
      </c>
      <c r="H65" s="37"/>
      <c r="I65" s="37"/>
      <c r="J65" s="32">
        <f t="shared" si="1"/>
        <v>0</v>
      </c>
      <c r="K65" s="15">
        <f>K66</f>
        <v>59000</v>
      </c>
      <c r="L65" s="15">
        <f>L66</f>
        <v>0</v>
      </c>
      <c r="M65" s="38">
        <f>M66</f>
        <v>59000</v>
      </c>
      <c r="N65" s="5">
        <f>N66</f>
        <v>59</v>
      </c>
    </row>
    <row r="66" spans="1:14" s="48" customFormat="1" ht="44.25" customHeight="1">
      <c r="A66" s="40" t="s">
        <v>314</v>
      </c>
      <c r="B66" s="40" t="s">
        <v>315</v>
      </c>
      <c r="C66" s="40" t="s">
        <v>317</v>
      </c>
      <c r="D66" s="41" t="s">
        <v>316</v>
      </c>
      <c r="E66" s="41"/>
      <c r="F66" s="41"/>
      <c r="G66" s="32">
        <f t="shared" si="0"/>
        <v>0</v>
      </c>
      <c r="H66" s="41"/>
      <c r="I66" s="41"/>
      <c r="J66" s="32">
        <f t="shared" si="1"/>
        <v>0</v>
      </c>
      <c r="K66" s="43">
        <f>35000+34600-10600</f>
        <v>59000</v>
      </c>
      <c r="L66" s="43"/>
      <c r="M66" s="44">
        <f>L66+K66</f>
        <v>59000</v>
      </c>
      <c r="N66" s="11">
        <f t="shared" si="2"/>
        <v>59</v>
      </c>
    </row>
    <row r="67" spans="1:14" s="39" customFormat="1" ht="20.25">
      <c r="A67" s="36" t="s">
        <v>331</v>
      </c>
      <c r="B67" s="36" t="s">
        <v>332</v>
      </c>
      <c r="C67" s="36"/>
      <c r="D67" s="37" t="s">
        <v>434</v>
      </c>
      <c r="E67" s="37"/>
      <c r="F67" s="37"/>
      <c r="G67" s="32">
        <f t="shared" si="0"/>
        <v>0</v>
      </c>
      <c r="H67" s="37"/>
      <c r="I67" s="37"/>
      <c r="J67" s="32">
        <f t="shared" si="1"/>
        <v>0</v>
      </c>
      <c r="K67" s="15">
        <f>K68</f>
        <v>3367346</v>
      </c>
      <c r="L67" s="15">
        <f>L68</f>
        <v>0</v>
      </c>
      <c r="M67" s="38">
        <f>M68</f>
        <v>3367346</v>
      </c>
      <c r="N67" s="5">
        <f>N68</f>
        <v>3367.3</v>
      </c>
    </row>
    <row r="68" spans="1:14" s="48" customFormat="1" ht="20.25">
      <c r="A68" s="40" t="s">
        <v>334</v>
      </c>
      <c r="B68" s="40" t="s">
        <v>333</v>
      </c>
      <c r="C68" s="40" t="s">
        <v>336</v>
      </c>
      <c r="D68" s="41" t="s">
        <v>335</v>
      </c>
      <c r="E68" s="41"/>
      <c r="F68" s="41"/>
      <c r="G68" s="32">
        <f t="shared" si="0"/>
        <v>0</v>
      </c>
      <c r="H68" s="41"/>
      <c r="I68" s="41"/>
      <c r="J68" s="32">
        <f t="shared" si="1"/>
        <v>0</v>
      </c>
      <c r="K68" s="43">
        <f>3406496-39150</f>
        <v>3367346</v>
      </c>
      <c r="L68" s="43"/>
      <c r="M68" s="44">
        <f>L68+K68</f>
        <v>3367346</v>
      </c>
      <c r="N68" s="11">
        <f t="shared" si="2"/>
        <v>3367.3</v>
      </c>
    </row>
    <row r="69" spans="1:14" s="39" customFormat="1" ht="32.25" customHeight="1">
      <c r="A69" s="36" t="s">
        <v>278</v>
      </c>
      <c r="B69" s="36" t="s">
        <v>255</v>
      </c>
      <c r="C69" s="36"/>
      <c r="D69" s="37" t="s">
        <v>432</v>
      </c>
      <c r="E69" s="37"/>
      <c r="F69" s="37"/>
      <c r="G69" s="32">
        <f t="shared" si="0"/>
        <v>0</v>
      </c>
      <c r="H69" s="37"/>
      <c r="I69" s="37"/>
      <c r="J69" s="32">
        <f t="shared" si="1"/>
        <v>0</v>
      </c>
      <c r="K69" s="15">
        <f>SUM(K70)</f>
        <v>4665863.6</v>
      </c>
      <c r="L69" s="15">
        <f>SUM(L70)</f>
        <v>30900</v>
      </c>
      <c r="M69" s="38">
        <f>SUM(M70)</f>
        <v>4696763.6</v>
      </c>
      <c r="N69" s="5">
        <f>SUM(N70)</f>
        <v>4696.8</v>
      </c>
    </row>
    <row r="70" spans="1:14" s="48" customFormat="1" ht="45.75" customHeight="1">
      <c r="A70" s="40" t="s">
        <v>279</v>
      </c>
      <c r="B70" s="40" t="s">
        <v>262</v>
      </c>
      <c r="C70" s="40" t="s">
        <v>44</v>
      </c>
      <c r="D70" s="41" t="s">
        <v>253</v>
      </c>
      <c r="E70" s="41"/>
      <c r="F70" s="41"/>
      <c r="G70" s="32">
        <f t="shared" si="0"/>
        <v>0</v>
      </c>
      <c r="H70" s="41"/>
      <c r="I70" s="41"/>
      <c r="J70" s="32">
        <f t="shared" si="1"/>
        <v>0</v>
      </c>
      <c r="K70" s="43">
        <v>4665863.6</v>
      </c>
      <c r="L70" s="43">
        <f>30000+900</f>
        <v>30900</v>
      </c>
      <c r="M70" s="44">
        <f>L70+K70</f>
        <v>4696763.6</v>
      </c>
      <c r="N70" s="11">
        <f>ROUND(M70/1000,1)</f>
        <v>4696.8</v>
      </c>
    </row>
    <row r="71" spans="1:14" s="48" customFormat="1" ht="20.25">
      <c r="A71" s="40"/>
      <c r="B71" s="40"/>
      <c r="C71" s="40"/>
      <c r="D71" s="41" t="s">
        <v>397</v>
      </c>
      <c r="E71" s="41"/>
      <c r="F71" s="41"/>
      <c r="G71" s="32">
        <f t="shared" si="0"/>
        <v>0</v>
      </c>
      <c r="H71" s="41"/>
      <c r="I71" s="41"/>
      <c r="J71" s="32">
        <f t="shared" si="1"/>
        <v>0</v>
      </c>
      <c r="K71" s="43">
        <v>4529964.66</v>
      </c>
      <c r="L71" s="43">
        <v>30000</v>
      </c>
      <c r="M71" s="44">
        <f>L71+K71</f>
        <v>4559964.66</v>
      </c>
      <c r="N71" s="11">
        <f>ROUND(M71/1000,1)</f>
        <v>4560</v>
      </c>
    </row>
    <row r="72" spans="1:14" s="39" customFormat="1" ht="26.25" customHeight="1">
      <c r="A72" s="36" t="s">
        <v>92</v>
      </c>
      <c r="B72" s="36" t="s">
        <v>1</v>
      </c>
      <c r="C72" s="36" t="s">
        <v>45</v>
      </c>
      <c r="D72" s="37" t="s">
        <v>14</v>
      </c>
      <c r="E72" s="37"/>
      <c r="F72" s="37"/>
      <c r="G72" s="32">
        <f t="shared" si="0"/>
        <v>0</v>
      </c>
      <c r="H72" s="37"/>
      <c r="I72" s="37"/>
      <c r="J72" s="32">
        <f t="shared" si="1"/>
        <v>0</v>
      </c>
      <c r="K72" s="15">
        <f>6847000+3000000-134872</f>
        <v>9712128</v>
      </c>
      <c r="L72" s="15">
        <v>-370170</v>
      </c>
      <c r="M72" s="38">
        <f>L72+K72</f>
        <v>9341958</v>
      </c>
      <c r="N72" s="5">
        <f t="shared" si="2"/>
        <v>9342</v>
      </c>
    </row>
    <row r="73" spans="1:14" s="39" customFormat="1" ht="26.25" customHeight="1">
      <c r="A73" s="36" t="s">
        <v>407</v>
      </c>
      <c r="B73" s="36" t="s">
        <v>201</v>
      </c>
      <c r="C73" s="36" t="s">
        <v>22</v>
      </c>
      <c r="D73" s="37" t="s">
        <v>202</v>
      </c>
      <c r="E73" s="37"/>
      <c r="F73" s="37"/>
      <c r="G73" s="32">
        <f t="shared" si="0"/>
        <v>0</v>
      </c>
      <c r="H73" s="37"/>
      <c r="I73" s="37"/>
      <c r="J73" s="32">
        <f t="shared" si="1"/>
        <v>0</v>
      </c>
      <c r="K73" s="15">
        <v>500000</v>
      </c>
      <c r="L73" s="15"/>
      <c r="M73" s="38">
        <f>L73+K73</f>
        <v>500000</v>
      </c>
      <c r="N73" s="5">
        <f t="shared" si="2"/>
        <v>500</v>
      </c>
    </row>
    <row r="74" spans="1:14" s="35" customFormat="1" ht="33" customHeight="1">
      <c r="A74" s="30" t="s">
        <v>93</v>
      </c>
      <c r="B74" s="30"/>
      <c r="C74" s="30"/>
      <c r="D74" s="54" t="s">
        <v>18</v>
      </c>
      <c r="E74" s="54"/>
      <c r="F74" s="54"/>
      <c r="G74" s="32">
        <f t="shared" si="0"/>
        <v>0</v>
      </c>
      <c r="H74" s="54"/>
      <c r="I74" s="54"/>
      <c r="J74" s="32">
        <f t="shared" si="1"/>
        <v>0</v>
      </c>
      <c r="K74" s="33">
        <f>K76+K77+K88+K79+K81</f>
        <v>13808431.68</v>
      </c>
      <c r="L74" s="33">
        <f>L76+L77+L88+L79+L81</f>
        <v>0</v>
      </c>
      <c r="M74" s="34">
        <f>M76+M77+M88+M79+M81</f>
        <v>13808431.68</v>
      </c>
      <c r="N74" s="10">
        <f>N76+N77+N88+N79+N81</f>
        <v>13808.4</v>
      </c>
    </row>
    <row r="75" spans="1:14" s="59" customFormat="1" ht="20.25">
      <c r="A75" s="55"/>
      <c r="B75" s="55"/>
      <c r="C75" s="55"/>
      <c r="D75" s="56" t="s">
        <v>397</v>
      </c>
      <c r="E75" s="56"/>
      <c r="F75" s="56"/>
      <c r="G75" s="32">
        <f t="shared" si="0"/>
        <v>0</v>
      </c>
      <c r="H75" s="56"/>
      <c r="I75" s="56"/>
      <c r="J75" s="32">
        <f t="shared" si="1"/>
        <v>0</v>
      </c>
      <c r="K75" s="57">
        <f>K83+K87+K85</f>
        <v>12613549.68</v>
      </c>
      <c r="L75" s="57">
        <f>L83+L87+L85</f>
        <v>0</v>
      </c>
      <c r="M75" s="58">
        <f>M83+M87+M85</f>
        <v>12613549.68</v>
      </c>
      <c r="N75" s="12">
        <f>N83+N87+N85</f>
        <v>12613.5</v>
      </c>
    </row>
    <row r="76" spans="1:14" s="39" customFormat="1" ht="48" customHeight="1">
      <c r="A76" s="36" t="s">
        <v>94</v>
      </c>
      <c r="B76" s="36" t="s">
        <v>55</v>
      </c>
      <c r="C76" s="36" t="s">
        <v>23</v>
      </c>
      <c r="D76" s="37" t="s">
        <v>56</v>
      </c>
      <c r="E76" s="37"/>
      <c r="F76" s="37"/>
      <c r="G76" s="32">
        <f t="shared" si="0"/>
        <v>0</v>
      </c>
      <c r="H76" s="37"/>
      <c r="I76" s="37"/>
      <c r="J76" s="32">
        <f t="shared" si="1"/>
        <v>0</v>
      </c>
      <c r="K76" s="15">
        <f>700000-128000-21910</f>
        <v>550090</v>
      </c>
      <c r="L76" s="15"/>
      <c r="M76" s="38">
        <f>L76+K76</f>
        <v>550090</v>
      </c>
      <c r="N76" s="5">
        <f t="shared" si="2"/>
        <v>550.1</v>
      </c>
    </row>
    <row r="77" spans="1:14" s="68" customFormat="1" ht="60.75" customHeight="1">
      <c r="A77" s="36" t="s">
        <v>95</v>
      </c>
      <c r="B77" s="67">
        <v>3030</v>
      </c>
      <c r="C77" s="67"/>
      <c r="D77" s="37" t="s">
        <v>435</v>
      </c>
      <c r="E77" s="37"/>
      <c r="F77" s="37"/>
      <c r="G77" s="32">
        <f t="shared" si="0"/>
        <v>0</v>
      </c>
      <c r="H77" s="37"/>
      <c r="I77" s="37"/>
      <c r="J77" s="32">
        <f t="shared" si="1"/>
        <v>0</v>
      </c>
      <c r="K77" s="15">
        <f>K78</f>
        <v>245910</v>
      </c>
      <c r="L77" s="15">
        <f>L78</f>
        <v>0</v>
      </c>
      <c r="M77" s="38">
        <f>M78</f>
        <v>245910</v>
      </c>
      <c r="N77" s="5">
        <f>N78</f>
        <v>245.9</v>
      </c>
    </row>
    <row r="78" spans="1:14" s="70" customFormat="1" ht="39" customHeight="1">
      <c r="A78" s="40" t="s">
        <v>96</v>
      </c>
      <c r="B78" s="69">
        <v>3031</v>
      </c>
      <c r="C78" s="69">
        <v>1030</v>
      </c>
      <c r="D78" s="41" t="s">
        <v>58</v>
      </c>
      <c r="E78" s="41"/>
      <c r="F78" s="41"/>
      <c r="G78" s="32">
        <f t="shared" si="0"/>
        <v>0</v>
      </c>
      <c r="H78" s="41"/>
      <c r="I78" s="41"/>
      <c r="J78" s="32">
        <f t="shared" si="1"/>
        <v>0</v>
      </c>
      <c r="K78" s="43">
        <f>214000+31910</f>
        <v>245910</v>
      </c>
      <c r="L78" s="43"/>
      <c r="M78" s="44">
        <f>L78+K78</f>
        <v>245910</v>
      </c>
      <c r="N78" s="11">
        <f t="shared" si="2"/>
        <v>245.9</v>
      </c>
    </row>
    <row r="79" spans="1:14" s="70" customFormat="1" ht="60" customHeight="1">
      <c r="A79" s="36" t="s">
        <v>97</v>
      </c>
      <c r="B79" s="67">
        <v>3100</v>
      </c>
      <c r="C79" s="67"/>
      <c r="D79" s="37" t="s">
        <v>436</v>
      </c>
      <c r="E79" s="41"/>
      <c r="F79" s="41"/>
      <c r="G79" s="32">
        <f t="shared" si="0"/>
        <v>0</v>
      </c>
      <c r="H79" s="41"/>
      <c r="I79" s="41"/>
      <c r="J79" s="32">
        <f t="shared" si="1"/>
        <v>0</v>
      </c>
      <c r="K79" s="15">
        <f>K80</f>
        <v>18500</v>
      </c>
      <c r="L79" s="15">
        <f>L80</f>
        <v>0</v>
      </c>
      <c r="M79" s="38">
        <f>M80</f>
        <v>18500</v>
      </c>
      <c r="N79" s="5">
        <f>N80</f>
        <v>18.5</v>
      </c>
    </row>
    <row r="80" spans="1:14" s="70" customFormat="1" ht="54.75" customHeight="1">
      <c r="A80" s="40" t="s">
        <v>98</v>
      </c>
      <c r="B80" s="69">
        <v>3104</v>
      </c>
      <c r="C80" s="69">
        <v>1020</v>
      </c>
      <c r="D80" s="41" t="s">
        <v>11</v>
      </c>
      <c r="E80" s="41"/>
      <c r="F80" s="41"/>
      <c r="G80" s="32">
        <f t="shared" si="0"/>
        <v>0</v>
      </c>
      <c r="H80" s="41"/>
      <c r="I80" s="41"/>
      <c r="J80" s="32">
        <f t="shared" si="1"/>
        <v>0</v>
      </c>
      <c r="K80" s="43">
        <v>18500</v>
      </c>
      <c r="L80" s="43"/>
      <c r="M80" s="44">
        <f>L80+K80</f>
        <v>18500</v>
      </c>
      <c r="N80" s="11">
        <f t="shared" si="2"/>
        <v>18.5</v>
      </c>
    </row>
    <row r="81" spans="1:14" s="68" customFormat="1" ht="54" customHeight="1">
      <c r="A81" s="36" t="s">
        <v>357</v>
      </c>
      <c r="B81" s="67">
        <v>3220</v>
      </c>
      <c r="C81" s="67"/>
      <c r="D81" s="37" t="s">
        <v>437</v>
      </c>
      <c r="E81" s="37"/>
      <c r="F81" s="37"/>
      <c r="G81" s="32">
        <f t="shared" si="0"/>
        <v>0</v>
      </c>
      <c r="H81" s="37"/>
      <c r="I81" s="37"/>
      <c r="J81" s="32">
        <f t="shared" si="1"/>
        <v>0</v>
      </c>
      <c r="K81" s="15">
        <f>K82+K86+K84</f>
        <v>12613549.68</v>
      </c>
      <c r="L81" s="15">
        <f>L82+L86+L84</f>
        <v>0</v>
      </c>
      <c r="M81" s="38">
        <f>M82+M86+M84</f>
        <v>12613549.68</v>
      </c>
      <c r="N81" s="5">
        <f>N82+N86+N84</f>
        <v>12613.5</v>
      </c>
    </row>
    <row r="82" spans="1:14" s="70" customFormat="1" ht="155.25" customHeight="1">
      <c r="A82" s="40" t="s">
        <v>358</v>
      </c>
      <c r="B82" s="69">
        <v>3221</v>
      </c>
      <c r="C82" s="69">
        <v>1060</v>
      </c>
      <c r="D82" s="41" t="s">
        <v>359</v>
      </c>
      <c r="E82" s="41"/>
      <c r="F82" s="41"/>
      <c r="G82" s="32">
        <f aca="true" t="shared" si="5" ref="G82:G145">ROUND(F82/1000,1)</f>
        <v>0</v>
      </c>
      <c r="H82" s="41"/>
      <c r="I82" s="41"/>
      <c r="J82" s="32">
        <f aca="true" t="shared" si="6" ref="J82:J145">ROUND(I82/1000,1)</f>
        <v>0</v>
      </c>
      <c r="K82" s="43">
        <v>6547535.21</v>
      </c>
      <c r="L82" s="43"/>
      <c r="M82" s="44">
        <f aca="true" t="shared" si="7" ref="M82:M87">L82+K82</f>
        <v>6547535.21</v>
      </c>
      <c r="N82" s="11">
        <f aca="true" t="shared" si="8" ref="N82:N145">ROUND(M82/1000,1)</f>
        <v>6547.5</v>
      </c>
    </row>
    <row r="83" spans="1:14" s="48" customFormat="1" ht="28.5" customHeight="1">
      <c r="A83" s="40"/>
      <c r="B83" s="40"/>
      <c r="C83" s="40"/>
      <c r="D83" s="41" t="s">
        <v>397</v>
      </c>
      <c r="E83" s="41"/>
      <c r="F83" s="41"/>
      <c r="G83" s="32">
        <f t="shared" si="5"/>
        <v>0</v>
      </c>
      <c r="H83" s="41"/>
      <c r="I83" s="41"/>
      <c r="J83" s="32">
        <f t="shared" si="6"/>
        <v>0</v>
      </c>
      <c r="K83" s="43">
        <v>6547535.21</v>
      </c>
      <c r="L83" s="43"/>
      <c r="M83" s="44">
        <f t="shared" si="7"/>
        <v>6547535.21</v>
      </c>
      <c r="N83" s="11">
        <f t="shared" si="8"/>
        <v>6547.5</v>
      </c>
    </row>
    <row r="84" spans="1:14" s="48" customFormat="1" ht="171" customHeight="1">
      <c r="A84" s="40" t="s">
        <v>386</v>
      </c>
      <c r="B84" s="40" t="s">
        <v>387</v>
      </c>
      <c r="C84" s="40" t="s">
        <v>388</v>
      </c>
      <c r="D84" s="60" t="s">
        <v>470</v>
      </c>
      <c r="E84" s="41"/>
      <c r="F84" s="41"/>
      <c r="G84" s="32">
        <f t="shared" si="5"/>
        <v>0</v>
      </c>
      <c r="H84" s="41"/>
      <c r="I84" s="41"/>
      <c r="J84" s="32">
        <f t="shared" si="6"/>
        <v>0</v>
      </c>
      <c r="K84" s="43">
        <v>2544480</v>
      </c>
      <c r="L84" s="43"/>
      <c r="M84" s="44">
        <f t="shared" si="7"/>
        <v>2544480</v>
      </c>
      <c r="N84" s="11">
        <f t="shared" si="8"/>
        <v>2544.5</v>
      </c>
    </row>
    <row r="85" spans="1:14" s="48" customFormat="1" ht="26.25" customHeight="1">
      <c r="A85" s="40"/>
      <c r="B85" s="40"/>
      <c r="C85" s="40"/>
      <c r="D85" s="41" t="s">
        <v>397</v>
      </c>
      <c r="E85" s="41"/>
      <c r="F85" s="41"/>
      <c r="G85" s="32">
        <f t="shared" si="5"/>
        <v>0</v>
      </c>
      <c r="H85" s="41"/>
      <c r="I85" s="41"/>
      <c r="J85" s="32">
        <f t="shared" si="6"/>
        <v>0</v>
      </c>
      <c r="K85" s="43">
        <v>2544480</v>
      </c>
      <c r="L85" s="43"/>
      <c r="M85" s="44">
        <f t="shared" si="7"/>
        <v>2544480</v>
      </c>
      <c r="N85" s="11">
        <f t="shared" si="8"/>
        <v>2544.5</v>
      </c>
    </row>
    <row r="86" spans="1:14" s="70" customFormat="1" ht="177.75" customHeight="1">
      <c r="A86" s="40" t="s">
        <v>372</v>
      </c>
      <c r="B86" s="69">
        <v>3223</v>
      </c>
      <c r="C86" s="69">
        <v>1060</v>
      </c>
      <c r="D86" s="41" t="s">
        <v>379</v>
      </c>
      <c r="E86" s="41"/>
      <c r="F86" s="41"/>
      <c r="G86" s="32">
        <f t="shared" si="5"/>
        <v>0</v>
      </c>
      <c r="H86" s="41"/>
      <c r="I86" s="41"/>
      <c r="J86" s="32">
        <f t="shared" si="6"/>
        <v>0</v>
      </c>
      <c r="K86" s="43">
        <v>3521534.47</v>
      </c>
      <c r="L86" s="43"/>
      <c r="M86" s="44">
        <f t="shared" si="7"/>
        <v>3521534.47</v>
      </c>
      <c r="N86" s="11">
        <f t="shared" si="8"/>
        <v>3521.5</v>
      </c>
    </row>
    <row r="87" spans="1:14" s="48" customFormat="1" ht="20.25">
      <c r="A87" s="40"/>
      <c r="B87" s="40"/>
      <c r="C87" s="40"/>
      <c r="D87" s="41" t="s">
        <v>397</v>
      </c>
      <c r="E87" s="41"/>
      <c r="F87" s="41"/>
      <c r="G87" s="52">
        <f t="shared" si="5"/>
        <v>0</v>
      </c>
      <c r="H87" s="41"/>
      <c r="I87" s="41"/>
      <c r="J87" s="52">
        <f t="shared" si="6"/>
        <v>0</v>
      </c>
      <c r="K87" s="43">
        <v>3521534.47</v>
      </c>
      <c r="L87" s="43"/>
      <c r="M87" s="44">
        <f t="shared" si="7"/>
        <v>3521534.47</v>
      </c>
      <c r="N87" s="11">
        <f t="shared" si="8"/>
        <v>3521.5</v>
      </c>
    </row>
    <row r="88" spans="1:14" s="39" customFormat="1" ht="26.25" customHeight="1">
      <c r="A88" s="36" t="s">
        <v>198</v>
      </c>
      <c r="B88" s="67">
        <v>3240</v>
      </c>
      <c r="C88" s="67"/>
      <c r="D88" s="37" t="s">
        <v>480</v>
      </c>
      <c r="E88" s="37"/>
      <c r="F88" s="37"/>
      <c r="G88" s="32">
        <f t="shared" si="5"/>
        <v>0</v>
      </c>
      <c r="H88" s="37"/>
      <c r="I88" s="37"/>
      <c r="J88" s="32">
        <f t="shared" si="6"/>
        <v>0</v>
      </c>
      <c r="K88" s="15">
        <f>K89+K90</f>
        <v>380382</v>
      </c>
      <c r="L88" s="15">
        <f>L89+L90</f>
        <v>0</v>
      </c>
      <c r="M88" s="38">
        <f>M89+M90</f>
        <v>380382</v>
      </c>
      <c r="N88" s="5">
        <f>N89+N90</f>
        <v>380.4</v>
      </c>
    </row>
    <row r="89" spans="1:14" s="48" customFormat="1" ht="48.75" customHeight="1">
      <c r="A89" s="40" t="s">
        <v>189</v>
      </c>
      <c r="B89" s="69">
        <v>3241</v>
      </c>
      <c r="C89" s="69">
        <v>1090</v>
      </c>
      <c r="D89" s="41" t="s">
        <v>190</v>
      </c>
      <c r="E89" s="41"/>
      <c r="F89" s="41"/>
      <c r="G89" s="32">
        <f t="shared" si="5"/>
        <v>0</v>
      </c>
      <c r="H89" s="41"/>
      <c r="I89" s="41"/>
      <c r="J89" s="32">
        <f t="shared" si="6"/>
        <v>0</v>
      </c>
      <c r="K89" s="43">
        <f>300000+5382</f>
        <v>305382</v>
      </c>
      <c r="L89" s="43"/>
      <c r="M89" s="44">
        <f>L89+K89</f>
        <v>305382</v>
      </c>
      <c r="N89" s="11">
        <f t="shared" si="8"/>
        <v>305.4</v>
      </c>
    </row>
    <row r="90" spans="1:14" s="48" customFormat="1" ht="31.5" customHeight="1">
      <c r="A90" s="40" t="s">
        <v>191</v>
      </c>
      <c r="B90" s="69">
        <v>3242</v>
      </c>
      <c r="C90" s="69">
        <v>1090</v>
      </c>
      <c r="D90" s="41" t="s">
        <v>192</v>
      </c>
      <c r="E90" s="41"/>
      <c r="F90" s="41"/>
      <c r="G90" s="32">
        <f t="shared" si="5"/>
        <v>0</v>
      </c>
      <c r="H90" s="41"/>
      <c r="I90" s="41"/>
      <c r="J90" s="32">
        <f t="shared" si="6"/>
        <v>0</v>
      </c>
      <c r="K90" s="43">
        <v>75000</v>
      </c>
      <c r="L90" s="43"/>
      <c r="M90" s="44">
        <f>L90+K90</f>
        <v>75000</v>
      </c>
      <c r="N90" s="11">
        <f t="shared" si="8"/>
        <v>75</v>
      </c>
    </row>
    <row r="91" spans="1:14" s="35" customFormat="1" ht="33.75" customHeight="1">
      <c r="A91" s="30" t="s">
        <v>99</v>
      </c>
      <c r="B91" s="30"/>
      <c r="C91" s="30"/>
      <c r="D91" s="54" t="s">
        <v>12</v>
      </c>
      <c r="E91" s="54"/>
      <c r="F91" s="54"/>
      <c r="G91" s="32">
        <f t="shared" si="5"/>
        <v>0</v>
      </c>
      <c r="H91" s="54"/>
      <c r="I91" s="54"/>
      <c r="J91" s="32">
        <f t="shared" si="6"/>
        <v>0</v>
      </c>
      <c r="K91" s="33">
        <f>K93+K94+K95+K96+K101+K98</f>
        <v>3700770</v>
      </c>
      <c r="L91" s="33">
        <f>L93+L94+L95+L96+L101+L98</f>
        <v>150000</v>
      </c>
      <c r="M91" s="34">
        <f>M93+M94+M95+M96+M101+M98</f>
        <v>3850770</v>
      </c>
      <c r="N91" s="10">
        <f>N93+N94+N95+N96+N101+N98</f>
        <v>3850.7</v>
      </c>
    </row>
    <row r="92" spans="1:14" s="59" customFormat="1" ht="30" customHeight="1">
      <c r="A92" s="55"/>
      <c r="B92" s="55"/>
      <c r="C92" s="55"/>
      <c r="D92" s="56" t="s">
        <v>397</v>
      </c>
      <c r="E92" s="56"/>
      <c r="F92" s="56"/>
      <c r="G92" s="32">
        <f t="shared" si="5"/>
        <v>0</v>
      </c>
      <c r="H92" s="56"/>
      <c r="I92" s="56"/>
      <c r="J92" s="32">
        <f t="shared" si="6"/>
        <v>0</v>
      </c>
      <c r="K92" s="57">
        <f>K100</f>
        <v>500000</v>
      </c>
      <c r="L92" s="57">
        <f>L100</f>
        <v>150000</v>
      </c>
      <c r="M92" s="58">
        <f>M100</f>
        <v>650000</v>
      </c>
      <c r="N92" s="12">
        <f>N100</f>
        <v>650</v>
      </c>
    </row>
    <row r="93" spans="1:14" s="39" customFormat="1" ht="46.5" customHeight="1">
      <c r="A93" s="36" t="s">
        <v>67</v>
      </c>
      <c r="B93" s="36" t="s">
        <v>55</v>
      </c>
      <c r="C93" s="36" t="s">
        <v>23</v>
      </c>
      <c r="D93" s="37" t="s">
        <v>56</v>
      </c>
      <c r="E93" s="37"/>
      <c r="F93" s="37"/>
      <c r="G93" s="32">
        <f t="shared" si="5"/>
        <v>0</v>
      </c>
      <c r="H93" s="37"/>
      <c r="I93" s="37"/>
      <c r="J93" s="32">
        <f t="shared" si="6"/>
        <v>0</v>
      </c>
      <c r="K93" s="15">
        <f>10000+850</f>
        <v>10850</v>
      </c>
      <c r="L93" s="15"/>
      <c r="M93" s="38">
        <f>L93+K93</f>
        <v>10850</v>
      </c>
      <c r="N93" s="5">
        <f>ROUND(M93/1000,1)-0.1</f>
        <v>10.8</v>
      </c>
    </row>
    <row r="94" spans="1:14" s="39" customFormat="1" ht="51.75" customHeight="1">
      <c r="A94" s="36" t="s">
        <v>116</v>
      </c>
      <c r="B94" s="36" t="s">
        <v>33</v>
      </c>
      <c r="C94" s="36" t="s">
        <v>32</v>
      </c>
      <c r="D94" s="37" t="s">
        <v>4</v>
      </c>
      <c r="E94" s="37"/>
      <c r="F94" s="37"/>
      <c r="G94" s="32">
        <f t="shared" si="5"/>
        <v>0</v>
      </c>
      <c r="H94" s="37"/>
      <c r="I94" s="37"/>
      <c r="J94" s="32">
        <f t="shared" si="6"/>
        <v>0</v>
      </c>
      <c r="K94" s="15">
        <v>197300</v>
      </c>
      <c r="L94" s="15">
        <v>-4500</v>
      </c>
      <c r="M94" s="38">
        <f>L94+K94</f>
        <v>192800</v>
      </c>
      <c r="N94" s="5">
        <f t="shared" si="8"/>
        <v>192.8</v>
      </c>
    </row>
    <row r="95" spans="1:14" s="39" customFormat="1" ht="21" customHeight="1">
      <c r="A95" s="36" t="s">
        <v>100</v>
      </c>
      <c r="B95" s="36" t="s">
        <v>39</v>
      </c>
      <c r="C95" s="36" t="s">
        <v>40</v>
      </c>
      <c r="D95" s="37" t="s">
        <v>3</v>
      </c>
      <c r="E95" s="37"/>
      <c r="F95" s="37"/>
      <c r="G95" s="32">
        <f t="shared" si="5"/>
        <v>0</v>
      </c>
      <c r="H95" s="37"/>
      <c r="I95" s="37"/>
      <c r="J95" s="32">
        <f t="shared" si="6"/>
        <v>0</v>
      </c>
      <c r="K95" s="15">
        <f>300000+850050+70100+10000+20000+30320</f>
        <v>1280470</v>
      </c>
      <c r="L95" s="15"/>
      <c r="M95" s="38">
        <f>L95+K95</f>
        <v>1280470</v>
      </c>
      <c r="N95" s="5">
        <f t="shared" si="8"/>
        <v>1280.5</v>
      </c>
    </row>
    <row r="96" spans="1:14" s="39" customFormat="1" ht="24" customHeight="1">
      <c r="A96" s="36" t="s">
        <v>101</v>
      </c>
      <c r="B96" s="36" t="s">
        <v>5</v>
      </c>
      <c r="C96" s="36"/>
      <c r="D96" s="37" t="s">
        <v>426</v>
      </c>
      <c r="E96" s="37"/>
      <c r="F96" s="37"/>
      <c r="G96" s="32">
        <f t="shared" si="5"/>
        <v>0</v>
      </c>
      <c r="H96" s="37"/>
      <c r="I96" s="37"/>
      <c r="J96" s="32">
        <f t="shared" si="6"/>
        <v>0</v>
      </c>
      <c r="K96" s="15">
        <f>K97</f>
        <v>49150</v>
      </c>
      <c r="L96" s="15">
        <f>L97</f>
        <v>0</v>
      </c>
      <c r="M96" s="38">
        <f>M97</f>
        <v>49150</v>
      </c>
      <c r="N96" s="5">
        <f>N97</f>
        <v>49.1</v>
      </c>
    </row>
    <row r="97" spans="1:14" s="48" customFormat="1" ht="35.25" customHeight="1">
      <c r="A97" s="40" t="s">
        <v>193</v>
      </c>
      <c r="B97" s="40" t="s">
        <v>184</v>
      </c>
      <c r="C97" s="40" t="s">
        <v>41</v>
      </c>
      <c r="D97" s="41" t="s">
        <v>185</v>
      </c>
      <c r="E97" s="41"/>
      <c r="F97" s="41"/>
      <c r="G97" s="32">
        <f t="shared" si="5"/>
        <v>0</v>
      </c>
      <c r="H97" s="41"/>
      <c r="I97" s="41"/>
      <c r="J97" s="32">
        <f t="shared" si="6"/>
        <v>0</v>
      </c>
      <c r="K97" s="43">
        <f>50000-850</f>
        <v>49150</v>
      </c>
      <c r="L97" s="43"/>
      <c r="M97" s="44">
        <f>L97+K97</f>
        <v>49150</v>
      </c>
      <c r="N97" s="11">
        <f>ROUND(M97/1000,1)-0.1</f>
        <v>49.1</v>
      </c>
    </row>
    <row r="98" spans="1:14" s="48" customFormat="1" ht="20.25">
      <c r="A98" s="36" t="s">
        <v>367</v>
      </c>
      <c r="B98" s="36" t="s">
        <v>255</v>
      </c>
      <c r="C98" s="36"/>
      <c r="D98" s="37" t="s">
        <v>432</v>
      </c>
      <c r="E98" s="41"/>
      <c r="F98" s="41"/>
      <c r="G98" s="32">
        <f t="shared" si="5"/>
        <v>0</v>
      </c>
      <c r="H98" s="41"/>
      <c r="I98" s="41"/>
      <c r="J98" s="32">
        <f t="shared" si="6"/>
        <v>0</v>
      </c>
      <c r="K98" s="15">
        <f>K99</f>
        <v>515000</v>
      </c>
      <c r="L98" s="15">
        <f>L99</f>
        <v>154500</v>
      </c>
      <c r="M98" s="38">
        <f>M99</f>
        <v>669500</v>
      </c>
      <c r="N98" s="5">
        <f>N99</f>
        <v>669.5</v>
      </c>
    </row>
    <row r="99" spans="1:14" s="48" customFormat="1" ht="48.75" customHeight="1">
      <c r="A99" s="40" t="s">
        <v>368</v>
      </c>
      <c r="B99" s="40" t="s">
        <v>262</v>
      </c>
      <c r="C99" s="40" t="s">
        <v>44</v>
      </c>
      <c r="D99" s="41" t="s">
        <v>253</v>
      </c>
      <c r="E99" s="41"/>
      <c r="F99" s="41"/>
      <c r="G99" s="32">
        <f t="shared" si="5"/>
        <v>0</v>
      </c>
      <c r="H99" s="41"/>
      <c r="I99" s="41"/>
      <c r="J99" s="32">
        <f t="shared" si="6"/>
        <v>0</v>
      </c>
      <c r="K99" s="43">
        <v>515000</v>
      </c>
      <c r="L99" s="43">
        <f>150000+4500</f>
        <v>154500</v>
      </c>
      <c r="M99" s="44">
        <f>L99+K99</f>
        <v>669500</v>
      </c>
      <c r="N99" s="11">
        <f>ROUND(M99/1000,1)</f>
        <v>669.5</v>
      </c>
    </row>
    <row r="100" spans="1:14" s="48" customFormat="1" ht="23.25" customHeight="1">
      <c r="A100" s="40"/>
      <c r="B100" s="40"/>
      <c r="C100" s="40"/>
      <c r="D100" s="41" t="s">
        <v>397</v>
      </c>
      <c r="E100" s="41"/>
      <c r="F100" s="41"/>
      <c r="G100" s="32">
        <f t="shared" si="5"/>
        <v>0</v>
      </c>
      <c r="H100" s="41"/>
      <c r="I100" s="41"/>
      <c r="J100" s="32">
        <f t="shared" si="6"/>
        <v>0</v>
      </c>
      <c r="K100" s="43">
        <v>500000</v>
      </c>
      <c r="L100" s="43">
        <v>150000</v>
      </c>
      <c r="M100" s="44">
        <f>L100+K100</f>
        <v>650000</v>
      </c>
      <c r="N100" s="11">
        <f>ROUND(M100/1000,1)</f>
        <v>650</v>
      </c>
    </row>
    <row r="101" spans="1:14" s="39" customFormat="1" ht="24.75" customHeight="1">
      <c r="A101" s="36" t="s">
        <v>71</v>
      </c>
      <c r="B101" s="36" t="s">
        <v>1</v>
      </c>
      <c r="C101" s="36" t="s">
        <v>45</v>
      </c>
      <c r="D101" s="37" t="s">
        <v>14</v>
      </c>
      <c r="E101" s="37"/>
      <c r="F101" s="37"/>
      <c r="G101" s="32">
        <f t="shared" si="5"/>
        <v>0</v>
      </c>
      <c r="H101" s="37"/>
      <c r="I101" s="37"/>
      <c r="J101" s="32">
        <f t="shared" si="6"/>
        <v>0</v>
      </c>
      <c r="K101" s="15">
        <v>1648000</v>
      </c>
      <c r="L101" s="15"/>
      <c r="M101" s="38">
        <f>L101+K101</f>
        <v>1648000</v>
      </c>
      <c r="N101" s="5">
        <f t="shared" si="8"/>
        <v>1648</v>
      </c>
    </row>
    <row r="102" spans="1:14" s="35" customFormat="1" ht="27.75" customHeight="1">
      <c r="A102" s="30" t="s">
        <v>102</v>
      </c>
      <c r="B102" s="30"/>
      <c r="C102" s="30"/>
      <c r="D102" s="54" t="s">
        <v>13</v>
      </c>
      <c r="E102" s="54"/>
      <c r="F102" s="54"/>
      <c r="G102" s="32">
        <f t="shared" si="5"/>
        <v>0</v>
      </c>
      <c r="H102" s="54"/>
      <c r="I102" s="54"/>
      <c r="J102" s="32">
        <f t="shared" si="6"/>
        <v>0</v>
      </c>
      <c r="K102" s="33">
        <f>K104+K105+K110+K150+K170+K111+K140+K153</f>
        <v>147937895.54</v>
      </c>
      <c r="L102" s="33">
        <f>L104+L105+L110+L150+L170+L111+L140+L153+L168</f>
        <v>11554526</v>
      </c>
      <c r="M102" s="34">
        <f>M104+M105+M110+M150+M170+M111+M140+M153+M168</f>
        <v>159492421.54</v>
      </c>
      <c r="N102" s="10">
        <f>N104+N105+N110+N150+N170+N111+N140+N153+N168</f>
        <v>159992.5</v>
      </c>
    </row>
    <row r="103" spans="1:14" s="59" customFormat="1" ht="26.25" customHeight="1">
      <c r="A103" s="55"/>
      <c r="B103" s="55"/>
      <c r="C103" s="55"/>
      <c r="D103" s="56" t="s">
        <v>397</v>
      </c>
      <c r="E103" s="56"/>
      <c r="F103" s="56"/>
      <c r="G103" s="32">
        <f t="shared" si="5"/>
        <v>0</v>
      </c>
      <c r="H103" s="56"/>
      <c r="I103" s="56"/>
      <c r="J103" s="32">
        <f t="shared" si="6"/>
        <v>0</v>
      </c>
      <c r="K103" s="57">
        <f>K157</f>
        <v>4242868.85</v>
      </c>
      <c r="L103" s="57">
        <f>L157</f>
        <v>13429000</v>
      </c>
      <c r="M103" s="58">
        <f>L103+K103</f>
        <v>17671868.85</v>
      </c>
      <c r="N103" s="12">
        <f>ROUND(M103/1000,1)</f>
        <v>17671.9</v>
      </c>
    </row>
    <row r="104" spans="1:14" s="39" customFormat="1" ht="38.25" customHeight="1">
      <c r="A104" s="36" t="s">
        <v>103</v>
      </c>
      <c r="B104" s="36" t="s">
        <v>55</v>
      </c>
      <c r="C104" s="36" t="s">
        <v>23</v>
      </c>
      <c r="D104" s="37" t="s">
        <v>56</v>
      </c>
      <c r="E104" s="37"/>
      <c r="F104" s="37"/>
      <c r="G104" s="32">
        <f t="shared" si="5"/>
        <v>0</v>
      </c>
      <c r="H104" s="37"/>
      <c r="I104" s="37"/>
      <c r="J104" s="32">
        <f t="shared" si="6"/>
        <v>0</v>
      </c>
      <c r="K104" s="15">
        <f>200000-137500</f>
        <v>62500</v>
      </c>
      <c r="L104" s="15"/>
      <c r="M104" s="38">
        <f>L104+K104</f>
        <v>62500</v>
      </c>
      <c r="N104" s="5">
        <f t="shared" si="8"/>
        <v>62.5</v>
      </c>
    </row>
    <row r="105" spans="1:14" s="39" customFormat="1" ht="32.25" customHeight="1">
      <c r="A105" s="36" t="s">
        <v>104</v>
      </c>
      <c r="B105" s="36" t="s">
        <v>37</v>
      </c>
      <c r="C105" s="36"/>
      <c r="D105" s="37" t="s">
        <v>438</v>
      </c>
      <c r="E105" s="37"/>
      <c r="F105" s="37"/>
      <c r="G105" s="32">
        <f t="shared" si="5"/>
        <v>0</v>
      </c>
      <c r="H105" s="37"/>
      <c r="I105" s="37"/>
      <c r="J105" s="32">
        <f t="shared" si="6"/>
        <v>0</v>
      </c>
      <c r="K105" s="15">
        <f>K106+K108+K107+K109</f>
        <v>67069490.6</v>
      </c>
      <c r="L105" s="15">
        <f>L106+L108+L107+L109</f>
        <v>-444660</v>
      </c>
      <c r="M105" s="38">
        <f>M106+M108+M107+M109</f>
        <v>66624830.6</v>
      </c>
      <c r="N105" s="5">
        <f>N106+N108+N107+N109</f>
        <v>66624.9</v>
      </c>
    </row>
    <row r="106" spans="1:14" s="48" customFormat="1" ht="20.25">
      <c r="A106" s="40" t="s">
        <v>105</v>
      </c>
      <c r="B106" s="40" t="s">
        <v>62</v>
      </c>
      <c r="C106" s="40" t="s">
        <v>38</v>
      </c>
      <c r="D106" s="41" t="s">
        <v>63</v>
      </c>
      <c r="E106" s="41"/>
      <c r="F106" s="41"/>
      <c r="G106" s="32">
        <f t="shared" si="5"/>
        <v>0</v>
      </c>
      <c r="H106" s="41"/>
      <c r="I106" s="41"/>
      <c r="J106" s="32">
        <f t="shared" si="6"/>
        <v>0</v>
      </c>
      <c r="K106" s="43">
        <f>33000738+145000+972000+408909</f>
        <v>34526647</v>
      </c>
      <c r="L106" s="43">
        <f>-129660-25000-740000</f>
        <v>-894660</v>
      </c>
      <c r="M106" s="44">
        <f>L106+K106</f>
        <v>33631987</v>
      </c>
      <c r="N106" s="11">
        <f t="shared" si="8"/>
        <v>33632</v>
      </c>
    </row>
    <row r="107" spans="1:14" s="48" customFormat="1" ht="33" customHeight="1">
      <c r="A107" s="40" t="s">
        <v>243</v>
      </c>
      <c r="B107" s="40" t="s">
        <v>244</v>
      </c>
      <c r="C107" s="40" t="s">
        <v>38</v>
      </c>
      <c r="D107" s="60" t="s">
        <v>245</v>
      </c>
      <c r="E107" s="41"/>
      <c r="F107" s="41"/>
      <c r="G107" s="32">
        <f t="shared" si="5"/>
        <v>0</v>
      </c>
      <c r="H107" s="41"/>
      <c r="I107" s="41"/>
      <c r="J107" s="32">
        <f t="shared" si="6"/>
        <v>0</v>
      </c>
      <c r="K107" s="43">
        <f>222622+320000-163158.4</f>
        <v>379463.6</v>
      </c>
      <c r="L107" s="43"/>
      <c r="M107" s="44">
        <f>L107+K107</f>
        <v>379463.6</v>
      </c>
      <c r="N107" s="11">
        <f t="shared" si="8"/>
        <v>379.5</v>
      </c>
    </row>
    <row r="108" spans="1:14" s="48" customFormat="1" ht="30" customHeight="1">
      <c r="A108" s="40" t="s">
        <v>121</v>
      </c>
      <c r="B108" s="40" t="s">
        <v>122</v>
      </c>
      <c r="C108" s="40" t="s">
        <v>38</v>
      </c>
      <c r="D108" s="41" t="s">
        <v>123</v>
      </c>
      <c r="E108" s="41"/>
      <c r="F108" s="41"/>
      <c r="G108" s="32">
        <f t="shared" si="5"/>
        <v>0</v>
      </c>
      <c r="H108" s="41"/>
      <c r="I108" s="41"/>
      <c r="J108" s="32">
        <f t="shared" si="6"/>
        <v>0</v>
      </c>
      <c r="K108" s="43">
        <v>29957400</v>
      </c>
      <c r="L108" s="43">
        <v>450000</v>
      </c>
      <c r="M108" s="44">
        <f>L108+K108</f>
        <v>30407400</v>
      </c>
      <c r="N108" s="11">
        <f t="shared" si="8"/>
        <v>30407.4</v>
      </c>
    </row>
    <row r="109" spans="1:14" s="48" customFormat="1" ht="28.5" customHeight="1">
      <c r="A109" s="40" t="s">
        <v>246</v>
      </c>
      <c r="B109" s="40" t="s">
        <v>247</v>
      </c>
      <c r="C109" s="40" t="s">
        <v>38</v>
      </c>
      <c r="D109" s="41" t="s">
        <v>248</v>
      </c>
      <c r="E109" s="41"/>
      <c r="F109" s="41"/>
      <c r="G109" s="32">
        <f t="shared" si="5"/>
        <v>0</v>
      </c>
      <c r="H109" s="41"/>
      <c r="I109" s="41"/>
      <c r="J109" s="32">
        <f t="shared" si="6"/>
        <v>0</v>
      </c>
      <c r="K109" s="43">
        <f>2178000+27980</f>
        <v>2205980</v>
      </c>
      <c r="L109" s="43"/>
      <c r="M109" s="44">
        <f>L109+K109</f>
        <v>2205980</v>
      </c>
      <c r="N109" s="11">
        <f t="shared" si="8"/>
        <v>2206</v>
      </c>
    </row>
    <row r="110" spans="1:14" s="39" customFormat="1" ht="30" customHeight="1">
      <c r="A110" s="36" t="s">
        <v>106</v>
      </c>
      <c r="B110" s="36" t="s">
        <v>64</v>
      </c>
      <c r="C110" s="36" t="s">
        <v>38</v>
      </c>
      <c r="D110" s="37" t="s">
        <v>65</v>
      </c>
      <c r="E110" s="37"/>
      <c r="F110" s="37"/>
      <c r="G110" s="32">
        <f t="shared" si="5"/>
        <v>0</v>
      </c>
      <c r="H110" s="37"/>
      <c r="I110" s="37"/>
      <c r="J110" s="32">
        <f t="shared" si="6"/>
        <v>0</v>
      </c>
      <c r="K110" s="15">
        <f>42609180.35-1625256-198832-3273925</f>
        <v>37511167.35</v>
      </c>
      <c r="L110" s="15">
        <f>-198210-717574-31000</f>
        <v>-946784</v>
      </c>
      <c r="M110" s="38">
        <f>L110+K110</f>
        <v>36564383.35</v>
      </c>
      <c r="N110" s="5">
        <f t="shared" si="8"/>
        <v>36564.4</v>
      </c>
    </row>
    <row r="111" spans="1:14" s="35" customFormat="1" ht="35.25" customHeight="1">
      <c r="A111" s="30" t="s">
        <v>130</v>
      </c>
      <c r="B111" s="30" t="s">
        <v>131</v>
      </c>
      <c r="C111" s="30" t="s">
        <v>49</v>
      </c>
      <c r="D111" s="54" t="s">
        <v>439</v>
      </c>
      <c r="E111" s="54"/>
      <c r="F111" s="54"/>
      <c r="G111" s="32">
        <f t="shared" si="5"/>
        <v>0</v>
      </c>
      <c r="H111" s="54"/>
      <c r="I111" s="54"/>
      <c r="J111" s="32">
        <f t="shared" si="6"/>
        <v>0</v>
      </c>
      <c r="K111" s="33">
        <f>K112+K118+K129+K138</f>
        <v>23584252.13</v>
      </c>
      <c r="L111" s="33">
        <f>L112+L118+L129+L138</f>
        <v>100000</v>
      </c>
      <c r="M111" s="34">
        <f>M112+M118+M129+M138</f>
        <v>23684252.13</v>
      </c>
      <c r="N111" s="10">
        <f>N112+N118+N129+N138</f>
        <v>23684.3</v>
      </c>
    </row>
    <row r="112" spans="1:14" s="39" customFormat="1" ht="27.75" customHeight="1">
      <c r="A112" s="36"/>
      <c r="B112" s="36"/>
      <c r="C112" s="36"/>
      <c r="D112" s="71" t="s">
        <v>138</v>
      </c>
      <c r="E112" s="71" t="s">
        <v>138</v>
      </c>
      <c r="F112" s="37"/>
      <c r="G112" s="32">
        <f t="shared" si="5"/>
        <v>0</v>
      </c>
      <c r="H112" s="37"/>
      <c r="I112" s="37"/>
      <c r="J112" s="32">
        <f t="shared" si="6"/>
        <v>0</v>
      </c>
      <c r="K112" s="33">
        <f>SUM(K113:K117)</f>
        <v>1951077</v>
      </c>
      <c r="L112" s="33">
        <f>SUM(L113:L117)</f>
        <v>0</v>
      </c>
      <c r="M112" s="34">
        <f>SUM(M113:M117)</f>
        <v>1951077</v>
      </c>
      <c r="N112" s="10">
        <f>SUM(N113:N117)</f>
        <v>1951.1</v>
      </c>
    </row>
    <row r="113" spans="1:14" s="39" customFormat="1" ht="48" customHeight="1">
      <c r="A113" s="36"/>
      <c r="B113" s="36"/>
      <c r="C113" s="36"/>
      <c r="D113" s="37" t="s">
        <v>440</v>
      </c>
      <c r="E113" s="37" t="s">
        <v>289</v>
      </c>
      <c r="F113" s="37"/>
      <c r="G113" s="32">
        <f t="shared" si="5"/>
        <v>0</v>
      </c>
      <c r="H113" s="37"/>
      <c r="I113" s="37"/>
      <c r="J113" s="32">
        <f t="shared" si="6"/>
        <v>0</v>
      </c>
      <c r="K113" s="15">
        <f>650000-395107</f>
        <v>254893</v>
      </c>
      <c r="L113" s="15"/>
      <c r="M113" s="38">
        <f>L113+K113</f>
        <v>254893</v>
      </c>
      <c r="N113" s="5">
        <f t="shared" si="8"/>
        <v>254.9</v>
      </c>
    </row>
    <row r="114" spans="1:14" s="39" customFormat="1" ht="62.25" customHeight="1">
      <c r="A114" s="36"/>
      <c r="B114" s="36"/>
      <c r="C114" s="36"/>
      <c r="D114" s="37" t="s">
        <v>441</v>
      </c>
      <c r="E114" s="37" t="s">
        <v>355</v>
      </c>
      <c r="F114" s="37"/>
      <c r="G114" s="32">
        <f t="shared" si="5"/>
        <v>0</v>
      </c>
      <c r="H114" s="37"/>
      <c r="I114" s="37"/>
      <c r="J114" s="32">
        <f t="shared" si="6"/>
        <v>0</v>
      </c>
      <c r="K114" s="15">
        <f>350000-11980</f>
        <v>338020</v>
      </c>
      <c r="L114" s="15"/>
      <c r="M114" s="38">
        <f>L114+K114</f>
        <v>338020</v>
      </c>
      <c r="N114" s="5">
        <f t="shared" si="8"/>
        <v>338</v>
      </c>
    </row>
    <row r="115" spans="1:14" s="39" customFormat="1" ht="48.75" customHeight="1">
      <c r="A115" s="36"/>
      <c r="B115" s="36"/>
      <c r="C115" s="36"/>
      <c r="D115" s="37" t="s">
        <v>338</v>
      </c>
      <c r="E115" s="37" t="s">
        <v>338</v>
      </c>
      <c r="F115" s="37"/>
      <c r="G115" s="32">
        <f t="shared" si="5"/>
        <v>0</v>
      </c>
      <c r="H115" s="37"/>
      <c r="I115" s="37"/>
      <c r="J115" s="32">
        <f t="shared" si="6"/>
        <v>0</v>
      </c>
      <c r="K115" s="15">
        <f>350000-70000</f>
        <v>280000</v>
      </c>
      <c r="L115" s="15"/>
      <c r="M115" s="38">
        <f>L115+K115</f>
        <v>280000</v>
      </c>
      <c r="N115" s="5">
        <f t="shared" si="8"/>
        <v>280</v>
      </c>
    </row>
    <row r="116" spans="1:14" s="39" customFormat="1" ht="46.5" customHeight="1">
      <c r="A116" s="36"/>
      <c r="B116" s="36"/>
      <c r="C116" s="36"/>
      <c r="D116" s="37" t="s">
        <v>339</v>
      </c>
      <c r="E116" s="37" t="s">
        <v>339</v>
      </c>
      <c r="F116" s="37"/>
      <c r="G116" s="32">
        <f t="shared" si="5"/>
        <v>0</v>
      </c>
      <c r="H116" s="37"/>
      <c r="I116" s="37"/>
      <c r="J116" s="32">
        <f t="shared" si="6"/>
        <v>0</v>
      </c>
      <c r="K116" s="15">
        <f>250000-141836</f>
        <v>108164</v>
      </c>
      <c r="L116" s="15"/>
      <c r="M116" s="38">
        <f>L116+K116</f>
        <v>108164</v>
      </c>
      <c r="N116" s="5">
        <f t="shared" si="8"/>
        <v>108.2</v>
      </c>
    </row>
    <row r="117" spans="1:14" s="39" customFormat="1" ht="41.25" customHeight="1">
      <c r="A117" s="36"/>
      <c r="B117" s="36"/>
      <c r="C117" s="36"/>
      <c r="D117" s="37" t="s">
        <v>287</v>
      </c>
      <c r="E117" s="37" t="s">
        <v>287</v>
      </c>
      <c r="F117" s="37"/>
      <c r="G117" s="32">
        <f t="shared" si="5"/>
        <v>0</v>
      </c>
      <c r="H117" s="37"/>
      <c r="I117" s="37"/>
      <c r="J117" s="32">
        <f t="shared" si="6"/>
        <v>0</v>
      </c>
      <c r="K117" s="15">
        <f>1300000-330000</f>
        <v>970000</v>
      </c>
      <c r="L117" s="15"/>
      <c r="M117" s="38">
        <f>L117+K117</f>
        <v>970000</v>
      </c>
      <c r="N117" s="5">
        <f t="shared" si="8"/>
        <v>970</v>
      </c>
    </row>
    <row r="118" spans="1:14" s="39" customFormat="1" ht="32.25" customHeight="1">
      <c r="A118" s="36"/>
      <c r="B118" s="36"/>
      <c r="C118" s="36"/>
      <c r="D118" s="71" t="s">
        <v>179</v>
      </c>
      <c r="E118" s="71" t="s">
        <v>179</v>
      </c>
      <c r="F118" s="37"/>
      <c r="G118" s="32">
        <f t="shared" si="5"/>
        <v>0</v>
      </c>
      <c r="H118" s="37"/>
      <c r="I118" s="37"/>
      <c r="J118" s="32">
        <f t="shared" si="6"/>
        <v>0</v>
      </c>
      <c r="K118" s="33">
        <f>SUM(K119:K128)</f>
        <v>1592591</v>
      </c>
      <c r="L118" s="33">
        <f>SUM(L119:L128)</f>
        <v>100000</v>
      </c>
      <c r="M118" s="34">
        <f>SUM(M119:M128)</f>
        <v>1692591</v>
      </c>
      <c r="N118" s="10">
        <f>SUM(N119:N128)</f>
        <v>1692.6</v>
      </c>
    </row>
    <row r="119" spans="1:14" s="39" customFormat="1" ht="30" customHeight="1">
      <c r="A119" s="36"/>
      <c r="B119" s="36"/>
      <c r="C119" s="36"/>
      <c r="D119" s="37" t="s">
        <v>442</v>
      </c>
      <c r="E119" s="37" t="s">
        <v>181</v>
      </c>
      <c r="F119" s="37"/>
      <c r="G119" s="32">
        <f t="shared" si="5"/>
        <v>0</v>
      </c>
      <c r="H119" s="37"/>
      <c r="I119" s="37"/>
      <c r="J119" s="32">
        <f t="shared" si="6"/>
        <v>0</v>
      </c>
      <c r="K119" s="15">
        <f>50000-15000+129000-2338</f>
        <v>161662</v>
      </c>
      <c r="L119" s="15"/>
      <c r="M119" s="38">
        <f aca="true" t="shared" si="9" ref="M119:M128">L119+K119</f>
        <v>161662</v>
      </c>
      <c r="N119" s="5">
        <f t="shared" si="8"/>
        <v>161.7</v>
      </c>
    </row>
    <row r="120" spans="1:14" s="39" customFormat="1" ht="45" customHeight="1">
      <c r="A120" s="36"/>
      <c r="B120" s="36"/>
      <c r="C120" s="36"/>
      <c r="D120" s="37" t="s">
        <v>444</v>
      </c>
      <c r="E120" s="37" t="s">
        <v>392</v>
      </c>
      <c r="F120" s="37"/>
      <c r="G120" s="32">
        <f t="shared" si="5"/>
        <v>0</v>
      </c>
      <c r="H120" s="37"/>
      <c r="I120" s="37"/>
      <c r="J120" s="32">
        <f t="shared" si="6"/>
        <v>0</v>
      </c>
      <c r="K120" s="15">
        <f>10000+134003-134003</f>
        <v>10000</v>
      </c>
      <c r="L120" s="15"/>
      <c r="M120" s="38">
        <f t="shared" si="9"/>
        <v>10000</v>
      </c>
      <c r="N120" s="5">
        <f t="shared" si="8"/>
        <v>10</v>
      </c>
    </row>
    <row r="121" spans="1:14" s="39" customFormat="1" ht="45.75" customHeight="1">
      <c r="A121" s="36"/>
      <c r="B121" s="36"/>
      <c r="C121" s="36"/>
      <c r="D121" s="37" t="s">
        <v>445</v>
      </c>
      <c r="E121" s="37" t="s">
        <v>391</v>
      </c>
      <c r="F121" s="37"/>
      <c r="G121" s="32">
        <f t="shared" si="5"/>
        <v>0</v>
      </c>
      <c r="H121" s="37"/>
      <c r="I121" s="37"/>
      <c r="J121" s="32">
        <f t="shared" si="6"/>
        <v>0</v>
      </c>
      <c r="K121" s="15">
        <f>50000-15000-25000</f>
        <v>10000</v>
      </c>
      <c r="L121" s="15"/>
      <c r="M121" s="38">
        <f t="shared" si="9"/>
        <v>10000</v>
      </c>
      <c r="N121" s="5">
        <f t="shared" si="8"/>
        <v>10</v>
      </c>
    </row>
    <row r="122" spans="1:14" s="39" customFormat="1" ht="49.5" customHeight="1">
      <c r="A122" s="36"/>
      <c r="B122" s="36"/>
      <c r="C122" s="36"/>
      <c r="D122" s="37" t="s">
        <v>446</v>
      </c>
      <c r="E122" s="37" t="s">
        <v>394</v>
      </c>
      <c r="F122" s="37"/>
      <c r="G122" s="32">
        <f t="shared" si="5"/>
        <v>0</v>
      </c>
      <c r="H122" s="37"/>
      <c r="I122" s="37"/>
      <c r="J122" s="32">
        <f t="shared" si="6"/>
        <v>0</v>
      </c>
      <c r="K122" s="15">
        <f>9550+208588</f>
        <v>218138</v>
      </c>
      <c r="L122" s="15"/>
      <c r="M122" s="38">
        <f t="shared" si="9"/>
        <v>218138</v>
      </c>
      <c r="N122" s="5">
        <f t="shared" si="8"/>
        <v>218.1</v>
      </c>
    </row>
    <row r="123" spans="1:14" s="39" customFormat="1" ht="36.75" customHeight="1">
      <c r="A123" s="36"/>
      <c r="B123" s="36"/>
      <c r="C123" s="36"/>
      <c r="D123" s="37" t="s">
        <v>340</v>
      </c>
      <c r="E123" s="37" t="s">
        <v>340</v>
      </c>
      <c r="F123" s="37"/>
      <c r="G123" s="32">
        <f t="shared" si="5"/>
        <v>0</v>
      </c>
      <c r="H123" s="37"/>
      <c r="I123" s="37"/>
      <c r="J123" s="32">
        <f t="shared" si="6"/>
        <v>0</v>
      </c>
      <c r="K123" s="15">
        <f>111000-3008+2500</f>
        <v>110492</v>
      </c>
      <c r="L123" s="15"/>
      <c r="M123" s="38">
        <f t="shared" si="9"/>
        <v>110492</v>
      </c>
      <c r="N123" s="5">
        <f t="shared" si="8"/>
        <v>110.5</v>
      </c>
    </row>
    <row r="124" spans="1:14" s="39" customFormat="1" ht="48.75" customHeight="1">
      <c r="A124" s="36"/>
      <c r="B124" s="36"/>
      <c r="C124" s="36"/>
      <c r="D124" s="37" t="s">
        <v>447</v>
      </c>
      <c r="E124" s="37" t="s">
        <v>395</v>
      </c>
      <c r="F124" s="37"/>
      <c r="G124" s="32">
        <f t="shared" si="5"/>
        <v>0</v>
      </c>
      <c r="H124" s="37"/>
      <c r="I124" s="37"/>
      <c r="J124" s="32">
        <f t="shared" si="6"/>
        <v>0</v>
      </c>
      <c r="K124" s="15">
        <f>50000-15000-25450+134003-13053</f>
        <v>130500</v>
      </c>
      <c r="L124" s="15"/>
      <c r="M124" s="38">
        <f t="shared" si="9"/>
        <v>130500</v>
      </c>
      <c r="N124" s="5">
        <f t="shared" si="8"/>
        <v>130.5</v>
      </c>
    </row>
    <row r="125" spans="1:14" s="39" customFormat="1" ht="32.25" customHeight="1">
      <c r="A125" s="36"/>
      <c r="B125" s="36"/>
      <c r="C125" s="36"/>
      <c r="D125" s="37" t="s">
        <v>443</v>
      </c>
      <c r="E125" s="37" t="s">
        <v>180</v>
      </c>
      <c r="F125" s="37"/>
      <c r="G125" s="32">
        <f t="shared" si="5"/>
        <v>0</v>
      </c>
      <c r="H125" s="37"/>
      <c r="I125" s="37"/>
      <c r="J125" s="32">
        <f t="shared" si="6"/>
        <v>0</v>
      </c>
      <c r="K125" s="15">
        <f>123900-114353</f>
        <v>9547</v>
      </c>
      <c r="L125" s="15"/>
      <c r="M125" s="38">
        <f t="shared" si="9"/>
        <v>9547</v>
      </c>
      <c r="N125" s="5">
        <f>ROUND(M125/1000,1)+0.1</f>
        <v>9.6</v>
      </c>
    </row>
    <row r="126" spans="1:14" s="39" customFormat="1" ht="59.25" customHeight="1">
      <c r="A126" s="36"/>
      <c r="B126" s="36"/>
      <c r="C126" s="36"/>
      <c r="D126" s="37" t="s">
        <v>448</v>
      </c>
      <c r="E126" s="37" t="s">
        <v>393</v>
      </c>
      <c r="F126" s="37"/>
      <c r="G126" s="32">
        <f t="shared" si="5"/>
        <v>0</v>
      </c>
      <c r="H126" s="37"/>
      <c r="I126" s="37"/>
      <c r="J126" s="32">
        <f t="shared" si="6"/>
        <v>0</v>
      </c>
      <c r="K126" s="15">
        <f>33000-3000-20000+115000</f>
        <v>125000</v>
      </c>
      <c r="L126" s="15">
        <v>100000</v>
      </c>
      <c r="M126" s="38">
        <f t="shared" si="9"/>
        <v>225000</v>
      </c>
      <c r="N126" s="5">
        <f t="shared" si="8"/>
        <v>225</v>
      </c>
    </row>
    <row r="127" spans="1:14" s="39" customFormat="1" ht="57.75" customHeight="1">
      <c r="A127" s="36"/>
      <c r="B127" s="36"/>
      <c r="C127" s="36"/>
      <c r="D127" s="37" t="s">
        <v>449</v>
      </c>
      <c r="E127" s="37" t="s">
        <v>396</v>
      </c>
      <c r="F127" s="37"/>
      <c r="G127" s="32">
        <f t="shared" si="5"/>
        <v>0</v>
      </c>
      <c r="H127" s="37"/>
      <c r="I127" s="37"/>
      <c r="J127" s="32">
        <f t="shared" si="6"/>
        <v>0</v>
      </c>
      <c r="K127" s="15">
        <f>48000+522252-48000</f>
        <v>522252</v>
      </c>
      <c r="L127" s="15"/>
      <c r="M127" s="38">
        <f t="shared" si="9"/>
        <v>522252</v>
      </c>
      <c r="N127" s="5">
        <f>ROUND(M127/1000,1)-0.1</f>
        <v>522.1999999999999</v>
      </c>
    </row>
    <row r="128" spans="1:14" s="39" customFormat="1" ht="51" customHeight="1">
      <c r="A128" s="36"/>
      <c r="B128" s="36"/>
      <c r="C128" s="36"/>
      <c r="D128" s="37" t="s">
        <v>288</v>
      </c>
      <c r="E128" s="37" t="s">
        <v>288</v>
      </c>
      <c r="F128" s="37"/>
      <c r="G128" s="32">
        <f t="shared" si="5"/>
        <v>0</v>
      </c>
      <c r="H128" s="37"/>
      <c r="I128" s="37"/>
      <c r="J128" s="32">
        <f t="shared" si="6"/>
        <v>0</v>
      </c>
      <c r="K128" s="15">
        <v>295000</v>
      </c>
      <c r="L128" s="15"/>
      <c r="M128" s="38">
        <f t="shared" si="9"/>
        <v>295000</v>
      </c>
      <c r="N128" s="5">
        <f t="shared" si="8"/>
        <v>295</v>
      </c>
    </row>
    <row r="129" spans="1:14" s="39" customFormat="1" ht="24.75" customHeight="1">
      <c r="A129" s="36"/>
      <c r="B129" s="36"/>
      <c r="C129" s="36"/>
      <c r="D129" s="54" t="s">
        <v>207</v>
      </c>
      <c r="E129" s="54" t="s">
        <v>207</v>
      </c>
      <c r="F129" s="37"/>
      <c r="G129" s="32">
        <f t="shared" si="5"/>
        <v>0</v>
      </c>
      <c r="H129" s="37"/>
      <c r="I129" s="37"/>
      <c r="J129" s="32">
        <f t="shared" si="6"/>
        <v>0</v>
      </c>
      <c r="K129" s="33">
        <f>SUM(K130:K137)</f>
        <v>17152734</v>
      </c>
      <c r="L129" s="33">
        <f>SUM(L130:L137)</f>
        <v>0</v>
      </c>
      <c r="M129" s="34">
        <f>SUM(M130:M137)</f>
        <v>17152734</v>
      </c>
      <c r="N129" s="10">
        <f>SUM(N130:N137)</f>
        <v>17152.699999999997</v>
      </c>
    </row>
    <row r="130" spans="1:14" s="39" customFormat="1" ht="51.75" customHeight="1">
      <c r="A130" s="36"/>
      <c r="B130" s="36"/>
      <c r="C130" s="36"/>
      <c r="D130" s="37" t="s">
        <v>177</v>
      </c>
      <c r="E130" s="37" t="s">
        <v>177</v>
      </c>
      <c r="F130" s="37"/>
      <c r="G130" s="32">
        <f t="shared" si="5"/>
        <v>0</v>
      </c>
      <c r="H130" s="37"/>
      <c r="I130" s="37"/>
      <c r="J130" s="32">
        <f t="shared" si="6"/>
        <v>0</v>
      </c>
      <c r="K130" s="15">
        <f>250000-22297-16790.9</f>
        <v>210912.1</v>
      </c>
      <c r="L130" s="15"/>
      <c r="M130" s="38">
        <f aca="true" t="shared" si="10" ref="M130:M137">L130+K130</f>
        <v>210912.1</v>
      </c>
      <c r="N130" s="5">
        <f t="shared" si="8"/>
        <v>210.9</v>
      </c>
    </row>
    <row r="131" spans="1:14" s="39" customFormat="1" ht="75" customHeight="1">
      <c r="A131" s="36"/>
      <c r="B131" s="36"/>
      <c r="C131" s="36"/>
      <c r="D131" s="37" t="s">
        <v>297</v>
      </c>
      <c r="E131" s="37" t="s">
        <v>297</v>
      </c>
      <c r="F131" s="37"/>
      <c r="G131" s="32">
        <f t="shared" si="5"/>
        <v>0</v>
      </c>
      <c r="H131" s="37"/>
      <c r="I131" s="37"/>
      <c r="J131" s="32">
        <f t="shared" si="6"/>
        <v>0</v>
      </c>
      <c r="K131" s="15">
        <f>250000-71-16866.32</f>
        <v>233062.68</v>
      </c>
      <c r="L131" s="15"/>
      <c r="M131" s="38">
        <f t="shared" si="10"/>
        <v>233062.68</v>
      </c>
      <c r="N131" s="5">
        <f t="shared" si="8"/>
        <v>233.1</v>
      </c>
    </row>
    <row r="132" spans="1:14" s="39" customFormat="1" ht="43.5" customHeight="1">
      <c r="A132" s="36"/>
      <c r="B132" s="36"/>
      <c r="C132" s="36"/>
      <c r="D132" s="37" t="s">
        <v>298</v>
      </c>
      <c r="E132" s="37" t="s">
        <v>298</v>
      </c>
      <c r="F132" s="37"/>
      <c r="G132" s="32">
        <f t="shared" si="5"/>
        <v>0</v>
      </c>
      <c r="H132" s="37"/>
      <c r="I132" s="37"/>
      <c r="J132" s="32">
        <f t="shared" si="6"/>
        <v>0</v>
      </c>
      <c r="K132" s="15">
        <f>240000-2337-342.78</f>
        <v>237320.22</v>
      </c>
      <c r="L132" s="15"/>
      <c r="M132" s="38">
        <f t="shared" si="10"/>
        <v>237320.22</v>
      </c>
      <c r="N132" s="5">
        <f t="shared" si="8"/>
        <v>237.3</v>
      </c>
    </row>
    <row r="133" spans="1:14" s="39" customFormat="1" ht="49.5" customHeight="1">
      <c r="A133" s="36"/>
      <c r="B133" s="36"/>
      <c r="C133" s="36"/>
      <c r="D133" s="37" t="s">
        <v>299</v>
      </c>
      <c r="E133" s="37" t="s">
        <v>299</v>
      </c>
      <c r="F133" s="37"/>
      <c r="G133" s="32">
        <f t="shared" si="5"/>
        <v>0</v>
      </c>
      <c r="H133" s="37"/>
      <c r="I133" s="37"/>
      <c r="J133" s="32">
        <f t="shared" si="6"/>
        <v>0</v>
      </c>
      <c r="K133" s="15">
        <f>240000-23491-16000</f>
        <v>200509</v>
      </c>
      <c r="L133" s="15"/>
      <c r="M133" s="38">
        <f t="shared" si="10"/>
        <v>200509</v>
      </c>
      <c r="N133" s="5">
        <f t="shared" si="8"/>
        <v>200.5</v>
      </c>
    </row>
    <row r="134" spans="1:14" s="39" customFormat="1" ht="49.5" customHeight="1">
      <c r="A134" s="36"/>
      <c r="B134" s="36"/>
      <c r="C134" s="36"/>
      <c r="D134" s="37" t="s">
        <v>356</v>
      </c>
      <c r="E134" s="37" t="s">
        <v>356</v>
      </c>
      <c r="F134" s="37"/>
      <c r="G134" s="32">
        <f t="shared" si="5"/>
        <v>0</v>
      </c>
      <c r="H134" s="37"/>
      <c r="I134" s="37"/>
      <c r="J134" s="32">
        <f t="shared" si="6"/>
        <v>0</v>
      </c>
      <c r="K134" s="15">
        <f>14991530-100000-109600</f>
        <v>14781930</v>
      </c>
      <c r="L134" s="15"/>
      <c r="M134" s="38">
        <f t="shared" si="10"/>
        <v>14781930</v>
      </c>
      <c r="N134" s="5">
        <f t="shared" si="8"/>
        <v>14781.9</v>
      </c>
    </row>
    <row r="135" spans="1:14" s="39" customFormat="1" ht="48" customHeight="1">
      <c r="A135" s="36"/>
      <c r="B135" s="36"/>
      <c r="C135" s="36"/>
      <c r="D135" s="37" t="s">
        <v>424</v>
      </c>
      <c r="E135" s="37" t="s">
        <v>424</v>
      </c>
      <c r="F135" s="37"/>
      <c r="G135" s="32">
        <f t="shared" si="5"/>
        <v>0</v>
      </c>
      <c r="H135" s="37"/>
      <c r="I135" s="37"/>
      <c r="J135" s="32">
        <f t="shared" si="6"/>
        <v>0</v>
      </c>
      <c r="K135" s="15">
        <v>20000</v>
      </c>
      <c r="L135" s="15"/>
      <c r="M135" s="38">
        <f t="shared" si="10"/>
        <v>20000</v>
      </c>
      <c r="N135" s="5">
        <f t="shared" si="8"/>
        <v>20</v>
      </c>
    </row>
    <row r="136" spans="1:14" s="39" customFormat="1" ht="45" customHeight="1">
      <c r="A136" s="36"/>
      <c r="B136" s="36"/>
      <c r="C136" s="36"/>
      <c r="D136" s="37" t="s">
        <v>354</v>
      </c>
      <c r="E136" s="37" t="s">
        <v>354</v>
      </c>
      <c r="F136" s="37"/>
      <c r="G136" s="32">
        <f t="shared" si="5"/>
        <v>0</v>
      </c>
      <c r="H136" s="37"/>
      <c r="I136" s="37"/>
      <c r="J136" s="32">
        <f t="shared" si="6"/>
        <v>0</v>
      </c>
      <c r="K136" s="15">
        <f>200000+1000000</f>
        <v>1200000</v>
      </c>
      <c r="L136" s="15"/>
      <c r="M136" s="38">
        <f t="shared" si="10"/>
        <v>1200000</v>
      </c>
      <c r="N136" s="5">
        <f t="shared" si="8"/>
        <v>1200</v>
      </c>
    </row>
    <row r="137" spans="1:14" s="39" customFormat="1" ht="47.25" customHeight="1">
      <c r="A137" s="36"/>
      <c r="B137" s="36"/>
      <c r="C137" s="36"/>
      <c r="D137" s="37" t="s">
        <v>301</v>
      </c>
      <c r="E137" s="37" t="s">
        <v>301</v>
      </c>
      <c r="F137" s="37"/>
      <c r="G137" s="32">
        <f t="shared" si="5"/>
        <v>0</v>
      </c>
      <c r="H137" s="37"/>
      <c r="I137" s="37"/>
      <c r="J137" s="32">
        <f t="shared" si="6"/>
        <v>0</v>
      </c>
      <c r="K137" s="15">
        <v>269000</v>
      </c>
      <c r="L137" s="15"/>
      <c r="M137" s="38">
        <f t="shared" si="10"/>
        <v>269000</v>
      </c>
      <c r="N137" s="5">
        <f t="shared" si="8"/>
        <v>269</v>
      </c>
    </row>
    <row r="138" spans="1:14" s="39" customFormat="1" ht="30.75" customHeight="1">
      <c r="A138" s="36"/>
      <c r="B138" s="36"/>
      <c r="C138" s="36"/>
      <c r="D138" s="54" t="s">
        <v>471</v>
      </c>
      <c r="E138" s="54" t="s">
        <v>406</v>
      </c>
      <c r="F138" s="37"/>
      <c r="G138" s="32">
        <f t="shared" si="5"/>
        <v>0</v>
      </c>
      <c r="H138" s="37"/>
      <c r="I138" s="37"/>
      <c r="J138" s="32">
        <f t="shared" si="6"/>
        <v>0</v>
      </c>
      <c r="K138" s="33">
        <f>K139</f>
        <v>2887850.13</v>
      </c>
      <c r="L138" s="33">
        <f>L139</f>
        <v>0</v>
      </c>
      <c r="M138" s="34">
        <f>M139</f>
        <v>2887850.13</v>
      </c>
      <c r="N138" s="10">
        <f>N139</f>
        <v>2887.9</v>
      </c>
    </row>
    <row r="139" spans="1:14" s="39" customFormat="1" ht="57" customHeight="1">
      <c r="A139" s="36"/>
      <c r="B139" s="36"/>
      <c r="C139" s="36"/>
      <c r="D139" s="37" t="s">
        <v>263</v>
      </c>
      <c r="E139" s="37" t="s">
        <v>263</v>
      </c>
      <c r="F139" s="37"/>
      <c r="G139" s="32">
        <f t="shared" si="5"/>
        <v>0</v>
      </c>
      <c r="H139" s="37"/>
      <c r="I139" s="37"/>
      <c r="J139" s="32">
        <f t="shared" si="6"/>
        <v>0</v>
      </c>
      <c r="K139" s="15">
        <v>2887850.13</v>
      </c>
      <c r="L139" s="15"/>
      <c r="M139" s="38">
        <f>L139+K139</f>
        <v>2887850.13</v>
      </c>
      <c r="N139" s="5">
        <f t="shared" si="8"/>
        <v>2887.9</v>
      </c>
    </row>
    <row r="140" spans="1:14" s="39" customFormat="1" ht="43.5" customHeight="1">
      <c r="A140" s="36" t="s">
        <v>132</v>
      </c>
      <c r="B140" s="36" t="s">
        <v>133</v>
      </c>
      <c r="C140" s="36" t="s">
        <v>49</v>
      </c>
      <c r="D140" s="54" t="s">
        <v>450</v>
      </c>
      <c r="E140" s="37"/>
      <c r="F140" s="37"/>
      <c r="G140" s="32">
        <f t="shared" si="5"/>
        <v>0</v>
      </c>
      <c r="H140" s="37"/>
      <c r="I140" s="37"/>
      <c r="J140" s="32">
        <f t="shared" si="6"/>
        <v>0</v>
      </c>
      <c r="K140" s="33">
        <f>K141+K146</f>
        <v>6458315</v>
      </c>
      <c r="L140" s="33">
        <f>L141+L146</f>
        <v>-220000</v>
      </c>
      <c r="M140" s="34">
        <f>M141+M146</f>
        <v>6238315</v>
      </c>
      <c r="N140" s="10">
        <f>N141+N146</f>
        <v>6238.3</v>
      </c>
    </row>
    <row r="141" spans="1:14" s="39" customFormat="1" ht="22.5" customHeight="1">
      <c r="A141" s="36"/>
      <c r="B141" s="36"/>
      <c r="C141" s="36"/>
      <c r="D141" s="71" t="s">
        <v>138</v>
      </c>
      <c r="E141" s="71" t="s">
        <v>138</v>
      </c>
      <c r="F141" s="37"/>
      <c r="G141" s="32">
        <f t="shared" si="5"/>
        <v>0</v>
      </c>
      <c r="H141" s="37"/>
      <c r="I141" s="37"/>
      <c r="J141" s="32">
        <f t="shared" si="6"/>
        <v>0</v>
      </c>
      <c r="K141" s="33">
        <f>K142+K143+K144+K145</f>
        <v>3629785</v>
      </c>
      <c r="L141" s="33">
        <f>L142+L143+L144+L145</f>
        <v>-220000</v>
      </c>
      <c r="M141" s="33">
        <f>M142+M143+M144+M145</f>
        <v>3409785</v>
      </c>
      <c r="N141" s="10">
        <f>N142+N143+N144+N145</f>
        <v>3409.8</v>
      </c>
    </row>
    <row r="142" spans="1:14" s="39" customFormat="1" ht="34.5" customHeight="1">
      <c r="A142" s="36"/>
      <c r="B142" s="36"/>
      <c r="C142" s="36"/>
      <c r="D142" s="37" t="s">
        <v>451</v>
      </c>
      <c r="E142" s="37" t="s">
        <v>203</v>
      </c>
      <c r="F142" s="37"/>
      <c r="G142" s="32">
        <f t="shared" si="5"/>
        <v>0</v>
      </c>
      <c r="H142" s="37"/>
      <c r="I142" s="37"/>
      <c r="J142" s="32">
        <f t="shared" si="6"/>
        <v>0</v>
      </c>
      <c r="K142" s="15">
        <f>335000-191961</f>
        <v>143039</v>
      </c>
      <c r="L142" s="15">
        <v>200000</v>
      </c>
      <c r="M142" s="38">
        <f>L142+K142</f>
        <v>343039</v>
      </c>
      <c r="N142" s="5">
        <f t="shared" si="8"/>
        <v>343</v>
      </c>
    </row>
    <row r="143" spans="1:14" s="39" customFormat="1" ht="27.75" customHeight="1">
      <c r="A143" s="36"/>
      <c r="B143" s="36"/>
      <c r="C143" s="36"/>
      <c r="D143" s="37" t="s">
        <v>452</v>
      </c>
      <c r="E143" s="37" t="s">
        <v>206</v>
      </c>
      <c r="F143" s="37"/>
      <c r="G143" s="32">
        <f t="shared" si="5"/>
        <v>0</v>
      </c>
      <c r="H143" s="37"/>
      <c r="I143" s="37"/>
      <c r="J143" s="32">
        <f t="shared" si="6"/>
        <v>0</v>
      </c>
      <c r="K143" s="15">
        <f>3000000-589933</f>
        <v>2410067</v>
      </c>
      <c r="L143" s="15">
        <f>-220000-200000</f>
        <v>-420000</v>
      </c>
      <c r="M143" s="38">
        <f>L143+K143</f>
        <v>1990067</v>
      </c>
      <c r="N143" s="5">
        <f t="shared" si="8"/>
        <v>1990.1</v>
      </c>
    </row>
    <row r="144" spans="1:14" s="39" customFormat="1" ht="27.75" customHeight="1">
      <c r="A144" s="36"/>
      <c r="B144" s="36"/>
      <c r="C144" s="36"/>
      <c r="D144" s="37" t="s">
        <v>215</v>
      </c>
      <c r="E144" s="37" t="s">
        <v>215</v>
      </c>
      <c r="F144" s="37"/>
      <c r="G144" s="32">
        <f t="shared" si="5"/>
        <v>0</v>
      </c>
      <c r="H144" s="37"/>
      <c r="I144" s="37"/>
      <c r="J144" s="32">
        <f t="shared" si="6"/>
        <v>0</v>
      </c>
      <c r="K144" s="15">
        <v>376800</v>
      </c>
      <c r="L144" s="15"/>
      <c r="M144" s="38">
        <f>L144+K144</f>
        <v>376800</v>
      </c>
      <c r="N144" s="5">
        <f t="shared" si="8"/>
        <v>376.8</v>
      </c>
    </row>
    <row r="145" spans="1:14" s="39" customFormat="1" ht="64.5" customHeight="1">
      <c r="A145" s="36"/>
      <c r="B145" s="36"/>
      <c r="C145" s="36"/>
      <c r="D145" s="37" t="s">
        <v>304</v>
      </c>
      <c r="E145" s="37" t="s">
        <v>304</v>
      </c>
      <c r="F145" s="37"/>
      <c r="G145" s="32">
        <f t="shared" si="5"/>
        <v>0</v>
      </c>
      <c r="H145" s="37"/>
      <c r="I145" s="37"/>
      <c r="J145" s="32">
        <f t="shared" si="6"/>
        <v>0</v>
      </c>
      <c r="K145" s="15">
        <f>700000-121</f>
        <v>699879</v>
      </c>
      <c r="L145" s="15"/>
      <c r="M145" s="38">
        <f>L145+K145</f>
        <v>699879</v>
      </c>
      <c r="N145" s="5">
        <f t="shared" si="8"/>
        <v>699.9</v>
      </c>
    </row>
    <row r="146" spans="1:14" s="39" customFormat="1" ht="28.5" customHeight="1">
      <c r="A146" s="36"/>
      <c r="B146" s="36"/>
      <c r="C146" s="36"/>
      <c r="D146" s="54" t="s">
        <v>141</v>
      </c>
      <c r="E146" s="54" t="s">
        <v>141</v>
      </c>
      <c r="F146" s="37"/>
      <c r="G146" s="32">
        <f aca="true" t="shared" si="11" ref="G146:G209">ROUND(F146/1000,1)</f>
        <v>0</v>
      </c>
      <c r="H146" s="37"/>
      <c r="I146" s="37"/>
      <c r="J146" s="32">
        <f aca="true" t="shared" si="12" ref="J146:J209">ROUND(I146/1000,1)</f>
        <v>0</v>
      </c>
      <c r="K146" s="33">
        <f>K147+K149+K148</f>
        <v>2828530</v>
      </c>
      <c r="L146" s="33">
        <f>L147+L149+L148</f>
        <v>0</v>
      </c>
      <c r="M146" s="34">
        <f>M147+M149+M148</f>
        <v>2828530</v>
      </c>
      <c r="N146" s="10">
        <f>N147+N149+N148</f>
        <v>2828.5</v>
      </c>
    </row>
    <row r="147" spans="1:14" s="39" customFormat="1" ht="46.5" customHeight="1">
      <c r="A147" s="36"/>
      <c r="B147" s="36"/>
      <c r="C147" s="36"/>
      <c r="D147" s="37" t="s">
        <v>204</v>
      </c>
      <c r="E147" s="37" t="s">
        <v>204</v>
      </c>
      <c r="F147" s="37"/>
      <c r="G147" s="32">
        <f t="shared" si="11"/>
        <v>0</v>
      </c>
      <c r="H147" s="37"/>
      <c r="I147" s="37"/>
      <c r="J147" s="32">
        <f t="shared" si="12"/>
        <v>0</v>
      </c>
      <c r="K147" s="15">
        <f>1185530-94000</f>
        <v>1091530</v>
      </c>
      <c r="L147" s="15"/>
      <c r="M147" s="38">
        <f>L147+K147</f>
        <v>1091530</v>
      </c>
      <c r="N147" s="5">
        <f aca="true" t="shared" si="13" ref="N147:N209">ROUND(M147/1000,1)</f>
        <v>1091.5</v>
      </c>
    </row>
    <row r="148" spans="1:14" s="39" customFormat="1" ht="45.75" customHeight="1">
      <c r="A148" s="36"/>
      <c r="B148" s="36"/>
      <c r="C148" s="36"/>
      <c r="D148" s="37" t="s">
        <v>390</v>
      </c>
      <c r="E148" s="37" t="s">
        <v>390</v>
      </c>
      <c r="F148" s="37"/>
      <c r="G148" s="32">
        <f t="shared" si="11"/>
        <v>0</v>
      </c>
      <c r="H148" s="37"/>
      <c r="I148" s="37"/>
      <c r="J148" s="32">
        <f t="shared" si="12"/>
        <v>0</v>
      </c>
      <c r="K148" s="15">
        <v>1497000</v>
      </c>
      <c r="L148" s="15"/>
      <c r="M148" s="38">
        <f>L148+K148</f>
        <v>1497000</v>
      </c>
      <c r="N148" s="5">
        <f t="shared" si="13"/>
        <v>1497</v>
      </c>
    </row>
    <row r="149" spans="1:14" s="39" customFormat="1" ht="24" customHeight="1">
      <c r="A149" s="36"/>
      <c r="B149" s="36"/>
      <c r="C149" s="36"/>
      <c r="D149" s="37" t="s">
        <v>205</v>
      </c>
      <c r="E149" s="37" t="s">
        <v>205</v>
      </c>
      <c r="F149" s="37"/>
      <c r="G149" s="32">
        <f t="shared" si="11"/>
        <v>0</v>
      </c>
      <c r="H149" s="37"/>
      <c r="I149" s="37"/>
      <c r="J149" s="32">
        <f t="shared" si="12"/>
        <v>0</v>
      </c>
      <c r="K149" s="15">
        <f>250000-10000</f>
        <v>240000</v>
      </c>
      <c r="L149" s="15"/>
      <c r="M149" s="38">
        <f>L149+K149</f>
        <v>240000</v>
      </c>
      <c r="N149" s="5">
        <f t="shared" si="13"/>
        <v>240</v>
      </c>
    </row>
    <row r="150" spans="1:14" s="35" customFormat="1" ht="39" customHeight="1">
      <c r="A150" s="30" t="s">
        <v>107</v>
      </c>
      <c r="B150" s="30" t="s">
        <v>66</v>
      </c>
      <c r="C150" s="30" t="s">
        <v>49</v>
      </c>
      <c r="D150" s="31" t="s">
        <v>453</v>
      </c>
      <c r="E150" s="31"/>
      <c r="F150" s="72"/>
      <c r="G150" s="32">
        <f t="shared" si="11"/>
        <v>0</v>
      </c>
      <c r="H150" s="72"/>
      <c r="I150" s="72"/>
      <c r="J150" s="32">
        <f t="shared" si="12"/>
        <v>0</v>
      </c>
      <c r="K150" s="33">
        <f>K151+K152</f>
        <v>1653802</v>
      </c>
      <c r="L150" s="33">
        <f>L151+L152</f>
        <v>-820000</v>
      </c>
      <c r="M150" s="34">
        <f>M151+M152</f>
        <v>833802</v>
      </c>
      <c r="N150" s="10">
        <f>N151+N152</f>
        <v>833.8</v>
      </c>
    </row>
    <row r="151" spans="1:14" s="48" customFormat="1" ht="24.75" customHeight="1">
      <c r="A151" s="40"/>
      <c r="B151" s="40"/>
      <c r="C151" s="40"/>
      <c r="D151" s="60" t="s">
        <v>171</v>
      </c>
      <c r="E151" s="60" t="s">
        <v>171</v>
      </c>
      <c r="F151" s="73"/>
      <c r="G151" s="32">
        <f t="shared" si="11"/>
        <v>0</v>
      </c>
      <c r="H151" s="73"/>
      <c r="I151" s="73"/>
      <c r="J151" s="32">
        <f t="shared" si="12"/>
        <v>0</v>
      </c>
      <c r="K151" s="43">
        <v>253802</v>
      </c>
      <c r="L151" s="43"/>
      <c r="M151" s="44">
        <f>L151+K151</f>
        <v>253802</v>
      </c>
      <c r="N151" s="11">
        <f t="shared" si="13"/>
        <v>253.8</v>
      </c>
    </row>
    <row r="152" spans="1:14" s="48" customFormat="1" ht="24.75" customHeight="1">
      <c r="A152" s="40"/>
      <c r="B152" s="40"/>
      <c r="C152" s="40"/>
      <c r="D152" s="60" t="s">
        <v>182</v>
      </c>
      <c r="E152" s="60" t="s">
        <v>182</v>
      </c>
      <c r="F152" s="73"/>
      <c r="G152" s="32">
        <f t="shared" si="11"/>
        <v>0</v>
      </c>
      <c r="H152" s="73"/>
      <c r="I152" s="73"/>
      <c r="J152" s="32">
        <f t="shared" si="12"/>
        <v>0</v>
      </c>
      <c r="K152" s="43">
        <f>2000000-600000</f>
        <v>1400000</v>
      </c>
      <c r="L152" s="43">
        <v>-820000</v>
      </c>
      <c r="M152" s="44">
        <f>L152+K152</f>
        <v>580000</v>
      </c>
      <c r="N152" s="11">
        <f t="shared" si="13"/>
        <v>580</v>
      </c>
    </row>
    <row r="153" spans="1:14" s="35" customFormat="1" ht="26.25" customHeight="1">
      <c r="A153" s="30" t="s">
        <v>257</v>
      </c>
      <c r="B153" s="30" t="s">
        <v>255</v>
      </c>
      <c r="C153" s="30"/>
      <c r="D153" s="31" t="s">
        <v>432</v>
      </c>
      <c r="E153" s="31"/>
      <c r="F153" s="72"/>
      <c r="G153" s="32">
        <f t="shared" si="11"/>
        <v>0</v>
      </c>
      <c r="H153" s="72"/>
      <c r="I153" s="72"/>
      <c r="J153" s="32">
        <f t="shared" si="12"/>
        <v>0</v>
      </c>
      <c r="K153" s="74">
        <f>SUM(K156)+K154</f>
        <v>10378368.46</v>
      </c>
      <c r="L153" s="74">
        <f>SUM(L156)+L154</f>
        <v>13756870</v>
      </c>
      <c r="M153" s="75">
        <f>SUM(M156)+M154</f>
        <v>24135238.46</v>
      </c>
      <c r="N153" s="10">
        <f>SUM(N156)+N154</f>
        <v>24635.2</v>
      </c>
    </row>
    <row r="154" spans="1:14" s="39" customFormat="1" ht="51" customHeight="1">
      <c r="A154" s="50" t="s">
        <v>264</v>
      </c>
      <c r="B154" s="50" t="s">
        <v>265</v>
      </c>
      <c r="C154" s="40" t="s">
        <v>44</v>
      </c>
      <c r="D154" s="41" t="s">
        <v>266</v>
      </c>
      <c r="E154" s="60"/>
      <c r="F154" s="76"/>
      <c r="G154" s="32">
        <f t="shared" si="11"/>
        <v>0</v>
      </c>
      <c r="H154" s="76"/>
      <c r="I154" s="76"/>
      <c r="J154" s="32">
        <f t="shared" si="12"/>
        <v>0</v>
      </c>
      <c r="K154" s="65">
        <f>K155</f>
        <v>339145</v>
      </c>
      <c r="L154" s="65">
        <f>L155</f>
        <v>0</v>
      </c>
      <c r="M154" s="66">
        <f>L154+K154</f>
        <v>339145</v>
      </c>
      <c r="N154" s="11">
        <f>ROUND(M154/1000,1)</f>
        <v>339.1</v>
      </c>
    </row>
    <row r="155" spans="1:14" s="39" customFormat="1" ht="74.25" customHeight="1">
      <c r="A155" s="50"/>
      <c r="B155" s="50"/>
      <c r="C155" s="36"/>
      <c r="D155" s="51" t="s">
        <v>346</v>
      </c>
      <c r="E155" s="51" t="s">
        <v>346</v>
      </c>
      <c r="F155" s="76"/>
      <c r="G155" s="32">
        <f t="shared" si="11"/>
        <v>0</v>
      </c>
      <c r="H155" s="76"/>
      <c r="I155" s="76"/>
      <c r="J155" s="32">
        <f t="shared" si="12"/>
        <v>0</v>
      </c>
      <c r="K155" s="62">
        <f>426739-87594</f>
        <v>339145</v>
      </c>
      <c r="L155" s="62"/>
      <c r="M155" s="63">
        <f>L155+K155</f>
        <v>339145</v>
      </c>
      <c r="N155" s="5">
        <f t="shared" si="13"/>
        <v>339.1</v>
      </c>
    </row>
    <row r="156" spans="1:14" s="48" customFormat="1" ht="57" customHeight="1">
      <c r="A156" s="40" t="s">
        <v>256</v>
      </c>
      <c r="B156" s="40" t="s">
        <v>262</v>
      </c>
      <c r="C156" s="40" t="s">
        <v>44</v>
      </c>
      <c r="D156" s="60" t="s">
        <v>253</v>
      </c>
      <c r="E156" s="60"/>
      <c r="F156" s="73"/>
      <c r="G156" s="32">
        <f t="shared" si="11"/>
        <v>0</v>
      </c>
      <c r="H156" s="73"/>
      <c r="I156" s="73"/>
      <c r="J156" s="32">
        <f t="shared" si="12"/>
        <v>0</v>
      </c>
      <c r="K156" s="65">
        <f>K158+K162+K166+K164+K160</f>
        <v>10039223.46</v>
      </c>
      <c r="L156" s="65">
        <f>L158+L162+L166+L164+L160</f>
        <v>13756870</v>
      </c>
      <c r="M156" s="66">
        <f>M158+M162+M166+M164+M160</f>
        <v>23796093.46</v>
      </c>
      <c r="N156" s="11">
        <f>N158+N162+N166+N164+N160</f>
        <v>24296.100000000002</v>
      </c>
    </row>
    <row r="157" spans="1:14" s="48" customFormat="1" ht="20.25">
      <c r="A157" s="40"/>
      <c r="B157" s="40"/>
      <c r="C157" s="40"/>
      <c r="D157" s="41" t="s">
        <v>397</v>
      </c>
      <c r="E157" s="41"/>
      <c r="F157" s="41"/>
      <c r="G157" s="32">
        <f t="shared" si="11"/>
        <v>0</v>
      </c>
      <c r="H157" s="41"/>
      <c r="I157" s="41"/>
      <c r="J157" s="32">
        <f t="shared" si="12"/>
        <v>0</v>
      </c>
      <c r="K157" s="43">
        <f>K159+K161+K163+K165+K167</f>
        <v>4242868.85</v>
      </c>
      <c r="L157" s="43">
        <f>L159+L161+L163+L165+L167</f>
        <v>13429000</v>
      </c>
      <c r="M157" s="44">
        <f>L157+K157</f>
        <v>17671868.85</v>
      </c>
      <c r="N157" s="11">
        <f>N159+N161+N163+N165+N167</f>
        <v>17671.9</v>
      </c>
    </row>
    <row r="158" spans="1:14" s="48" customFormat="1" ht="24.75" customHeight="1">
      <c r="A158" s="40"/>
      <c r="B158" s="40"/>
      <c r="C158" s="40"/>
      <c r="D158" s="51" t="s">
        <v>373</v>
      </c>
      <c r="E158" s="51" t="s">
        <v>373</v>
      </c>
      <c r="F158" s="76"/>
      <c r="G158" s="32">
        <f t="shared" si="11"/>
        <v>0</v>
      </c>
      <c r="H158" s="76"/>
      <c r="I158" s="76"/>
      <c r="J158" s="32">
        <f t="shared" si="12"/>
        <v>0</v>
      </c>
      <c r="K158" s="62">
        <f>1721222.85+200000</f>
        <v>1921222.85</v>
      </c>
      <c r="L158" s="62">
        <f>13429000+327870-2500000</f>
        <v>11256870</v>
      </c>
      <c r="M158" s="63">
        <f>K158+L158</f>
        <v>13178092.85</v>
      </c>
      <c r="N158" s="5">
        <f>ROUND(M158/1000,1)</f>
        <v>13178.1</v>
      </c>
    </row>
    <row r="159" spans="1:14" s="48" customFormat="1" ht="21" customHeight="1">
      <c r="A159" s="40"/>
      <c r="B159" s="40"/>
      <c r="C159" s="40"/>
      <c r="D159" s="41" t="s">
        <v>397</v>
      </c>
      <c r="E159" s="41"/>
      <c r="F159" s="41"/>
      <c r="G159" s="32">
        <f t="shared" si="11"/>
        <v>0</v>
      </c>
      <c r="H159" s="41"/>
      <c r="I159" s="41"/>
      <c r="J159" s="32">
        <f t="shared" si="12"/>
        <v>0</v>
      </c>
      <c r="K159" s="43">
        <v>1674292.46</v>
      </c>
      <c r="L159" s="43">
        <f>13429000-2500000</f>
        <v>10929000</v>
      </c>
      <c r="M159" s="44">
        <f>L159+K159</f>
        <v>12603292.46</v>
      </c>
      <c r="N159" s="11">
        <f>ROUND(M159/1000,1)</f>
        <v>12603.3</v>
      </c>
    </row>
    <row r="160" spans="1:14" s="48" customFormat="1" ht="48" customHeight="1">
      <c r="A160" s="40"/>
      <c r="B160" s="40"/>
      <c r="C160" s="40"/>
      <c r="D160" s="51" t="s">
        <v>376</v>
      </c>
      <c r="E160" s="51" t="s">
        <v>376</v>
      </c>
      <c r="F160" s="76"/>
      <c r="G160" s="32">
        <f t="shared" si="11"/>
        <v>0</v>
      </c>
      <c r="H160" s="76"/>
      <c r="I160" s="76"/>
      <c r="J160" s="32">
        <f t="shared" si="12"/>
        <v>0</v>
      </c>
      <c r="K160" s="62">
        <v>978500</v>
      </c>
      <c r="L160" s="62"/>
      <c r="M160" s="63">
        <f>K160+L160</f>
        <v>978500</v>
      </c>
      <c r="N160" s="5">
        <f t="shared" si="13"/>
        <v>978.5</v>
      </c>
    </row>
    <row r="161" spans="1:14" s="48" customFormat="1" ht="30" customHeight="1">
      <c r="A161" s="40"/>
      <c r="B161" s="40"/>
      <c r="C161" s="40"/>
      <c r="D161" s="41" t="s">
        <v>397</v>
      </c>
      <c r="E161" s="41"/>
      <c r="F161" s="41"/>
      <c r="G161" s="32">
        <f t="shared" si="11"/>
        <v>0</v>
      </c>
      <c r="H161" s="41"/>
      <c r="I161" s="41"/>
      <c r="J161" s="32">
        <f t="shared" si="12"/>
        <v>0</v>
      </c>
      <c r="K161" s="43">
        <v>950000</v>
      </c>
      <c r="L161" s="43"/>
      <c r="M161" s="44">
        <f>L161+K161</f>
        <v>950000</v>
      </c>
      <c r="N161" s="11">
        <f t="shared" si="13"/>
        <v>950</v>
      </c>
    </row>
    <row r="162" spans="1:14" s="48" customFormat="1" ht="51" customHeight="1">
      <c r="A162" s="40"/>
      <c r="B162" s="40"/>
      <c r="C162" s="40"/>
      <c r="D162" s="51" t="s">
        <v>374</v>
      </c>
      <c r="E162" s="51" t="s">
        <v>374</v>
      </c>
      <c r="F162" s="76"/>
      <c r="G162" s="32">
        <f t="shared" si="11"/>
        <v>0</v>
      </c>
      <c r="H162" s="76"/>
      <c r="I162" s="76"/>
      <c r="J162" s="32">
        <f t="shared" si="12"/>
        <v>0</v>
      </c>
      <c r="K162" s="62">
        <f>19014.22+621576.39</f>
        <v>640590.61</v>
      </c>
      <c r="L162" s="62"/>
      <c r="M162" s="63">
        <f>K162+L162</f>
        <v>640590.61</v>
      </c>
      <c r="N162" s="5">
        <f t="shared" si="13"/>
        <v>640.6</v>
      </c>
    </row>
    <row r="163" spans="1:14" s="48" customFormat="1" ht="28.5" customHeight="1">
      <c r="A163" s="40"/>
      <c r="B163" s="40"/>
      <c r="C163" s="40"/>
      <c r="D163" s="41" t="s">
        <v>397</v>
      </c>
      <c r="E163" s="41"/>
      <c r="F163" s="41"/>
      <c r="G163" s="32">
        <f t="shared" si="11"/>
        <v>0</v>
      </c>
      <c r="H163" s="41"/>
      <c r="I163" s="41"/>
      <c r="J163" s="32">
        <f t="shared" si="12"/>
        <v>0</v>
      </c>
      <c r="K163" s="43">
        <v>621576.39</v>
      </c>
      <c r="L163" s="43"/>
      <c r="M163" s="44">
        <f>L163+K163</f>
        <v>621576.39</v>
      </c>
      <c r="N163" s="11">
        <f t="shared" si="13"/>
        <v>621.6</v>
      </c>
    </row>
    <row r="164" spans="1:14" s="48" customFormat="1" ht="29.25" customHeight="1">
      <c r="A164" s="40"/>
      <c r="B164" s="40"/>
      <c r="C164" s="40"/>
      <c r="D164" s="51" t="s">
        <v>375</v>
      </c>
      <c r="E164" s="51" t="s">
        <v>375</v>
      </c>
      <c r="F164" s="76"/>
      <c r="G164" s="32">
        <f t="shared" si="11"/>
        <v>0</v>
      </c>
      <c r="H164" s="76"/>
      <c r="I164" s="76"/>
      <c r="J164" s="32">
        <f t="shared" si="12"/>
        <v>0</v>
      </c>
      <c r="K164" s="62">
        <v>305910</v>
      </c>
      <c r="L164" s="62"/>
      <c r="M164" s="63">
        <f>K164+L164</f>
        <v>305910</v>
      </c>
      <c r="N164" s="5">
        <f t="shared" si="13"/>
        <v>305.9</v>
      </c>
    </row>
    <row r="165" spans="1:14" s="48" customFormat="1" ht="28.5" customHeight="1">
      <c r="A165" s="40"/>
      <c r="B165" s="40"/>
      <c r="C165" s="40"/>
      <c r="D165" s="41" t="s">
        <v>397</v>
      </c>
      <c r="E165" s="41"/>
      <c r="F165" s="41"/>
      <c r="G165" s="32">
        <f t="shared" si="11"/>
        <v>0</v>
      </c>
      <c r="H165" s="41"/>
      <c r="I165" s="41"/>
      <c r="J165" s="32">
        <f t="shared" si="12"/>
        <v>0</v>
      </c>
      <c r="K165" s="43">
        <v>297000</v>
      </c>
      <c r="L165" s="43"/>
      <c r="M165" s="44">
        <f>L165+K165</f>
        <v>297000</v>
      </c>
      <c r="N165" s="11">
        <f t="shared" si="13"/>
        <v>297</v>
      </c>
    </row>
    <row r="166" spans="1:14" s="48" customFormat="1" ht="68.25" customHeight="1">
      <c r="A166" s="40"/>
      <c r="B166" s="40"/>
      <c r="C166" s="40"/>
      <c r="D166" s="51" t="s">
        <v>305</v>
      </c>
      <c r="E166" s="51" t="s">
        <v>305</v>
      </c>
      <c r="F166" s="76"/>
      <c r="G166" s="32">
        <f t="shared" si="11"/>
        <v>0</v>
      </c>
      <c r="H166" s="76"/>
      <c r="I166" s="76"/>
      <c r="J166" s="32">
        <f t="shared" si="12"/>
        <v>0</v>
      </c>
      <c r="K166" s="62">
        <f>2240000+5000000-1047000</f>
        <v>6193000</v>
      </c>
      <c r="L166" s="62">
        <v>2500000</v>
      </c>
      <c r="M166" s="63">
        <f>K166+L166</f>
        <v>8693000</v>
      </c>
      <c r="N166" s="5">
        <f>ROUND(M166/1000,1)+500</f>
        <v>9193</v>
      </c>
    </row>
    <row r="167" spans="1:14" s="48" customFormat="1" ht="24" customHeight="1">
      <c r="A167" s="40"/>
      <c r="B167" s="40"/>
      <c r="C167" s="40"/>
      <c r="D167" s="41" t="s">
        <v>397</v>
      </c>
      <c r="E167" s="41"/>
      <c r="F167" s="41"/>
      <c r="G167" s="32">
        <f t="shared" si="11"/>
        <v>0</v>
      </c>
      <c r="H167" s="41"/>
      <c r="I167" s="41"/>
      <c r="J167" s="32">
        <f t="shared" si="12"/>
        <v>0</v>
      </c>
      <c r="K167" s="43">
        <v>700000</v>
      </c>
      <c r="L167" s="43">
        <v>2500000</v>
      </c>
      <c r="M167" s="44">
        <f>L167+K167</f>
        <v>3200000</v>
      </c>
      <c r="N167" s="11">
        <f t="shared" si="13"/>
        <v>3200</v>
      </c>
    </row>
    <row r="168" spans="1:14" s="39" customFormat="1" ht="24" customHeight="1">
      <c r="A168" s="36" t="s">
        <v>478</v>
      </c>
      <c r="B168" s="36" t="s">
        <v>2</v>
      </c>
      <c r="C168" s="36"/>
      <c r="D168" s="37" t="s">
        <v>430</v>
      </c>
      <c r="E168" s="37"/>
      <c r="F168" s="37"/>
      <c r="G168" s="32"/>
      <c r="H168" s="37"/>
      <c r="I168" s="37"/>
      <c r="J168" s="32"/>
      <c r="K168" s="15"/>
      <c r="L168" s="15">
        <f>L169</f>
        <v>129100</v>
      </c>
      <c r="M168" s="38">
        <f>L168+K168</f>
        <v>129100</v>
      </c>
      <c r="N168" s="5">
        <f>N169</f>
        <v>129.1</v>
      </c>
    </row>
    <row r="169" spans="1:14" s="48" customFormat="1" ht="24" customHeight="1">
      <c r="A169" s="40"/>
      <c r="B169" s="40"/>
      <c r="C169" s="40"/>
      <c r="D169" s="41" t="s">
        <v>479</v>
      </c>
      <c r="E169" s="41"/>
      <c r="F169" s="41"/>
      <c r="G169" s="32"/>
      <c r="H169" s="41"/>
      <c r="I169" s="41"/>
      <c r="J169" s="32"/>
      <c r="K169" s="43"/>
      <c r="L169" s="43">
        <v>129100</v>
      </c>
      <c r="M169" s="44">
        <f>L169+K169</f>
        <v>129100</v>
      </c>
      <c r="N169" s="11">
        <f t="shared" si="13"/>
        <v>129.1</v>
      </c>
    </row>
    <row r="170" spans="1:14" s="39" customFormat="1" ht="27.75" customHeight="1">
      <c r="A170" s="36" t="s">
        <v>108</v>
      </c>
      <c r="B170" s="67">
        <v>9770</v>
      </c>
      <c r="C170" s="36" t="s">
        <v>22</v>
      </c>
      <c r="D170" s="51" t="s">
        <v>199</v>
      </c>
      <c r="E170" s="51"/>
      <c r="F170" s="51"/>
      <c r="G170" s="32">
        <f t="shared" si="11"/>
        <v>0</v>
      </c>
      <c r="H170" s="51"/>
      <c r="I170" s="51"/>
      <c r="J170" s="32">
        <f t="shared" si="12"/>
        <v>0</v>
      </c>
      <c r="K170" s="15">
        <v>1220000</v>
      </c>
      <c r="L170" s="15"/>
      <c r="M170" s="38">
        <f>L170+K170</f>
        <v>1220000</v>
      </c>
      <c r="N170" s="5">
        <f t="shared" si="13"/>
        <v>1220</v>
      </c>
    </row>
    <row r="171" spans="1:14" s="35" customFormat="1" ht="33.75" customHeight="1">
      <c r="A171" s="30" t="s">
        <v>54</v>
      </c>
      <c r="B171" s="77"/>
      <c r="C171" s="77"/>
      <c r="D171" s="54" t="s">
        <v>16</v>
      </c>
      <c r="E171" s="54"/>
      <c r="F171" s="54"/>
      <c r="G171" s="32">
        <f t="shared" si="11"/>
        <v>0</v>
      </c>
      <c r="H171" s="54"/>
      <c r="I171" s="54"/>
      <c r="J171" s="32">
        <f t="shared" si="12"/>
        <v>0</v>
      </c>
      <c r="K171" s="33">
        <f>K172</f>
        <v>40000</v>
      </c>
      <c r="L171" s="33">
        <f>L172</f>
        <v>0</v>
      </c>
      <c r="M171" s="34">
        <f>M172</f>
        <v>40000</v>
      </c>
      <c r="N171" s="10">
        <f>N172</f>
        <v>40</v>
      </c>
    </row>
    <row r="172" spans="1:14" s="39" customFormat="1" ht="40.5" customHeight="1">
      <c r="A172" s="36" t="s">
        <v>0</v>
      </c>
      <c r="B172" s="36" t="s">
        <v>55</v>
      </c>
      <c r="C172" s="36" t="s">
        <v>23</v>
      </c>
      <c r="D172" s="37" t="s">
        <v>56</v>
      </c>
      <c r="E172" s="37"/>
      <c r="F172" s="37"/>
      <c r="G172" s="32">
        <f t="shared" si="11"/>
        <v>0</v>
      </c>
      <c r="H172" s="37"/>
      <c r="I172" s="37"/>
      <c r="J172" s="32">
        <f t="shared" si="12"/>
        <v>0</v>
      </c>
      <c r="K172" s="15">
        <v>40000</v>
      </c>
      <c r="L172" s="15"/>
      <c r="M172" s="38">
        <f>L172+K172</f>
        <v>40000</v>
      </c>
      <c r="N172" s="5">
        <f t="shared" si="13"/>
        <v>40</v>
      </c>
    </row>
    <row r="173" spans="1:14" s="35" customFormat="1" ht="42" customHeight="1">
      <c r="A173" s="30" t="s">
        <v>10</v>
      </c>
      <c r="B173" s="30"/>
      <c r="C173" s="30"/>
      <c r="D173" s="54" t="s">
        <v>15</v>
      </c>
      <c r="E173" s="54"/>
      <c r="F173" s="54"/>
      <c r="G173" s="32">
        <f t="shared" si="11"/>
        <v>0</v>
      </c>
      <c r="H173" s="54"/>
      <c r="I173" s="54"/>
      <c r="J173" s="32">
        <f t="shared" si="12"/>
        <v>0</v>
      </c>
      <c r="K173" s="33">
        <f>K175+K311+K180+K195+K230+K295+K298+K176</f>
        <v>185998559</v>
      </c>
      <c r="L173" s="33">
        <f>L175+L311+L180+L195+L230+L295+L298+L176</f>
        <v>232936</v>
      </c>
      <c r="M173" s="34">
        <f>M175+M311+M180+M195+M230+M295+M298+M176</f>
        <v>186231495</v>
      </c>
      <c r="N173" s="10">
        <f>N175+N311+N180+N195+N230+N295+N298+N176</f>
        <v>185731.4</v>
      </c>
    </row>
    <row r="174" spans="1:14" s="59" customFormat="1" ht="20.25">
      <c r="A174" s="55"/>
      <c r="B174" s="55"/>
      <c r="C174" s="55"/>
      <c r="D174" s="56" t="s">
        <v>397</v>
      </c>
      <c r="E174" s="56"/>
      <c r="F174" s="56"/>
      <c r="G174" s="32">
        <f t="shared" si="11"/>
        <v>0</v>
      </c>
      <c r="H174" s="56"/>
      <c r="I174" s="56"/>
      <c r="J174" s="32">
        <f t="shared" si="12"/>
        <v>0</v>
      </c>
      <c r="K174" s="57">
        <f>K304</f>
        <v>300091</v>
      </c>
      <c r="L174" s="57">
        <f>L304</f>
        <v>500000</v>
      </c>
      <c r="M174" s="57">
        <f>K174+L174</f>
        <v>800091</v>
      </c>
      <c r="N174" s="10">
        <f>ROUND(M174/1000,1)</f>
        <v>800.1</v>
      </c>
    </row>
    <row r="175" spans="1:14" s="39" customFormat="1" ht="39.75" customHeight="1">
      <c r="A175" s="36" t="s">
        <v>109</v>
      </c>
      <c r="B175" s="36" t="s">
        <v>64</v>
      </c>
      <c r="C175" s="36" t="s">
        <v>38</v>
      </c>
      <c r="D175" s="37" t="s">
        <v>65</v>
      </c>
      <c r="E175" s="37"/>
      <c r="F175" s="37"/>
      <c r="G175" s="32">
        <f t="shared" si="11"/>
        <v>0</v>
      </c>
      <c r="H175" s="37"/>
      <c r="I175" s="37"/>
      <c r="J175" s="32">
        <f t="shared" si="12"/>
        <v>0</v>
      </c>
      <c r="K175" s="15">
        <f>88015500+6969382+2006750</f>
        <v>96991632</v>
      </c>
      <c r="L175" s="15"/>
      <c r="M175" s="38">
        <f>L175+K175</f>
        <v>96991632</v>
      </c>
      <c r="N175" s="5">
        <f>ROUND(M175/1000,1)-500</f>
        <v>96491.6</v>
      </c>
    </row>
    <row r="176" spans="1:14" s="39" customFormat="1" ht="29.25" customHeight="1">
      <c r="A176" s="36" t="s">
        <v>280</v>
      </c>
      <c r="B176" s="36" t="s">
        <v>285</v>
      </c>
      <c r="C176" s="36"/>
      <c r="D176" s="37" t="s">
        <v>454</v>
      </c>
      <c r="E176" s="37"/>
      <c r="F176" s="37"/>
      <c r="G176" s="32">
        <f t="shared" si="11"/>
        <v>0</v>
      </c>
      <c r="H176" s="37"/>
      <c r="I176" s="37"/>
      <c r="J176" s="32">
        <f t="shared" si="12"/>
        <v>0</v>
      </c>
      <c r="K176" s="15">
        <f>K177+K178</f>
        <v>700000</v>
      </c>
      <c r="L176" s="15">
        <f>L177+L178</f>
        <v>0</v>
      </c>
      <c r="M176" s="38">
        <f>M177+M178</f>
        <v>700000</v>
      </c>
      <c r="N176" s="5">
        <f>N177+N178</f>
        <v>700</v>
      </c>
    </row>
    <row r="177" spans="1:14" s="48" customFormat="1" ht="27" customHeight="1">
      <c r="A177" s="40" t="s">
        <v>281</v>
      </c>
      <c r="B177" s="40" t="s">
        <v>284</v>
      </c>
      <c r="C177" s="40" t="s">
        <v>283</v>
      </c>
      <c r="D177" s="41" t="s">
        <v>282</v>
      </c>
      <c r="E177" s="41"/>
      <c r="F177" s="41"/>
      <c r="G177" s="32">
        <f t="shared" si="11"/>
        <v>0</v>
      </c>
      <c r="H177" s="41"/>
      <c r="I177" s="41"/>
      <c r="J177" s="32">
        <f t="shared" si="12"/>
        <v>0</v>
      </c>
      <c r="K177" s="43">
        <v>500000</v>
      </c>
      <c r="L177" s="43"/>
      <c r="M177" s="44">
        <f>L177+K177</f>
        <v>500000</v>
      </c>
      <c r="N177" s="11">
        <f t="shared" si="13"/>
        <v>500</v>
      </c>
    </row>
    <row r="178" spans="1:14" s="48" customFormat="1" ht="76.5" customHeight="1">
      <c r="A178" s="40" t="s">
        <v>398</v>
      </c>
      <c r="B178" s="40" t="s">
        <v>399</v>
      </c>
      <c r="C178" s="40" t="s">
        <v>283</v>
      </c>
      <c r="D178" s="41" t="s">
        <v>469</v>
      </c>
      <c r="E178" s="41" t="s">
        <v>400</v>
      </c>
      <c r="F178" s="41"/>
      <c r="G178" s="32">
        <f t="shared" si="11"/>
        <v>0</v>
      </c>
      <c r="H178" s="41"/>
      <c r="I178" s="41"/>
      <c r="J178" s="32">
        <f t="shared" si="12"/>
        <v>0</v>
      </c>
      <c r="K178" s="43">
        <v>200000</v>
      </c>
      <c r="L178" s="43"/>
      <c r="M178" s="44">
        <f>L178+K178</f>
        <v>200000</v>
      </c>
      <c r="N178" s="11">
        <f t="shared" si="13"/>
        <v>200</v>
      </c>
    </row>
    <row r="179" spans="1:46" s="35" customFormat="1" ht="34.5" customHeight="1">
      <c r="A179" s="36"/>
      <c r="B179" s="36"/>
      <c r="C179" s="36"/>
      <c r="D179" s="37" t="s">
        <v>400</v>
      </c>
      <c r="E179" s="37"/>
      <c r="F179" s="37"/>
      <c r="G179" s="32"/>
      <c r="H179" s="37"/>
      <c r="I179" s="37"/>
      <c r="J179" s="32"/>
      <c r="K179" s="15">
        <f>K178</f>
        <v>200000</v>
      </c>
      <c r="L179" s="15"/>
      <c r="M179" s="38">
        <f>L179+K179</f>
        <v>200000</v>
      </c>
      <c r="N179" s="5">
        <f t="shared" si="13"/>
        <v>200</v>
      </c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</row>
    <row r="180" spans="1:46" s="39" customFormat="1" ht="21" customHeight="1">
      <c r="A180" s="24">
        <v>1517310</v>
      </c>
      <c r="B180" s="36" t="s">
        <v>131</v>
      </c>
      <c r="C180" s="36" t="s">
        <v>49</v>
      </c>
      <c r="D180" s="54" t="s">
        <v>439</v>
      </c>
      <c r="E180" s="54"/>
      <c r="F180" s="74"/>
      <c r="G180" s="32">
        <f t="shared" si="11"/>
        <v>0</v>
      </c>
      <c r="H180" s="74"/>
      <c r="I180" s="74"/>
      <c r="J180" s="32">
        <f t="shared" si="12"/>
        <v>0</v>
      </c>
      <c r="K180" s="33">
        <f>K181+K186</f>
        <v>9603664</v>
      </c>
      <c r="L180" s="33">
        <f>L181+L186</f>
        <v>0</v>
      </c>
      <c r="M180" s="34">
        <f>M181+M186</f>
        <v>9603664</v>
      </c>
      <c r="N180" s="10">
        <f>N181+N186</f>
        <v>9603.7</v>
      </c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</row>
    <row r="181" spans="1:46" ht="25.5" customHeight="1">
      <c r="A181" s="79"/>
      <c r="B181" s="80"/>
      <c r="C181" s="80"/>
      <c r="D181" s="71" t="s">
        <v>138</v>
      </c>
      <c r="E181" s="71" t="s">
        <v>138</v>
      </c>
      <c r="F181" s="74"/>
      <c r="G181" s="32">
        <f t="shared" si="11"/>
        <v>0</v>
      </c>
      <c r="H181" s="74"/>
      <c r="I181" s="74"/>
      <c r="J181" s="32">
        <f t="shared" si="12"/>
        <v>0</v>
      </c>
      <c r="K181" s="33">
        <f>SUM(K182:K185)</f>
        <v>5542800</v>
      </c>
      <c r="L181" s="33">
        <f>SUM(L182:L185)</f>
        <v>0</v>
      </c>
      <c r="M181" s="34">
        <f>SUM(M182:M185)</f>
        <v>5542800</v>
      </c>
      <c r="N181" s="10">
        <f>SUM(N182:N185)</f>
        <v>5542.8</v>
      </c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</row>
    <row r="182" spans="1:46" ht="27" customHeight="1">
      <c r="A182" s="79"/>
      <c r="B182" s="79"/>
      <c r="C182" s="79"/>
      <c r="D182" s="76" t="s">
        <v>139</v>
      </c>
      <c r="E182" s="76" t="s">
        <v>139</v>
      </c>
      <c r="F182" s="82">
        <v>15922519</v>
      </c>
      <c r="G182" s="32">
        <f t="shared" si="11"/>
        <v>15922.5</v>
      </c>
      <c r="H182" s="83">
        <v>100</v>
      </c>
      <c r="I182" s="82">
        <v>15922519</v>
      </c>
      <c r="J182" s="32">
        <f t="shared" si="12"/>
        <v>15922.5</v>
      </c>
      <c r="K182" s="15">
        <f>3000000+2000000</f>
        <v>5000000</v>
      </c>
      <c r="L182" s="15"/>
      <c r="M182" s="38">
        <f>L182+K182</f>
        <v>5000000</v>
      </c>
      <c r="N182" s="5">
        <f t="shared" si="13"/>
        <v>5000</v>
      </c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</row>
    <row r="183" spans="1:46" ht="37.5" customHeight="1">
      <c r="A183" s="80"/>
      <c r="B183" s="80"/>
      <c r="C183" s="80"/>
      <c r="D183" s="84" t="s">
        <v>140</v>
      </c>
      <c r="E183" s="84" t="s">
        <v>140</v>
      </c>
      <c r="F183" s="82">
        <v>2186292</v>
      </c>
      <c r="G183" s="32">
        <f t="shared" si="11"/>
        <v>2186.3</v>
      </c>
      <c r="H183" s="32">
        <v>25.6</v>
      </c>
      <c r="I183" s="82">
        <v>559802</v>
      </c>
      <c r="J183" s="32">
        <f t="shared" si="12"/>
        <v>559.8</v>
      </c>
      <c r="K183" s="15">
        <f>400000+122500</f>
        <v>522500</v>
      </c>
      <c r="L183" s="15"/>
      <c r="M183" s="38">
        <f>L183+K183</f>
        <v>522500</v>
      </c>
      <c r="N183" s="5">
        <f t="shared" si="13"/>
        <v>522.5</v>
      </c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</row>
    <row r="184" spans="1:14" s="81" customFormat="1" ht="42.75" customHeight="1">
      <c r="A184" s="80"/>
      <c r="B184" s="80"/>
      <c r="C184" s="80"/>
      <c r="D184" s="84" t="s">
        <v>323</v>
      </c>
      <c r="E184" s="84" t="s">
        <v>323</v>
      </c>
      <c r="F184" s="82"/>
      <c r="G184" s="32">
        <f t="shared" si="11"/>
        <v>0</v>
      </c>
      <c r="H184" s="32"/>
      <c r="I184" s="82"/>
      <c r="J184" s="32">
        <f t="shared" si="12"/>
        <v>0</v>
      </c>
      <c r="K184" s="15">
        <f>50000-38200</f>
        <v>11800</v>
      </c>
      <c r="L184" s="15"/>
      <c r="M184" s="38">
        <f>L184+K184</f>
        <v>11800</v>
      </c>
      <c r="N184" s="5">
        <f t="shared" si="13"/>
        <v>11.8</v>
      </c>
    </row>
    <row r="185" spans="1:46" s="39" customFormat="1" ht="21.75" customHeight="1">
      <c r="A185" s="80"/>
      <c r="B185" s="80"/>
      <c r="C185" s="80"/>
      <c r="D185" s="84" t="s">
        <v>267</v>
      </c>
      <c r="E185" s="84" t="s">
        <v>267</v>
      </c>
      <c r="F185" s="82">
        <v>1681565</v>
      </c>
      <c r="G185" s="32">
        <f t="shared" si="11"/>
        <v>1681.6</v>
      </c>
      <c r="H185" s="32">
        <v>11.6</v>
      </c>
      <c r="I185" s="82">
        <v>194907</v>
      </c>
      <c r="J185" s="32">
        <f t="shared" si="12"/>
        <v>194.9</v>
      </c>
      <c r="K185" s="15">
        <v>8500</v>
      </c>
      <c r="L185" s="15"/>
      <c r="M185" s="38">
        <f>L185+K185</f>
        <v>8500</v>
      </c>
      <c r="N185" s="5">
        <f t="shared" si="13"/>
        <v>8.5</v>
      </c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</row>
    <row r="186" spans="1:14" s="81" customFormat="1" ht="24.75" customHeight="1">
      <c r="A186" s="79"/>
      <c r="B186" s="80"/>
      <c r="C186" s="80"/>
      <c r="D186" s="54" t="s">
        <v>141</v>
      </c>
      <c r="E186" s="54" t="s">
        <v>141</v>
      </c>
      <c r="F186" s="82"/>
      <c r="G186" s="32">
        <f t="shared" si="11"/>
        <v>0</v>
      </c>
      <c r="H186" s="74"/>
      <c r="I186" s="82"/>
      <c r="J186" s="32">
        <f t="shared" si="12"/>
        <v>0</v>
      </c>
      <c r="K186" s="33">
        <f>SUM(K187:K194)</f>
        <v>4060864</v>
      </c>
      <c r="L186" s="33">
        <f>SUM(L187:L194)</f>
        <v>0</v>
      </c>
      <c r="M186" s="34">
        <f>SUM(M187:M194)</f>
        <v>4060864</v>
      </c>
      <c r="N186" s="10">
        <f>SUM(N187:N194)</f>
        <v>4060.9</v>
      </c>
    </row>
    <row r="187" spans="1:14" s="81" customFormat="1" ht="24.75" customHeight="1">
      <c r="A187" s="80"/>
      <c r="B187" s="80"/>
      <c r="C187" s="80"/>
      <c r="D187" s="84" t="s">
        <v>142</v>
      </c>
      <c r="E187" s="84" t="s">
        <v>142</v>
      </c>
      <c r="F187" s="82">
        <v>16481572</v>
      </c>
      <c r="G187" s="32">
        <f t="shared" si="11"/>
        <v>16481.6</v>
      </c>
      <c r="H187" s="32">
        <v>81.3</v>
      </c>
      <c r="I187" s="82">
        <v>13394899</v>
      </c>
      <c r="J187" s="32">
        <f t="shared" si="12"/>
        <v>13394.9</v>
      </c>
      <c r="K187" s="15">
        <v>2000000</v>
      </c>
      <c r="L187" s="15"/>
      <c r="M187" s="38">
        <f aca="true" t="shared" si="14" ref="M187:M194">L187+K187</f>
        <v>2000000</v>
      </c>
      <c r="N187" s="5">
        <f t="shared" si="13"/>
        <v>2000</v>
      </c>
    </row>
    <row r="188" spans="1:14" s="81" customFormat="1" ht="27.75" customHeight="1">
      <c r="A188" s="80"/>
      <c r="B188" s="80"/>
      <c r="C188" s="80"/>
      <c r="D188" s="51" t="s">
        <v>143</v>
      </c>
      <c r="E188" s="51" t="s">
        <v>143</v>
      </c>
      <c r="F188" s="82">
        <v>413827</v>
      </c>
      <c r="G188" s="32">
        <f t="shared" si="11"/>
        <v>413.8</v>
      </c>
      <c r="H188" s="32">
        <v>100</v>
      </c>
      <c r="I188" s="82">
        <v>413827</v>
      </c>
      <c r="J188" s="32">
        <f t="shared" si="12"/>
        <v>413.8</v>
      </c>
      <c r="K188" s="15">
        <f>492000-126900</f>
        <v>365100</v>
      </c>
      <c r="L188" s="15"/>
      <c r="M188" s="38">
        <f t="shared" si="14"/>
        <v>365100</v>
      </c>
      <c r="N188" s="5">
        <f t="shared" si="13"/>
        <v>365.1</v>
      </c>
    </row>
    <row r="189" spans="1:14" s="81" customFormat="1" ht="27.75" customHeight="1">
      <c r="A189" s="80"/>
      <c r="B189" s="80"/>
      <c r="C189" s="80"/>
      <c r="D189" s="51" t="s">
        <v>144</v>
      </c>
      <c r="E189" s="51" t="s">
        <v>144</v>
      </c>
      <c r="F189" s="82">
        <v>1172514</v>
      </c>
      <c r="G189" s="32">
        <f t="shared" si="11"/>
        <v>1172.5</v>
      </c>
      <c r="H189" s="32">
        <v>100</v>
      </c>
      <c r="I189" s="82">
        <v>1172514</v>
      </c>
      <c r="J189" s="32">
        <f t="shared" si="12"/>
        <v>1172.5</v>
      </c>
      <c r="K189" s="15">
        <f>995000-10700-28336</f>
        <v>955964</v>
      </c>
      <c r="L189" s="15"/>
      <c r="M189" s="38">
        <f t="shared" si="14"/>
        <v>955964</v>
      </c>
      <c r="N189" s="5">
        <f t="shared" si="13"/>
        <v>956</v>
      </c>
    </row>
    <row r="190" spans="1:14" s="81" customFormat="1" ht="25.5" customHeight="1">
      <c r="A190" s="80"/>
      <c r="B190" s="80"/>
      <c r="C190" s="80"/>
      <c r="D190" s="51" t="s">
        <v>145</v>
      </c>
      <c r="E190" s="51" t="s">
        <v>145</v>
      </c>
      <c r="F190" s="82">
        <v>200281</v>
      </c>
      <c r="G190" s="32">
        <f t="shared" si="11"/>
        <v>200.3</v>
      </c>
      <c r="H190" s="32">
        <v>100</v>
      </c>
      <c r="I190" s="82">
        <v>200281</v>
      </c>
      <c r="J190" s="32">
        <f t="shared" si="12"/>
        <v>200.3</v>
      </c>
      <c r="K190" s="15">
        <f>233000-63800-1365</f>
        <v>167835</v>
      </c>
      <c r="L190" s="15"/>
      <c r="M190" s="38">
        <f t="shared" si="14"/>
        <v>167835</v>
      </c>
      <c r="N190" s="5">
        <f t="shared" si="13"/>
        <v>167.8</v>
      </c>
    </row>
    <row r="191" spans="1:14" s="81" customFormat="1" ht="26.25" customHeight="1">
      <c r="A191" s="80"/>
      <c r="B191" s="80"/>
      <c r="C191" s="80"/>
      <c r="D191" s="51" t="s">
        <v>146</v>
      </c>
      <c r="E191" s="51" t="s">
        <v>146</v>
      </c>
      <c r="F191" s="82">
        <v>512905</v>
      </c>
      <c r="G191" s="32">
        <f t="shared" si="11"/>
        <v>512.9</v>
      </c>
      <c r="H191" s="32">
        <v>100</v>
      </c>
      <c r="I191" s="82">
        <v>512905</v>
      </c>
      <c r="J191" s="32">
        <f t="shared" si="12"/>
        <v>512.9</v>
      </c>
      <c r="K191" s="15">
        <f>280000+266465</f>
        <v>546465</v>
      </c>
      <c r="L191" s="15"/>
      <c r="M191" s="38">
        <f t="shared" si="14"/>
        <v>546465</v>
      </c>
      <c r="N191" s="5">
        <f t="shared" si="13"/>
        <v>546.5</v>
      </c>
    </row>
    <row r="192" spans="1:14" s="81" customFormat="1" ht="33" customHeight="1">
      <c r="A192" s="80"/>
      <c r="B192" s="80"/>
      <c r="C192" s="80"/>
      <c r="D192" s="51" t="s">
        <v>268</v>
      </c>
      <c r="E192" s="51" t="s">
        <v>268</v>
      </c>
      <c r="F192" s="82"/>
      <c r="G192" s="32">
        <f t="shared" si="11"/>
        <v>0</v>
      </c>
      <c r="H192" s="32"/>
      <c r="I192" s="82"/>
      <c r="J192" s="32">
        <f t="shared" si="12"/>
        <v>0</v>
      </c>
      <c r="K192" s="15">
        <v>8500</v>
      </c>
      <c r="L192" s="15"/>
      <c r="M192" s="38">
        <f t="shared" si="14"/>
        <v>8500</v>
      </c>
      <c r="N192" s="5">
        <f t="shared" si="13"/>
        <v>8.5</v>
      </c>
    </row>
    <row r="193" spans="1:14" s="81" customFormat="1" ht="24" customHeight="1">
      <c r="A193" s="80"/>
      <c r="B193" s="80"/>
      <c r="C193" s="80"/>
      <c r="D193" s="51" t="s">
        <v>269</v>
      </c>
      <c r="E193" s="51" t="s">
        <v>269</v>
      </c>
      <c r="F193" s="82"/>
      <c r="G193" s="32">
        <f t="shared" si="11"/>
        <v>0</v>
      </c>
      <c r="H193" s="32"/>
      <c r="I193" s="82"/>
      <c r="J193" s="32">
        <f t="shared" si="12"/>
        <v>0</v>
      </c>
      <c r="K193" s="15">
        <v>8500</v>
      </c>
      <c r="L193" s="15"/>
      <c r="M193" s="38">
        <f t="shared" si="14"/>
        <v>8500</v>
      </c>
      <c r="N193" s="5">
        <f t="shared" si="13"/>
        <v>8.5</v>
      </c>
    </row>
    <row r="194" spans="1:46" s="35" customFormat="1" ht="27.75" customHeight="1">
      <c r="A194" s="80"/>
      <c r="B194" s="80"/>
      <c r="C194" s="80"/>
      <c r="D194" s="51" t="s">
        <v>270</v>
      </c>
      <c r="E194" s="51" t="s">
        <v>270</v>
      </c>
      <c r="F194" s="82"/>
      <c r="G194" s="32">
        <f t="shared" si="11"/>
        <v>0</v>
      </c>
      <c r="H194" s="32"/>
      <c r="I194" s="82"/>
      <c r="J194" s="32">
        <f t="shared" si="12"/>
        <v>0</v>
      </c>
      <c r="K194" s="15">
        <v>8500</v>
      </c>
      <c r="L194" s="15"/>
      <c r="M194" s="38">
        <f t="shared" si="14"/>
        <v>8500</v>
      </c>
      <c r="N194" s="5">
        <f t="shared" si="13"/>
        <v>8.5</v>
      </c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</row>
    <row r="195" spans="1:46" s="86" customFormat="1" ht="34.5" customHeight="1">
      <c r="A195" s="24">
        <v>1517320</v>
      </c>
      <c r="B195" s="36" t="s">
        <v>134</v>
      </c>
      <c r="C195" s="36"/>
      <c r="D195" s="54" t="s">
        <v>455</v>
      </c>
      <c r="E195" s="54"/>
      <c r="F195" s="82"/>
      <c r="G195" s="32">
        <f t="shared" si="11"/>
        <v>0</v>
      </c>
      <c r="H195" s="74"/>
      <c r="I195" s="82"/>
      <c r="J195" s="32">
        <f t="shared" si="12"/>
        <v>0</v>
      </c>
      <c r="K195" s="33">
        <f>K196+K217+K225</f>
        <v>15675818</v>
      </c>
      <c r="L195" s="33">
        <f>L196+L217+L225</f>
        <v>-57200</v>
      </c>
      <c r="M195" s="34">
        <f>M196+M217+M225</f>
        <v>15618618</v>
      </c>
      <c r="N195" s="10">
        <f>N196+N217+N225</f>
        <v>15618.6</v>
      </c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</row>
    <row r="196" spans="1:46" s="39" customFormat="1" ht="27" customHeight="1">
      <c r="A196" s="87">
        <v>1517321</v>
      </c>
      <c r="B196" s="40" t="s">
        <v>135</v>
      </c>
      <c r="C196" s="40" t="s">
        <v>49</v>
      </c>
      <c r="D196" s="88" t="s">
        <v>456</v>
      </c>
      <c r="E196" s="89"/>
      <c r="F196" s="82"/>
      <c r="G196" s="32">
        <f t="shared" si="11"/>
        <v>0</v>
      </c>
      <c r="H196" s="57"/>
      <c r="I196" s="82"/>
      <c r="J196" s="32">
        <f t="shared" si="12"/>
        <v>0</v>
      </c>
      <c r="K196" s="57">
        <f>K197+K203</f>
        <v>7198568</v>
      </c>
      <c r="L196" s="57">
        <f>L197+L203</f>
        <v>0</v>
      </c>
      <c r="M196" s="58">
        <f>M197+M203</f>
        <v>7198568</v>
      </c>
      <c r="N196" s="12">
        <f>N197+N203</f>
        <v>7198.5</v>
      </c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</row>
    <row r="197" spans="1:46" ht="30" customHeight="1">
      <c r="A197" s="79"/>
      <c r="B197" s="80"/>
      <c r="C197" s="80"/>
      <c r="D197" s="71" t="s">
        <v>138</v>
      </c>
      <c r="E197" s="71" t="s">
        <v>138</v>
      </c>
      <c r="F197" s="82"/>
      <c r="G197" s="32">
        <f t="shared" si="11"/>
        <v>0</v>
      </c>
      <c r="H197" s="74"/>
      <c r="I197" s="82"/>
      <c r="J197" s="32">
        <f t="shared" si="12"/>
        <v>0</v>
      </c>
      <c r="K197" s="33">
        <f>SUM(K198:K202)</f>
        <v>1888400</v>
      </c>
      <c r="L197" s="33">
        <f>SUM(L198:L202)</f>
        <v>0</v>
      </c>
      <c r="M197" s="34">
        <f>SUM(M198:M202)</f>
        <v>1888400</v>
      </c>
      <c r="N197" s="10">
        <f>SUM(N198:N202)</f>
        <v>1888.4</v>
      </c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</row>
    <row r="198" spans="1:14" s="81" customFormat="1" ht="29.25" customHeight="1">
      <c r="A198" s="79"/>
      <c r="B198" s="79"/>
      <c r="C198" s="79"/>
      <c r="D198" s="84" t="s">
        <v>147</v>
      </c>
      <c r="E198" s="84" t="s">
        <v>147</v>
      </c>
      <c r="F198" s="82"/>
      <c r="G198" s="32">
        <f t="shared" si="11"/>
        <v>0</v>
      </c>
      <c r="H198" s="79"/>
      <c r="I198" s="82"/>
      <c r="J198" s="32">
        <f t="shared" si="12"/>
        <v>0</v>
      </c>
      <c r="K198" s="15">
        <v>863000</v>
      </c>
      <c r="L198" s="15"/>
      <c r="M198" s="38">
        <f>L198+K198</f>
        <v>863000</v>
      </c>
      <c r="N198" s="5">
        <f t="shared" si="13"/>
        <v>863</v>
      </c>
    </row>
    <row r="199" spans="1:14" s="81" customFormat="1" ht="28.5" customHeight="1">
      <c r="A199" s="80"/>
      <c r="B199" s="80"/>
      <c r="C199" s="80"/>
      <c r="D199" s="84" t="s">
        <v>148</v>
      </c>
      <c r="E199" s="84" t="s">
        <v>148</v>
      </c>
      <c r="F199" s="82">
        <v>249610</v>
      </c>
      <c r="G199" s="32">
        <f t="shared" si="11"/>
        <v>249.6</v>
      </c>
      <c r="H199" s="32">
        <v>100</v>
      </c>
      <c r="I199" s="82">
        <v>249610</v>
      </c>
      <c r="J199" s="32">
        <f t="shared" si="12"/>
        <v>249.6</v>
      </c>
      <c r="K199" s="15">
        <f>250000-3600</f>
        <v>246400</v>
      </c>
      <c r="L199" s="15"/>
      <c r="M199" s="38">
        <f>L199+K199</f>
        <v>246400</v>
      </c>
      <c r="N199" s="5">
        <f t="shared" si="13"/>
        <v>246.4</v>
      </c>
    </row>
    <row r="200" spans="1:14" s="81" customFormat="1" ht="39.75" customHeight="1">
      <c r="A200" s="80"/>
      <c r="B200" s="80"/>
      <c r="C200" s="80"/>
      <c r="D200" s="84" t="s">
        <v>303</v>
      </c>
      <c r="E200" s="84" t="s">
        <v>303</v>
      </c>
      <c r="F200" s="82">
        <v>103322</v>
      </c>
      <c r="G200" s="32">
        <f t="shared" si="11"/>
        <v>103.3</v>
      </c>
      <c r="H200" s="32">
        <v>100</v>
      </c>
      <c r="I200" s="82">
        <v>103322</v>
      </c>
      <c r="J200" s="32">
        <f t="shared" si="12"/>
        <v>103.3</v>
      </c>
      <c r="K200" s="15">
        <v>100000</v>
      </c>
      <c r="L200" s="15"/>
      <c r="M200" s="38">
        <f>L200+K200</f>
        <v>100000</v>
      </c>
      <c r="N200" s="5">
        <f t="shared" si="13"/>
        <v>100</v>
      </c>
    </row>
    <row r="201" spans="1:14" s="81" customFormat="1" ht="32.25" customHeight="1">
      <c r="A201" s="80"/>
      <c r="B201" s="80"/>
      <c r="C201" s="80"/>
      <c r="D201" s="84" t="s">
        <v>408</v>
      </c>
      <c r="E201" s="84" t="s">
        <v>408</v>
      </c>
      <c r="F201" s="82"/>
      <c r="G201" s="32">
        <f t="shared" si="11"/>
        <v>0</v>
      </c>
      <c r="H201" s="32"/>
      <c r="I201" s="82"/>
      <c r="J201" s="32">
        <f t="shared" si="12"/>
        <v>0</v>
      </c>
      <c r="K201" s="15">
        <v>288000</v>
      </c>
      <c r="L201" s="15"/>
      <c r="M201" s="38">
        <f>L201+K201</f>
        <v>288000</v>
      </c>
      <c r="N201" s="5">
        <f t="shared" si="13"/>
        <v>288</v>
      </c>
    </row>
    <row r="202" spans="1:46" s="39" customFormat="1" ht="42" customHeight="1">
      <c r="A202" s="80"/>
      <c r="B202" s="80"/>
      <c r="C202" s="80"/>
      <c r="D202" s="84" t="s">
        <v>410</v>
      </c>
      <c r="E202" s="84" t="s">
        <v>410</v>
      </c>
      <c r="F202" s="82"/>
      <c r="G202" s="32">
        <f t="shared" si="11"/>
        <v>0</v>
      </c>
      <c r="H202" s="32"/>
      <c r="I202" s="82"/>
      <c r="J202" s="32">
        <f t="shared" si="12"/>
        <v>0</v>
      </c>
      <c r="K202" s="15">
        <v>391000</v>
      </c>
      <c r="L202" s="15"/>
      <c r="M202" s="38">
        <f>L202+K202</f>
        <v>391000</v>
      </c>
      <c r="N202" s="5">
        <f t="shared" si="13"/>
        <v>391</v>
      </c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</row>
    <row r="203" spans="1:46" s="39" customFormat="1" ht="36.75" customHeight="1">
      <c r="A203" s="79"/>
      <c r="B203" s="80"/>
      <c r="C203" s="80"/>
      <c r="D203" s="54" t="s">
        <v>141</v>
      </c>
      <c r="E203" s="54" t="s">
        <v>141</v>
      </c>
      <c r="F203" s="82"/>
      <c r="G203" s="32">
        <f t="shared" si="11"/>
        <v>0</v>
      </c>
      <c r="H203" s="74"/>
      <c r="I203" s="82"/>
      <c r="J203" s="32">
        <f t="shared" si="12"/>
        <v>0</v>
      </c>
      <c r="K203" s="33">
        <f>SUM(K204:K216)</f>
        <v>5310168</v>
      </c>
      <c r="L203" s="33">
        <f>SUM(L204:L216)</f>
        <v>0</v>
      </c>
      <c r="M203" s="34">
        <f>SUM(M204:M216)</f>
        <v>5310168</v>
      </c>
      <c r="N203" s="10">
        <f>SUM(N204:N216)</f>
        <v>5310.1</v>
      </c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</row>
    <row r="204" spans="1:46" s="39" customFormat="1" ht="54" customHeight="1">
      <c r="A204" s="79"/>
      <c r="B204" s="80"/>
      <c r="C204" s="80"/>
      <c r="D204" s="51" t="s">
        <v>226</v>
      </c>
      <c r="E204" s="51" t="s">
        <v>226</v>
      </c>
      <c r="F204" s="82">
        <v>237104</v>
      </c>
      <c r="G204" s="32">
        <f t="shared" si="11"/>
        <v>237.1</v>
      </c>
      <c r="H204" s="90">
        <v>100</v>
      </c>
      <c r="I204" s="82">
        <v>237104</v>
      </c>
      <c r="J204" s="32">
        <f t="shared" si="12"/>
        <v>237.1</v>
      </c>
      <c r="K204" s="15">
        <v>221500</v>
      </c>
      <c r="L204" s="15"/>
      <c r="M204" s="38">
        <f aca="true" t="shared" si="15" ref="M204:M216">L204+K204</f>
        <v>221500</v>
      </c>
      <c r="N204" s="5">
        <f t="shared" si="13"/>
        <v>221.5</v>
      </c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</row>
    <row r="205" spans="1:46" s="39" customFormat="1" ht="24" customHeight="1">
      <c r="A205" s="79"/>
      <c r="B205" s="80"/>
      <c r="C205" s="80"/>
      <c r="D205" s="51" t="s">
        <v>271</v>
      </c>
      <c r="E205" s="51" t="s">
        <v>271</v>
      </c>
      <c r="F205" s="82"/>
      <c r="G205" s="32">
        <f t="shared" si="11"/>
        <v>0</v>
      </c>
      <c r="H205" s="74"/>
      <c r="I205" s="82"/>
      <c r="J205" s="32">
        <f t="shared" si="12"/>
        <v>0</v>
      </c>
      <c r="K205" s="15">
        <v>8500</v>
      </c>
      <c r="L205" s="15"/>
      <c r="M205" s="38">
        <f t="shared" si="15"/>
        <v>8500</v>
      </c>
      <c r="N205" s="5">
        <f t="shared" si="13"/>
        <v>8.5</v>
      </c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</row>
    <row r="206" spans="1:46" s="39" customFormat="1" ht="27" customHeight="1">
      <c r="A206" s="79"/>
      <c r="B206" s="80"/>
      <c r="C206" s="80"/>
      <c r="D206" s="84" t="s">
        <v>272</v>
      </c>
      <c r="E206" s="84" t="s">
        <v>272</v>
      </c>
      <c r="F206" s="82"/>
      <c r="G206" s="32">
        <f t="shared" si="11"/>
        <v>0</v>
      </c>
      <c r="H206" s="74"/>
      <c r="I206" s="82"/>
      <c r="J206" s="32">
        <f t="shared" si="12"/>
        <v>0</v>
      </c>
      <c r="K206" s="15">
        <v>8500</v>
      </c>
      <c r="L206" s="15"/>
      <c r="M206" s="38">
        <f t="shared" si="15"/>
        <v>8500</v>
      </c>
      <c r="N206" s="5">
        <f t="shared" si="13"/>
        <v>8.5</v>
      </c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</row>
    <row r="207" spans="1:14" s="81" customFormat="1" ht="26.25" customHeight="1">
      <c r="A207" s="79"/>
      <c r="B207" s="80"/>
      <c r="C207" s="80"/>
      <c r="D207" s="84" t="s">
        <v>361</v>
      </c>
      <c r="E207" s="84" t="s">
        <v>361</v>
      </c>
      <c r="F207" s="82">
        <v>2143744</v>
      </c>
      <c r="G207" s="32">
        <f t="shared" si="11"/>
        <v>2143.7</v>
      </c>
      <c r="H207" s="32">
        <v>97.27</v>
      </c>
      <c r="I207" s="82">
        <v>2085265</v>
      </c>
      <c r="J207" s="32">
        <f t="shared" si="12"/>
        <v>2085.3</v>
      </c>
      <c r="K207" s="15">
        <f>490000+500000+50000</f>
        <v>1040000</v>
      </c>
      <c r="L207" s="15"/>
      <c r="M207" s="38">
        <f t="shared" si="15"/>
        <v>1040000</v>
      </c>
      <c r="N207" s="5">
        <f t="shared" si="13"/>
        <v>1040</v>
      </c>
    </row>
    <row r="208" spans="1:14" s="81" customFormat="1" ht="28.5" customHeight="1">
      <c r="A208" s="80"/>
      <c r="B208" s="80"/>
      <c r="C208" s="80"/>
      <c r="D208" s="51" t="s">
        <v>149</v>
      </c>
      <c r="E208" s="51" t="s">
        <v>149</v>
      </c>
      <c r="F208" s="82">
        <v>5382485</v>
      </c>
      <c r="G208" s="32">
        <f t="shared" si="11"/>
        <v>5382.5</v>
      </c>
      <c r="H208" s="32">
        <v>50.7</v>
      </c>
      <c r="I208" s="82">
        <v>2732167</v>
      </c>
      <c r="J208" s="32">
        <f t="shared" si="12"/>
        <v>2732.2</v>
      </c>
      <c r="K208" s="15">
        <f>50000+603355</f>
        <v>653355</v>
      </c>
      <c r="L208" s="15"/>
      <c r="M208" s="38">
        <f t="shared" si="15"/>
        <v>653355</v>
      </c>
      <c r="N208" s="5">
        <f>ROUND(M208/1000,1)-0.1</f>
        <v>653.3</v>
      </c>
    </row>
    <row r="209" spans="1:14" s="81" customFormat="1" ht="30" customHeight="1">
      <c r="A209" s="80"/>
      <c r="B209" s="80"/>
      <c r="C209" s="80"/>
      <c r="D209" s="51" t="s">
        <v>385</v>
      </c>
      <c r="E209" s="51" t="s">
        <v>385</v>
      </c>
      <c r="F209" s="82"/>
      <c r="G209" s="32">
        <f t="shared" si="11"/>
        <v>0</v>
      </c>
      <c r="H209" s="32"/>
      <c r="I209" s="82"/>
      <c r="J209" s="32">
        <f t="shared" si="12"/>
        <v>0</v>
      </c>
      <c r="K209" s="15">
        <f>200000-72364</f>
        <v>127636</v>
      </c>
      <c r="L209" s="15"/>
      <c r="M209" s="38">
        <f t="shared" si="15"/>
        <v>127636</v>
      </c>
      <c r="N209" s="5">
        <f t="shared" si="13"/>
        <v>127.6</v>
      </c>
    </row>
    <row r="210" spans="1:14" s="81" customFormat="1" ht="27.75" customHeight="1">
      <c r="A210" s="80"/>
      <c r="B210" s="80"/>
      <c r="C210" s="80"/>
      <c r="D210" s="51" t="s">
        <v>420</v>
      </c>
      <c r="E210" s="51" t="s">
        <v>420</v>
      </c>
      <c r="F210" s="82"/>
      <c r="G210" s="32">
        <f aca="true" t="shared" si="16" ref="G210:G273">ROUND(F210/1000,1)</f>
        <v>0</v>
      </c>
      <c r="H210" s="32"/>
      <c r="I210" s="82"/>
      <c r="J210" s="32">
        <f aca="true" t="shared" si="17" ref="J210:J273">ROUND(I210/1000,1)</f>
        <v>0</v>
      </c>
      <c r="K210" s="15">
        <v>30000</v>
      </c>
      <c r="L210" s="15"/>
      <c r="M210" s="38">
        <f t="shared" si="15"/>
        <v>30000</v>
      </c>
      <c r="N210" s="5">
        <f aca="true" t="shared" si="18" ref="N210:N273">ROUND(M210/1000,1)</f>
        <v>30</v>
      </c>
    </row>
    <row r="211" spans="1:14" s="81" customFormat="1" ht="28.5" customHeight="1">
      <c r="A211" s="80"/>
      <c r="B211" s="80"/>
      <c r="C211" s="80"/>
      <c r="D211" s="84" t="s">
        <v>273</v>
      </c>
      <c r="E211" s="84" t="s">
        <v>273</v>
      </c>
      <c r="F211" s="82"/>
      <c r="G211" s="32">
        <f t="shared" si="16"/>
        <v>0</v>
      </c>
      <c r="H211" s="32"/>
      <c r="I211" s="82"/>
      <c r="J211" s="32">
        <f t="shared" si="17"/>
        <v>0</v>
      </c>
      <c r="K211" s="15">
        <v>8500</v>
      </c>
      <c r="L211" s="15"/>
      <c r="M211" s="38">
        <f t="shared" si="15"/>
        <v>8500</v>
      </c>
      <c r="N211" s="5">
        <f t="shared" si="18"/>
        <v>8.5</v>
      </c>
    </row>
    <row r="212" spans="1:14" s="81" customFormat="1" ht="47.25" customHeight="1">
      <c r="A212" s="80"/>
      <c r="B212" s="80"/>
      <c r="C212" s="80"/>
      <c r="D212" s="51" t="s">
        <v>150</v>
      </c>
      <c r="E212" s="51" t="s">
        <v>150</v>
      </c>
      <c r="F212" s="82"/>
      <c r="G212" s="32">
        <f t="shared" si="16"/>
        <v>0</v>
      </c>
      <c r="H212" s="32"/>
      <c r="I212" s="82"/>
      <c r="J212" s="32">
        <f t="shared" si="17"/>
        <v>0</v>
      </c>
      <c r="K212" s="15">
        <f>500000-391000</f>
        <v>109000</v>
      </c>
      <c r="L212" s="15"/>
      <c r="M212" s="38">
        <f t="shared" si="15"/>
        <v>109000</v>
      </c>
      <c r="N212" s="5">
        <f t="shared" si="18"/>
        <v>109</v>
      </c>
    </row>
    <row r="213" spans="1:14" s="81" customFormat="1" ht="45.75" customHeight="1">
      <c r="A213" s="80"/>
      <c r="B213" s="80"/>
      <c r="C213" s="80"/>
      <c r="D213" s="51" t="s">
        <v>151</v>
      </c>
      <c r="E213" s="51" t="s">
        <v>151</v>
      </c>
      <c r="F213" s="82">
        <v>1388402</v>
      </c>
      <c r="G213" s="32">
        <f t="shared" si="16"/>
        <v>1388.4</v>
      </c>
      <c r="H213" s="32">
        <v>97.1</v>
      </c>
      <c r="I213" s="82">
        <v>1348369</v>
      </c>
      <c r="J213" s="32">
        <f t="shared" si="17"/>
        <v>1348.4</v>
      </c>
      <c r="K213" s="15">
        <f>986000+400000-57000-438000</f>
        <v>891000</v>
      </c>
      <c r="L213" s="15"/>
      <c r="M213" s="38">
        <f t="shared" si="15"/>
        <v>891000</v>
      </c>
      <c r="N213" s="5">
        <f t="shared" si="18"/>
        <v>891</v>
      </c>
    </row>
    <row r="214" spans="1:14" s="81" customFormat="1" ht="30.75" customHeight="1">
      <c r="A214" s="80"/>
      <c r="B214" s="80"/>
      <c r="C214" s="80"/>
      <c r="D214" s="51" t="s">
        <v>384</v>
      </c>
      <c r="E214" s="51" t="s">
        <v>384</v>
      </c>
      <c r="F214" s="82"/>
      <c r="G214" s="32">
        <f t="shared" si="16"/>
        <v>0</v>
      </c>
      <c r="H214" s="32"/>
      <c r="I214" s="82"/>
      <c r="J214" s="32">
        <f t="shared" si="17"/>
        <v>0</v>
      </c>
      <c r="K214" s="15">
        <v>70000</v>
      </c>
      <c r="L214" s="15"/>
      <c r="M214" s="38">
        <f t="shared" si="15"/>
        <v>70000</v>
      </c>
      <c r="N214" s="5">
        <f t="shared" si="18"/>
        <v>70</v>
      </c>
    </row>
    <row r="215" spans="1:14" s="81" customFormat="1" ht="49.5" customHeight="1">
      <c r="A215" s="80"/>
      <c r="B215" s="80"/>
      <c r="C215" s="80"/>
      <c r="D215" s="51" t="s">
        <v>419</v>
      </c>
      <c r="E215" s="51" t="s">
        <v>419</v>
      </c>
      <c r="F215" s="82"/>
      <c r="G215" s="32">
        <f t="shared" si="16"/>
        <v>0</v>
      </c>
      <c r="H215" s="32"/>
      <c r="I215" s="82"/>
      <c r="J215" s="32">
        <f t="shared" si="17"/>
        <v>0</v>
      </c>
      <c r="K215" s="15">
        <v>700000</v>
      </c>
      <c r="L215" s="15"/>
      <c r="M215" s="38">
        <f>L215+K215</f>
        <v>700000</v>
      </c>
      <c r="N215" s="5">
        <f t="shared" si="18"/>
        <v>700</v>
      </c>
    </row>
    <row r="216" spans="1:14" s="91" customFormat="1" ht="54" customHeight="1">
      <c r="A216" s="80"/>
      <c r="B216" s="80"/>
      <c r="C216" s="80"/>
      <c r="D216" s="51" t="s">
        <v>152</v>
      </c>
      <c r="E216" s="51" t="s">
        <v>152</v>
      </c>
      <c r="F216" s="82">
        <v>1479061</v>
      </c>
      <c r="G216" s="32">
        <f t="shared" si="16"/>
        <v>1479.1</v>
      </c>
      <c r="H216" s="32">
        <v>97.5</v>
      </c>
      <c r="I216" s="82">
        <v>1442177</v>
      </c>
      <c r="J216" s="32">
        <f t="shared" si="17"/>
        <v>1442.2</v>
      </c>
      <c r="K216" s="15">
        <f>1455000-12823</f>
        <v>1442177</v>
      </c>
      <c r="L216" s="15"/>
      <c r="M216" s="38">
        <f t="shared" si="15"/>
        <v>1442177</v>
      </c>
      <c r="N216" s="5">
        <f t="shared" si="18"/>
        <v>1442.2</v>
      </c>
    </row>
    <row r="217" spans="1:46" s="39" customFormat="1" ht="24" customHeight="1">
      <c r="A217" s="87">
        <v>1517322</v>
      </c>
      <c r="B217" s="40" t="s">
        <v>136</v>
      </c>
      <c r="C217" s="40" t="s">
        <v>49</v>
      </c>
      <c r="D217" s="88" t="s">
        <v>457</v>
      </c>
      <c r="E217" s="89"/>
      <c r="F217" s="82"/>
      <c r="G217" s="32">
        <f t="shared" si="16"/>
        <v>0</v>
      </c>
      <c r="H217" s="52"/>
      <c r="I217" s="82"/>
      <c r="J217" s="32">
        <f t="shared" si="17"/>
        <v>0</v>
      </c>
      <c r="K217" s="57">
        <f>K218+K220</f>
        <v>4380000</v>
      </c>
      <c r="L217" s="57">
        <f>L218+L220</f>
        <v>0</v>
      </c>
      <c r="M217" s="58">
        <f>M218+M220</f>
        <v>4380000</v>
      </c>
      <c r="N217" s="12">
        <f>N218+N220</f>
        <v>4380</v>
      </c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</row>
    <row r="218" spans="1:14" s="81" customFormat="1" ht="28.5" customHeight="1">
      <c r="A218" s="79"/>
      <c r="B218" s="80"/>
      <c r="C218" s="80"/>
      <c r="D218" s="71" t="s">
        <v>138</v>
      </c>
      <c r="E218" s="71" t="s">
        <v>138</v>
      </c>
      <c r="F218" s="82"/>
      <c r="G218" s="32">
        <f t="shared" si="16"/>
        <v>0</v>
      </c>
      <c r="H218" s="74"/>
      <c r="I218" s="82"/>
      <c r="J218" s="32">
        <f t="shared" si="17"/>
        <v>0</v>
      </c>
      <c r="K218" s="33">
        <f>K219</f>
        <v>20000</v>
      </c>
      <c r="L218" s="33">
        <f>L219</f>
        <v>0</v>
      </c>
      <c r="M218" s="34">
        <f>M219</f>
        <v>20000</v>
      </c>
      <c r="N218" s="10">
        <f>N219</f>
        <v>20</v>
      </c>
    </row>
    <row r="219" spans="1:46" s="39" customFormat="1" ht="28.5" customHeight="1">
      <c r="A219" s="24"/>
      <c r="B219" s="80"/>
      <c r="C219" s="80"/>
      <c r="D219" s="84" t="s">
        <v>233</v>
      </c>
      <c r="E219" s="84" t="s">
        <v>233</v>
      </c>
      <c r="F219" s="82"/>
      <c r="G219" s="32">
        <f t="shared" si="16"/>
        <v>0</v>
      </c>
      <c r="H219" s="32"/>
      <c r="I219" s="82"/>
      <c r="J219" s="32">
        <f t="shared" si="17"/>
        <v>0</v>
      </c>
      <c r="K219" s="15">
        <v>20000</v>
      </c>
      <c r="L219" s="15"/>
      <c r="M219" s="38">
        <f>L219+K219</f>
        <v>20000</v>
      </c>
      <c r="N219" s="5">
        <f t="shared" si="18"/>
        <v>20</v>
      </c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</row>
    <row r="220" spans="1:14" s="81" customFormat="1" ht="27.75" customHeight="1">
      <c r="A220" s="79"/>
      <c r="B220" s="80"/>
      <c r="C220" s="80"/>
      <c r="D220" s="54" t="s">
        <v>141</v>
      </c>
      <c r="E220" s="54" t="s">
        <v>141</v>
      </c>
      <c r="F220" s="82"/>
      <c r="G220" s="32">
        <f t="shared" si="16"/>
        <v>0</v>
      </c>
      <c r="H220" s="74"/>
      <c r="I220" s="82"/>
      <c r="J220" s="32">
        <f t="shared" si="17"/>
        <v>0</v>
      </c>
      <c r="K220" s="33">
        <f>SUM(K221:K224)</f>
        <v>4360000</v>
      </c>
      <c r="L220" s="33">
        <f>SUM(L221:L224)</f>
        <v>0</v>
      </c>
      <c r="M220" s="34">
        <f>SUM(M221:M224)</f>
        <v>4360000</v>
      </c>
      <c r="N220" s="10">
        <f>SUM(N221:N224)</f>
        <v>4360</v>
      </c>
    </row>
    <row r="221" spans="1:14" s="81" customFormat="1" ht="31.5" customHeight="1">
      <c r="A221" s="24"/>
      <c r="B221" s="80"/>
      <c r="C221" s="80"/>
      <c r="D221" s="84" t="s">
        <v>172</v>
      </c>
      <c r="E221" s="84" t="s">
        <v>172</v>
      </c>
      <c r="F221" s="82">
        <v>16272770</v>
      </c>
      <c r="G221" s="32">
        <f t="shared" si="16"/>
        <v>16272.8</v>
      </c>
      <c r="H221" s="92">
        <v>98.66</v>
      </c>
      <c r="I221" s="82">
        <v>16054529</v>
      </c>
      <c r="J221" s="32">
        <f t="shared" si="17"/>
        <v>16054.5</v>
      </c>
      <c r="K221" s="15">
        <f>2000000+300000-700000</f>
        <v>1600000</v>
      </c>
      <c r="L221" s="15"/>
      <c r="M221" s="38">
        <f>L221+K221</f>
        <v>1600000</v>
      </c>
      <c r="N221" s="5">
        <f t="shared" si="18"/>
        <v>1600</v>
      </c>
    </row>
    <row r="222" spans="1:14" s="81" customFormat="1" ht="27.75" customHeight="1">
      <c r="A222" s="24"/>
      <c r="B222" s="80"/>
      <c r="C222" s="80"/>
      <c r="D222" s="37" t="s">
        <v>153</v>
      </c>
      <c r="E222" s="37" t="s">
        <v>153</v>
      </c>
      <c r="F222" s="82"/>
      <c r="G222" s="32">
        <f t="shared" si="16"/>
        <v>0</v>
      </c>
      <c r="H222" s="93"/>
      <c r="I222" s="82"/>
      <c r="J222" s="32">
        <f t="shared" si="17"/>
        <v>0</v>
      </c>
      <c r="K222" s="15">
        <f>9000+100000</f>
        <v>109000</v>
      </c>
      <c r="L222" s="15"/>
      <c r="M222" s="38">
        <f>L222+K222</f>
        <v>109000</v>
      </c>
      <c r="N222" s="5">
        <f t="shared" si="18"/>
        <v>109</v>
      </c>
    </row>
    <row r="223" spans="1:46" ht="40.5" customHeight="1">
      <c r="A223" s="24"/>
      <c r="B223" s="80"/>
      <c r="C223" s="80"/>
      <c r="D223" s="37" t="s">
        <v>154</v>
      </c>
      <c r="E223" s="37" t="s">
        <v>154</v>
      </c>
      <c r="F223" s="82">
        <v>1591924</v>
      </c>
      <c r="G223" s="32">
        <f t="shared" si="16"/>
        <v>1591.9</v>
      </c>
      <c r="H223" s="92">
        <v>100</v>
      </c>
      <c r="I223" s="82">
        <v>1591924</v>
      </c>
      <c r="J223" s="32">
        <f t="shared" si="17"/>
        <v>1591.9</v>
      </c>
      <c r="K223" s="15">
        <f>1000000+350000-12000</f>
        <v>1338000</v>
      </c>
      <c r="L223" s="15"/>
      <c r="M223" s="38">
        <f>L223+K223</f>
        <v>1338000</v>
      </c>
      <c r="N223" s="5">
        <f t="shared" si="18"/>
        <v>1338</v>
      </c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</row>
    <row r="224" spans="1:46" s="94" customFormat="1" ht="49.5" customHeight="1">
      <c r="A224" s="24"/>
      <c r="B224" s="80"/>
      <c r="C224" s="80"/>
      <c r="D224" s="51" t="s">
        <v>173</v>
      </c>
      <c r="E224" s="51" t="s">
        <v>173</v>
      </c>
      <c r="F224" s="82">
        <v>1459371</v>
      </c>
      <c r="G224" s="32">
        <f t="shared" si="16"/>
        <v>1459.4</v>
      </c>
      <c r="H224" s="32">
        <v>100</v>
      </c>
      <c r="I224" s="82">
        <v>1459371</v>
      </c>
      <c r="J224" s="32">
        <f t="shared" si="17"/>
        <v>1459.4</v>
      </c>
      <c r="K224" s="15">
        <f>1000000+350000-37000</f>
        <v>1313000</v>
      </c>
      <c r="L224" s="15"/>
      <c r="M224" s="38">
        <f>L224+K224</f>
        <v>1313000</v>
      </c>
      <c r="N224" s="5">
        <f t="shared" si="18"/>
        <v>1313</v>
      </c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</row>
    <row r="225" spans="1:46" s="39" customFormat="1" ht="22.5" customHeight="1">
      <c r="A225" s="87">
        <v>1517325</v>
      </c>
      <c r="B225" s="40" t="s">
        <v>137</v>
      </c>
      <c r="C225" s="40" t="s">
        <v>49</v>
      </c>
      <c r="D225" s="88" t="s">
        <v>458</v>
      </c>
      <c r="E225" s="95"/>
      <c r="F225" s="82"/>
      <c r="G225" s="32">
        <f t="shared" si="16"/>
        <v>0</v>
      </c>
      <c r="H225" s="52"/>
      <c r="I225" s="82"/>
      <c r="J225" s="32">
        <f t="shared" si="17"/>
        <v>0</v>
      </c>
      <c r="K225" s="57">
        <f>K226</f>
        <v>4097250</v>
      </c>
      <c r="L225" s="57">
        <f>L226</f>
        <v>-57200</v>
      </c>
      <c r="M225" s="58">
        <f>M226</f>
        <v>4040050</v>
      </c>
      <c r="N225" s="12">
        <f>N226</f>
        <v>4040.1</v>
      </c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</row>
    <row r="226" spans="1:14" s="81" customFormat="1" ht="32.25" customHeight="1">
      <c r="A226" s="79"/>
      <c r="B226" s="80"/>
      <c r="C226" s="80"/>
      <c r="D226" s="54" t="s">
        <v>141</v>
      </c>
      <c r="E226" s="54" t="s">
        <v>141</v>
      </c>
      <c r="F226" s="82"/>
      <c r="G226" s="32">
        <f t="shared" si="16"/>
        <v>0</v>
      </c>
      <c r="H226" s="74"/>
      <c r="I226" s="82"/>
      <c r="J226" s="32">
        <f t="shared" si="17"/>
        <v>0</v>
      </c>
      <c r="K226" s="33">
        <f>SUM(K227:K229)</f>
        <v>4097250</v>
      </c>
      <c r="L226" s="33">
        <f>SUM(L227:L229)</f>
        <v>-57200</v>
      </c>
      <c r="M226" s="34">
        <f>SUM(M227:M229)</f>
        <v>4040050</v>
      </c>
      <c r="N226" s="10">
        <f>SUM(N227:N229)</f>
        <v>4040.1</v>
      </c>
    </row>
    <row r="227" spans="1:14" s="81" customFormat="1" ht="28.5" customHeight="1">
      <c r="A227" s="80"/>
      <c r="B227" s="80"/>
      <c r="C227" s="80"/>
      <c r="D227" s="84" t="s">
        <v>155</v>
      </c>
      <c r="E227" s="84" t="s">
        <v>155</v>
      </c>
      <c r="F227" s="82">
        <v>8134171</v>
      </c>
      <c r="G227" s="32">
        <f t="shared" si="16"/>
        <v>8134.2</v>
      </c>
      <c r="H227" s="32">
        <v>35.9</v>
      </c>
      <c r="I227" s="82">
        <v>2927689</v>
      </c>
      <c r="J227" s="32">
        <f t="shared" si="17"/>
        <v>2927.7</v>
      </c>
      <c r="K227" s="15">
        <f>2000000-125000-234000-928750</f>
        <v>712250</v>
      </c>
      <c r="L227" s="15"/>
      <c r="M227" s="38">
        <f>L227+K227</f>
        <v>712250</v>
      </c>
      <c r="N227" s="5">
        <f t="shared" si="18"/>
        <v>712.3</v>
      </c>
    </row>
    <row r="228" spans="1:14" s="81" customFormat="1" ht="34.5" customHeight="1">
      <c r="A228" s="80"/>
      <c r="B228" s="80"/>
      <c r="C228" s="80"/>
      <c r="D228" s="84" t="s">
        <v>362</v>
      </c>
      <c r="E228" s="84" t="s">
        <v>362</v>
      </c>
      <c r="F228" s="82">
        <v>12421937</v>
      </c>
      <c r="G228" s="32">
        <f t="shared" si="16"/>
        <v>12421.9</v>
      </c>
      <c r="H228" s="32">
        <v>100</v>
      </c>
      <c r="I228" s="82">
        <v>12421937</v>
      </c>
      <c r="J228" s="32">
        <f t="shared" si="17"/>
        <v>12421.9</v>
      </c>
      <c r="K228" s="15">
        <f>50000+50000</f>
        <v>100000</v>
      </c>
      <c r="L228" s="15">
        <v>-57200</v>
      </c>
      <c r="M228" s="38">
        <f>L228+K228</f>
        <v>42800</v>
      </c>
      <c r="N228" s="5">
        <f t="shared" si="18"/>
        <v>42.8</v>
      </c>
    </row>
    <row r="229" spans="1:46" ht="30.75" customHeight="1">
      <c r="A229" s="80"/>
      <c r="B229" s="80"/>
      <c r="C229" s="80"/>
      <c r="D229" s="84" t="s">
        <v>174</v>
      </c>
      <c r="E229" s="84" t="s">
        <v>174</v>
      </c>
      <c r="F229" s="82">
        <v>3821803</v>
      </c>
      <c r="G229" s="32">
        <f t="shared" si="16"/>
        <v>3821.8</v>
      </c>
      <c r="H229" s="32">
        <v>97.6</v>
      </c>
      <c r="I229" s="82">
        <v>3729106</v>
      </c>
      <c r="J229" s="32">
        <f t="shared" si="17"/>
        <v>3729.1</v>
      </c>
      <c r="K229" s="15">
        <f>2500000+485000+300000</f>
        <v>3285000</v>
      </c>
      <c r="L229" s="15"/>
      <c r="M229" s="38">
        <f>L229+K229</f>
        <v>3285000</v>
      </c>
      <c r="N229" s="5">
        <f t="shared" si="18"/>
        <v>3285</v>
      </c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</row>
    <row r="230" spans="1:46" ht="50.25" customHeight="1">
      <c r="A230" s="24">
        <v>1517330</v>
      </c>
      <c r="B230" s="36" t="s">
        <v>133</v>
      </c>
      <c r="C230" s="36" t="s">
        <v>49</v>
      </c>
      <c r="D230" s="31" t="s">
        <v>450</v>
      </c>
      <c r="E230" s="72"/>
      <c r="F230" s="82"/>
      <c r="G230" s="32">
        <f t="shared" si="16"/>
        <v>0</v>
      </c>
      <c r="H230" s="32"/>
      <c r="I230" s="82"/>
      <c r="J230" s="32">
        <f t="shared" si="17"/>
        <v>0</v>
      </c>
      <c r="K230" s="33">
        <f>K231+K272</f>
        <v>41856891</v>
      </c>
      <c r="L230" s="33">
        <f>L231+L272</f>
        <v>-284064</v>
      </c>
      <c r="M230" s="34">
        <f>M231+M272</f>
        <v>41572827</v>
      </c>
      <c r="N230" s="10">
        <f>N231+N272</f>
        <v>41572.8</v>
      </c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</row>
    <row r="231" spans="1:46" ht="21" customHeight="1">
      <c r="A231" s="96"/>
      <c r="B231" s="80"/>
      <c r="C231" s="80"/>
      <c r="D231" s="71" t="s">
        <v>138</v>
      </c>
      <c r="E231" s="71" t="s">
        <v>138</v>
      </c>
      <c r="F231" s="82"/>
      <c r="G231" s="32">
        <f t="shared" si="16"/>
        <v>0</v>
      </c>
      <c r="H231" s="97"/>
      <c r="I231" s="82"/>
      <c r="J231" s="32">
        <f t="shared" si="17"/>
        <v>0</v>
      </c>
      <c r="K231" s="33">
        <f>SUM(K232:K271)</f>
        <v>21509415</v>
      </c>
      <c r="L231" s="33">
        <f>SUM(L232:L271)</f>
        <v>0</v>
      </c>
      <c r="M231" s="34">
        <f>SUM(M232:M271)</f>
        <v>21509415</v>
      </c>
      <c r="N231" s="10">
        <f>SUM(N232:N271)</f>
        <v>21509.500000000004</v>
      </c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</row>
    <row r="232" spans="1:46" ht="27" customHeight="1">
      <c r="A232" s="96"/>
      <c r="B232" s="80"/>
      <c r="C232" s="80"/>
      <c r="D232" s="37" t="s">
        <v>322</v>
      </c>
      <c r="E232" s="37" t="s">
        <v>322</v>
      </c>
      <c r="F232" s="82"/>
      <c r="G232" s="32">
        <f t="shared" si="16"/>
        <v>0</v>
      </c>
      <c r="H232" s="97"/>
      <c r="I232" s="82"/>
      <c r="J232" s="32">
        <f t="shared" si="17"/>
        <v>0</v>
      </c>
      <c r="K232" s="15">
        <f>250000-200000</f>
        <v>50000</v>
      </c>
      <c r="L232" s="15"/>
      <c r="M232" s="38">
        <f aca="true" t="shared" si="19" ref="M232:M271">L232+K232</f>
        <v>50000</v>
      </c>
      <c r="N232" s="5">
        <f t="shared" si="18"/>
        <v>50</v>
      </c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</row>
    <row r="233" spans="1:14" s="81" customFormat="1" ht="33.75" customHeight="1">
      <c r="A233" s="79"/>
      <c r="B233" s="79"/>
      <c r="C233" s="79"/>
      <c r="D233" s="84" t="s">
        <v>156</v>
      </c>
      <c r="E233" s="84" t="s">
        <v>156</v>
      </c>
      <c r="F233" s="82">
        <v>28556946</v>
      </c>
      <c r="G233" s="32">
        <f t="shared" si="16"/>
        <v>28556.9</v>
      </c>
      <c r="H233" s="83">
        <v>89.5</v>
      </c>
      <c r="I233" s="82">
        <v>25554164</v>
      </c>
      <c r="J233" s="32">
        <f t="shared" si="17"/>
        <v>25554.2</v>
      </c>
      <c r="K233" s="15">
        <v>3000000</v>
      </c>
      <c r="L233" s="15"/>
      <c r="M233" s="38">
        <f t="shared" si="19"/>
        <v>3000000</v>
      </c>
      <c r="N233" s="5">
        <f t="shared" si="18"/>
        <v>3000</v>
      </c>
    </row>
    <row r="234" spans="1:14" s="81" customFormat="1" ht="27.75" customHeight="1">
      <c r="A234" s="80"/>
      <c r="B234" s="80"/>
      <c r="C234" s="80"/>
      <c r="D234" s="51" t="s">
        <v>157</v>
      </c>
      <c r="E234" s="51" t="s">
        <v>157</v>
      </c>
      <c r="F234" s="82">
        <v>15275728</v>
      </c>
      <c r="G234" s="32">
        <f t="shared" si="16"/>
        <v>15275.7</v>
      </c>
      <c r="H234" s="32">
        <v>79.1</v>
      </c>
      <c r="I234" s="82">
        <v>12085200</v>
      </c>
      <c r="J234" s="32">
        <f t="shared" si="17"/>
        <v>12085.2</v>
      </c>
      <c r="K234" s="15">
        <v>11136000</v>
      </c>
      <c r="L234" s="15"/>
      <c r="M234" s="38">
        <f t="shared" si="19"/>
        <v>11136000</v>
      </c>
      <c r="N234" s="5">
        <f t="shared" si="18"/>
        <v>11136</v>
      </c>
    </row>
    <row r="235" spans="1:14" s="81" customFormat="1" ht="30.75" customHeight="1">
      <c r="A235" s="80"/>
      <c r="B235" s="80"/>
      <c r="C235" s="80"/>
      <c r="D235" s="84" t="s">
        <v>337</v>
      </c>
      <c r="E235" s="84" t="s">
        <v>337</v>
      </c>
      <c r="F235" s="82">
        <v>151045</v>
      </c>
      <c r="G235" s="32">
        <f t="shared" si="16"/>
        <v>151</v>
      </c>
      <c r="H235" s="32">
        <v>100</v>
      </c>
      <c r="I235" s="82">
        <v>151045</v>
      </c>
      <c r="J235" s="32">
        <f t="shared" si="17"/>
        <v>151</v>
      </c>
      <c r="K235" s="15">
        <f>151400-1243</f>
        <v>150157</v>
      </c>
      <c r="L235" s="15"/>
      <c r="M235" s="38">
        <f t="shared" si="19"/>
        <v>150157</v>
      </c>
      <c r="N235" s="5">
        <f t="shared" si="18"/>
        <v>150.2</v>
      </c>
    </row>
    <row r="236" spans="1:14" s="81" customFormat="1" ht="29.25" customHeight="1">
      <c r="A236" s="80"/>
      <c r="B236" s="80"/>
      <c r="C236" s="80"/>
      <c r="D236" s="84" t="s">
        <v>341</v>
      </c>
      <c r="E236" s="84" t="s">
        <v>341</v>
      </c>
      <c r="F236" s="82">
        <v>160879</v>
      </c>
      <c r="G236" s="32">
        <f t="shared" si="16"/>
        <v>160.9</v>
      </c>
      <c r="H236" s="32">
        <v>100</v>
      </c>
      <c r="I236" s="82">
        <v>160879</v>
      </c>
      <c r="J236" s="32">
        <f t="shared" si="17"/>
        <v>160.9</v>
      </c>
      <c r="K236" s="15">
        <v>157000</v>
      </c>
      <c r="L236" s="15"/>
      <c r="M236" s="38">
        <f t="shared" si="19"/>
        <v>157000</v>
      </c>
      <c r="N236" s="5">
        <f t="shared" si="18"/>
        <v>157</v>
      </c>
    </row>
    <row r="237" spans="1:14" s="81" customFormat="1" ht="44.25" customHeight="1">
      <c r="A237" s="80"/>
      <c r="B237" s="80"/>
      <c r="C237" s="80"/>
      <c r="D237" s="84" t="s">
        <v>347</v>
      </c>
      <c r="E237" s="84" t="s">
        <v>347</v>
      </c>
      <c r="F237" s="82">
        <v>97138</v>
      </c>
      <c r="G237" s="32">
        <f t="shared" si="16"/>
        <v>97.1</v>
      </c>
      <c r="H237" s="32">
        <v>100</v>
      </c>
      <c r="I237" s="82">
        <v>97138</v>
      </c>
      <c r="J237" s="32">
        <f t="shared" si="17"/>
        <v>97.1</v>
      </c>
      <c r="K237" s="15">
        <f>100000-2862</f>
        <v>97138</v>
      </c>
      <c r="L237" s="15"/>
      <c r="M237" s="38">
        <f t="shared" si="19"/>
        <v>97138</v>
      </c>
      <c r="N237" s="5">
        <f t="shared" si="18"/>
        <v>97.1</v>
      </c>
    </row>
    <row r="238" spans="1:14" s="81" customFormat="1" ht="27.75" customHeight="1">
      <c r="A238" s="80"/>
      <c r="B238" s="80"/>
      <c r="C238" s="80"/>
      <c r="D238" s="84" t="s">
        <v>363</v>
      </c>
      <c r="E238" s="84" t="s">
        <v>363</v>
      </c>
      <c r="F238" s="82">
        <v>53632</v>
      </c>
      <c r="G238" s="32">
        <f t="shared" si="16"/>
        <v>53.6</v>
      </c>
      <c r="H238" s="32">
        <v>100</v>
      </c>
      <c r="I238" s="82">
        <v>53632</v>
      </c>
      <c r="J238" s="32">
        <f t="shared" si="17"/>
        <v>53.6</v>
      </c>
      <c r="K238" s="15">
        <v>50000</v>
      </c>
      <c r="L238" s="15"/>
      <c r="M238" s="38">
        <f t="shared" si="19"/>
        <v>50000</v>
      </c>
      <c r="N238" s="5">
        <f t="shared" si="18"/>
        <v>50</v>
      </c>
    </row>
    <row r="239" spans="1:14" s="81" customFormat="1" ht="47.25" customHeight="1">
      <c r="A239" s="80"/>
      <c r="B239" s="80"/>
      <c r="C239" s="80"/>
      <c r="D239" s="84" t="s">
        <v>342</v>
      </c>
      <c r="E239" s="84" t="s">
        <v>342</v>
      </c>
      <c r="F239" s="82">
        <v>99196</v>
      </c>
      <c r="G239" s="32">
        <f t="shared" si="16"/>
        <v>99.2</v>
      </c>
      <c r="H239" s="32">
        <v>100</v>
      </c>
      <c r="I239" s="82">
        <v>99196</v>
      </c>
      <c r="J239" s="32">
        <f t="shared" si="17"/>
        <v>99.2</v>
      </c>
      <c r="K239" s="15">
        <v>2400</v>
      </c>
      <c r="L239" s="15"/>
      <c r="M239" s="38">
        <f t="shared" si="19"/>
        <v>2400</v>
      </c>
      <c r="N239" s="5">
        <f t="shared" si="18"/>
        <v>2.4</v>
      </c>
    </row>
    <row r="240" spans="1:14" s="81" customFormat="1" ht="27.75" customHeight="1">
      <c r="A240" s="80"/>
      <c r="B240" s="80"/>
      <c r="C240" s="80"/>
      <c r="D240" s="51" t="s">
        <v>389</v>
      </c>
      <c r="E240" s="51" t="s">
        <v>389</v>
      </c>
      <c r="F240" s="82">
        <v>46163</v>
      </c>
      <c r="G240" s="32">
        <f t="shared" si="16"/>
        <v>46.2</v>
      </c>
      <c r="H240" s="32">
        <v>100</v>
      </c>
      <c r="I240" s="82">
        <v>46163</v>
      </c>
      <c r="J240" s="32">
        <f t="shared" si="17"/>
        <v>46.2</v>
      </c>
      <c r="K240" s="15">
        <f>48000-1837</f>
        <v>46163</v>
      </c>
      <c r="L240" s="15"/>
      <c r="M240" s="38">
        <f t="shared" si="19"/>
        <v>46163</v>
      </c>
      <c r="N240" s="5">
        <f t="shared" si="18"/>
        <v>46.2</v>
      </c>
    </row>
    <row r="241" spans="1:14" s="81" customFormat="1" ht="27.75" customHeight="1">
      <c r="A241" s="80"/>
      <c r="B241" s="80"/>
      <c r="C241" s="80"/>
      <c r="D241" s="51" t="s">
        <v>381</v>
      </c>
      <c r="E241" s="51" t="s">
        <v>381</v>
      </c>
      <c r="F241" s="82">
        <v>107178</v>
      </c>
      <c r="G241" s="32">
        <f t="shared" si="16"/>
        <v>107.2</v>
      </c>
      <c r="H241" s="32">
        <v>100</v>
      </c>
      <c r="I241" s="82">
        <v>107178</v>
      </c>
      <c r="J241" s="32">
        <f t="shared" si="17"/>
        <v>107.2</v>
      </c>
      <c r="K241" s="15">
        <v>107000</v>
      </c>
      <c r="L241" s="15"/>
      <c r="M241" s="38">
        <f t="shared" si="19"/>
        <v>107000</v>
      </c>
      <c r="N241" s="5">
        <f t="shared" si="18"/>
        <v>107</v>
      </c>
    </row>
    <row r="242" spans="1:14" s="81" customFormat="1" ht="27.75" customHeight="1">
      <c r="A242" s="80"/>
      <c r="B242" s="80"/>
      <c r="C242" s="80"/>
      <c r="D242" s="51" t="s">
        <v>224</v>
      </c>
      <c r="E242" s="51" t="s">
        <v>224</v>
      </c>
      <c r="F242" s="82">
        <v>96719</v>
      </c>
      <c r="G242" s="32">
        <f t="shared" si="16"/>
        <v>96.7</v>
      </c>
      <c r="H242" s="32">
        <v>100</v>
      </c>
      <c r="I242" s="82">
        <v>96719</v>
      </c>
      <c r="J242" s="32">
        <f t="shared" si="17"/>
        <v>96.7</v>
      </c>
      <c r="K242" s="15">
        <f>100000-5700-235</f>
        <v>94065</v>
      </c>
      <c r="L242" s="15"/>
      <c r="M242" s="38">
        <f t="shared" si="19"/>
        <v>94065</v>
      </c>
      <c r="N242" s="5">
        <f t="shared" si="18"/>
        <v>94.1</v>
      </c>
    </row>
    <row r="243" spans="1:14" s="81" customFormat="1" ht="27.75" customHeight="1">
      <c r="A243" s="80"/>
      <c r="B243" s="80"/>
      <c r="C243" s="80"/>
      <c r="D243" s="51" t="s">
        <v>232</v>
      </c>
      <c r="E243" s="51" t="s">
        <v>232</v>
      </c>
      <c r="F243" s="82">
        <v>297594</v>
      </c>
      <c r="G243" s="32">
        <f t="shared" si="16"/>
        <v>297.6</v>
      </c>
      <c r="H243" s="32">
        <v>100</v>
      </c>
      <c r="I243" s="82">
        <v>297594</v>
      </c>
      <c r="J243" s="32">
        <f t="shared" si="17"/>
        <v>297.6</v>
      </c>
      <c r="K243" s="15">
        <f>300000-5700-108</f>
        <v>294192</v>
      </c>
      <c r="L243" s="15"/>
      <c r="M243" s="38">
        <f t="shared" si="19"/>
        <v>294192</v>
      </c>
      <c r="N243" s="5">
        <f t="shared" si="18"/>
        <v>294.2</v>
      </c>
    </row>
    <row r="244" spans="1:14" s="81" customFormat="1" ht="44.25" customHeight="1">
      <c r="A244" s="80"/>
      <c r="B244" s="80"/>
      <c r="C244" s="80"/>
      <c r="D244" s="51" t="s">
        <v>295</v>
      </c>
      <c r="E244" s="51" t="s">
        <v>295</v>
      </c>
      <c r="F244" s="82">
        <v>71245</v>
      </c>
      <c r="G244" s="32">
        <f t="shared" si="16"/>
        <v>71.2</v>
      </c>
      <c r="H244" s="32">
        <v>100</v>
      </c>
      <c r="I244" s="82">
        <v>71245</v>
      </c>
      <c r="J244" s="32">
        <f t="shared" si="17"/>
        <v>71.2</v>
      </c>
      <c r="K244" s="15">
        <f>67450-125</f>
        <v>67325</v>
      </c>
      <c r="L244" s="15"/>
      <c r="M244" s="38">
        <f t="shared" si="19"/>
        <v>67325</v>
      </c>
      <c r="N244" s="5">
        <f t="shared" si="18"/>
        <v>67.3</v>
      </c>
    </row>
    <row r="245" spans="1:14" s="81" customFormat="1" ht="44.25" customHeight="1">
      <c r="A245" s="80"/>
      <c r="B245" s="80"/>
      <c r="C245" s="80"/>
      <c r="D245" s="51" t="s">
        <v>294</v>
      </c>
      <c r="E245" s="51" t="s">
        <v>294</v>
      </c>
      <c r="F245" s="82">
        <v>91410</v>
      </c>
      <c r="G245" s="32">
        <f t="shared" si="16"/>
        <v>91.4</v>
      </c>
      <c r="H245" s="32">
        <v>100</v>
      </c>
      <c r="I245" s="82">
        <v>91410</v>
      </c>
      <c r="J245" s="32">
        <f t="shared" si="17"/>
        <v>91.4</v>
      </c>
      <c r="K245" s="15">
        <v>87750</v>
      </c>
      <c r="L245" s="15"/>
      <c r="M245" s="38">
        <f t="shared" si="19"/>
        <v>87750</v>
      </c>
      <c r="N245" s="5">
        <f t="shared" si="18"/>
        <v>87.8</v>
      </c>
    </row>
    <row r="246" spans="1:14" s="81" customFormat="1" ht="27.75" customHeight="1">
      <c r="A246" s="80"/>
      <c r="B246" s="80"/>
      <c r="C246" s="80"/>
      <c r="D246" s="51" t="s">
        <v>411</v>
      </c>
      <c r="E246" s="51" t="s">
        <v>411</v>
      </c>
      <c r="F246" s="82"/>
      <c r="G246" s="32">
        <f t="shared" si="16"/>
        <v>0</v>
      </c>
      <c r="H246" s="32"/>
      <c r="I246" s="82"/>
      <c r="J246" s="32">
        <f t="shared" si="17"/>
        <v>0</v>
      </c>
      <c r="K246" s="15">
        <v>100000</v>
      </c>
      <c r="L246" s="15"/>
      <c r="M246" s="38">
        <f>L246+K246</f>
        <v>100000</v>
      </c>
      <c r="N246" s="5">
        <f t="shared" si="18"/>
        <v>100</v>
      </c>
    </row>
    <row r="247" spans="1:14" s="81" customFormat="1" ht="30" customHeight="1">
      <c r="A247" s="80"/>
      <c r="B247" s="80"/>
      <c r="C247" s="80"/>
      <c r="D247" s="51" t="s">
        <v>274</v>
      </c>
      <c r="E247" s="51" t="s">
        <v>274</v>
      </c>
      <c r="F247" s="82">
        <v>53633</v>
      </c>
      <c r="G247" s="32">
        <f t="shared" si="16"/>
        <v>53.6</v>
      </c>
      <c r="H247" s="32">
        <v>100</v>
      </c>
      <c r="I247" s="82">
        <v>53633</v>
      </c>
      <c r="J247" s="32">
        <f t="shared" si="17"/>
        <v>53.6</v>
      </c>
      <c r="K247" s="15">
        <v>50000</v>
      </c>
      <c r="L247" s="15"/>
      <c r="M247" s="38">
        <f t="shared" si="19"/>
        <v>50000</v>
      </c>
      <c r="N247" s="5">
        <f t="shared" si="18"/>
        <v>50</v>
      </c>
    </row>
    <row r="248" spans="1:14" s="81" customFormat="1" ht="45" customHeight="1">
      <c r="A248" s="80"/>
      <c r="B248" s="80"/>
      <c r="C248" s="80"/>
      <c r="D248" s="51" t="s">
        <v>275</v>
      </c>
      <c r="E248" s="51" t="s">
        <v>275</v>
      </c>
      <c r="F248" s="82">
        <v>53633</v>
      </c>
      <c r="G248" s="32">
        <f t="shared" si="16"/>
        <v>53.6</v>
      </c>
      <c r="H248" s="32">
        <v>100</v>
      </c>
      <c r="I248" s="82">
        <v>53633</v>
      </c>
      <c r="J248" s="32">
        <f t="shared" si="17"/>
        <v>53.6</v>
      </c>
      <c r="K248" s="15">
        <v>50000</v>
      </c>
      <c r="L248" s="15"/>
      <c r="M248" s="38">
        <f t="shared" si="19"/>
        <v>50000</v>
      </c>
      <c r="N248" s="5">
        <f t="shared" si="18"/>
        <v>50</v>
      </c>
    </row>
    <row r="249" spans="1:14" s="81" customFormat="1" ht="45" customHeight="1">
      <c r="A249" s="80"/>
      <c r="B249" s="80"/>
      <c r="C249" s="80"/>
      <c r="D249" s="51" t="s">
        <v>401</v>
      </c>
      <c r="E249" s="51" t="s">
        <v>401</v>
      </c>
      <c r="F249" s="82"/>
      <c r="G249" s="32">
        <f t="shared" si="16"/>
        <v>0</v>
      </c>
      <c r="H249" s="32"/>
      <c r="I249" s="82"/>
      <c r="J249" s="32">
        <f t="shared" si="17"/>
        <v>0</v>
      </c>
      <c r="K249" s="15">
        <v>50000</v>
      </c>
      <c r="L249" s="15"/>
      <c r="M249" s="38">
        <f>L249+K249</f>
        <v>50000</v>
      </c>
      <c r="N249" s="5">
        <f t="shared" si="18"/>
        <v>50</v>
      </c>
    </row>
    <row r="250" spans="1:14" s="81" customFormat="1" ht="30" customHeight="1">
      <c r="A250" s="80"/>
      <c r="B250" s="80"/>
      <c r="C250" s="80"/>
      <c r="D250" s="51" t="s">
        <v>380</v>
      </c>
      <c r="E250" s="51" t="s">
        <v>380</v>
      </c>
      <c r="F250" s="82">
        <v>53633</v>
      </c>
      <c r="G250" s="32">
        <f t="shared" si="16"/>
        <v>53.6</v>
      </c>
      <c r="H250" s="32">
        <v>100</v>
      </c>
      <c r="I250" s="82">
        <v>53633</v>
      </c>
      <c r="J250" s="32">
        <f t="shared" si="17"/>
        <v>53.6</v>
      </c>
      <c r="K250" s="15">
        <v>50000</v>
      </c>
      <c r="L250" s="15"/>
      <c r="M250" s="38">
        <f t="shared" si="19"/>
        <v>50000</v>
      </c>
      <c r="N250" s="5">
        <f t="shared" si="18"/>
        <v>50</v>
      </c>
    </row>
    <row r="251" spans="1:14" s="81" customFormat="1" ht="30" customHeight="1">
      <c r="A251" s="80"/>
      <c r="B251" s="80"/>
      <c r="C251" s="80"/>
      <c r="D251" s="51" t="s">
        <v>364</v>
      </c>
      <c r="E251" s="51" t="s">
        <v>364</v>
      </c>
      <c r="F251" s="82">
        <v>99196</v>
      </c>
      <c r="G251" s="32">
        <f t="shared" si="16"/>
        <v>99.2</v>
      </c>
      <c r="H251" s="32">
        <v>100</v>
      </c>
      <c r="I251" s="82">
        <v>99196</v>
      </c>
      <c r="J251" s="32">
        <f t="shared" si="17"/>
        <v>99.2</v>
      </c>
      <c r="K251" s="15">
        <f>100000-804</f>
        <v>99196</v>
      </c>
      <c r="L251" s="15"/>
      <c r="M251" s="38">
        <f t="shared" si="19"/>
        <v>99196</v>
      </c>
      <c r="N251" s="5">
        <f t="shared" si="18"/>
        <v>99.2</v>
      </c>
    </row>
    <row r="252" spans="1:14" s="81" customFormat="1" ht="30" customHeight="1">
      <c r="A252" s="80"/>
      <c r="B252" s="80"/>
      <c r="C252" s="80"/>
      <c r="D252" s="51" t="s">
        <v>365</v>
      </c>
      <c r="E252" s="51" t="s">
        <v>365</v>
      </c>
      <c r="F252" s="82">
        <v>53632</v>
      </c>
      <c r="G252" s="32">
        <f t="shared" si="16"/>
        <v>53.6</v>
      </c>
      <c r="H252" s="32">
        <v>100</v>
      </c>
      <c r="I252" s="82">
        <v>53632</v>
      </c>
      <c r="J252" s="32">
        <f t="shared" si="17"/>
        <v>53.6</v>
      </c>
      <c r="K252" s="15">
        <v>50000</v>
      </c>
      <c r="L252" s="15"/>
      <c r="M252" s="38">
        <f t="shared" si="19"/>
        <v>50000</v>
      </c>
      <c r="N252" s="5">
        <f t="shared" si="18"/>
        <v>50</v>
      </c>
    </row>
    <row r="253" spans="1:14" s="81" customFormat="1" ht="30" customHeight="1">
      <c r="A253" s="80"/>
      <c r="B253" s="80"/>
      <c r="C253" s="80"/>
      <c r="D253" s="51" t="s">
        <v>329</v>
      </c>
      <c r="E253" s="51" t="s">
        <v>329</v>
      </c>
      <c r="F253" s="82">
        <v>53633</v>
      </c>
      <c r="G253" s="32">
        <f t="shared" si="16"/>
        <v>53.6</v>
      </c>
      <c r="H253" s="32">
        <v>100</v>
      </c>
      <c r="I253" s="82">
        <v>53633</v>
      </c>
      <c r="J253" s="32">
        <f t="shared" si="17"/>
        <v>53.6</v>
      </c>
      <c r="K253" s="15">
        <v>50000</v>
      </c>
      <c r="L253" s="15"/>
      <c r="M253" s="38">
        <f t="shared" si="19"/>
        <v>50000</v>
      </c>
      <c r="N253" s="5">
        <f t="shared" si="18"/>
        <v>50</v>
      </c>
    </row>
    <row r="254" spans="1:14" s="81" customFormat="1" ht="30" customHeight="1">
      <c r="A254" s="80"/>
      <c r="B254" s="80"/>
      <c r="C254" s="80"/>
      <c r="D254" s="51" t="s">
        <v>382</v>
      </c>
      <c r="E254" s="51" t="s">
        <v>382</v>
      </c>
      <c r="F254" s="82"/>
      <c r="G254" s="32">
        <f t="shared" si="16"/>
        <v>0</v>
      </c>
      <c r="H254" s="32"/>
      <c r="I254" s="82"/>
      <c r="J254" s="32">
        <f t="shared" si="17"/>
        <v>0</v>
      </c>
      <c r="K254" s="15">
        <v>28500</v>
      </c>
      <c r="L254" s="15"/>
      <c r="M254" s="38">
        <f t="shared" si="19"/>
        <v>28500</v>
      </c>
      <c r="N254" s="5">
        <f t="shared" si="18"/>
        <v>28.5</v>
      </c>
    </row>
    <row r="255" spans="1:14" s="81" customFormat="1" ht="30" customHeight="1">
      <c r="A255" s="80"/>
      <c r="B255" s="80"/>
      <c r="C255" s="80"/>
      <c r="D255" s="51" t="s">
        <v>328</v>
      </c>
      <c r="E255" s="51" t="s">
        <v>328</v>
      </c>
      <c r="F255" s="82">
        <v>152410</v>
      </c>
      <c r="G255" s="32">
        <f t="shared" si="16"/>
        <v>152.4</v>
      </c>
      <c r="H255" s="32">
        <v>100</v>
      </c>
      <c r="I255" s="82">
        <v>152410</v>
      </c>
      <c r="J255" s="32">
        <f t="shared" si="17"/>
        <v>152.4</v>
      </c>
      <c r="K255" s="15">
        <v>150000</v>
      </c>
      <c r="L255" s="15"/>
      <c r="M255" s="38">
        <f t="shared" si="19"/>
        <v>150000</v>
      </c>
      <c r="N255" s="5">
        <f t="shared" si="18"/>
        <v>150</v>
      </c>
    </row>
    <row r="256" spans="1:14" s="81" customFormat="1" ht="25.5" customHeight="1">
      <c r="A256" s="80"/>
      <c r="B256" s="80"/>
      <c r="C256" s="80"/>
      <c r="D256" s="84" t="s">
        <v>366</v>
      </c>
      <c r="E256" s="84" t="s">
        <v>366</v>
      </c>
      <c r="F256" s="82">
        <v>53141</v>
      </c>
      <c r="G256" s="32">
        <f t="shared" si="16"/>
        <v>53.1</v>
      </c>
      <c r="H256" s="32">
        <v>100</v>
      </c>
      <c r="I256" s="82">
        <v>53141</v>
      </c>
      <c r="J256" s="32">
        <f t="shared" si="17"/>
        <v>53.1</v>
      </c>
      <c r="K256" s="15">
        <v>50000</v>
      </c>
      <c r="L256" s="15"/>
      <c r="M256" s="38">
        <f t="shared" si="19"/>
        <v>50000</v>
      </c>
      <c r="N256" s="5">
        <f t="shared" si="18"/>
        <v>50</v>
      </c>
    </row>
    <row r="257" spans="1:14" s="81" customFormat="1" ht="25.5" customHeight="1">
      <c r="A257" s="80"/>
      <c r="B257" s="80"/>
      <c r="C257" s="80"/>
      <c r="D257" s="84" t="s">
        <v>459</v>
      </c>
      <c r="E257" s="84" t="s">
        <v>348</v>
      </c>
      <c r="F257" s="82">
        <v>167618</v>
      </c>
      <c r="G257" s="32">
        <f t="shared" si="16"/>
        <v>167.6</v>
      </c>
      <c r="H257" s="32">
        <v>100</v>
      </c>
      <c r="I257" s="82">
        <v>167618</v>
      </c>
      <c r="J257" s="32">
        <f t="shared" si="17"/>
        <v>167.6</v>
      </c>
      <c r="K257" s="15">
        <f>175000-7382</f>
        <v>167618</v>
      </c>
      <c r="L257" s="15"/>
      <c r="M257" s="38">
        <f t="shared" si="19"/>
        <v>167618</v>
      </c>
      <c r="N257" s="5">
        <f t="shared" si="18"/>
        <v>167.6</v>
      </c>
    </row>
    <row r="258" spans="1:14" s="81" customFormat="1" ht="25.5" customHeight="1">
      <c r="A258" s="80"/>
      <c r="B258" s="80"/>
      <c r="C258" s="80"/>
      <c r="D258" s="84" t="s">
        <v>460</v>
      </c>
      <c r="E258" s="84" t="s">
        <v>327</v>
      </c>
      <c r="F258" s="82">
        <v>118534</v>
      </c>
      <c r="G258" s="32">
        <f t="shared" si="16"/>
        <v>118.5</v>
      </c>
      <c r="H258" s="32">
        <v>100</v>
      </c>
      <c r="I258" s="82">
        <v>118534</v>
      </c>
      <c r="J258" s="32">
        <f t="shared" si="17"/>
        <v>118.5</v>
      </c>
      <c r="K258" s="15">
        <f>102645-697</f>
        <v>101948</v>
      </c>
      <c r="L258" s="15"/>
      <c r="M258" s="38">
        <f t="shared" si="19"/>
        <v>101948</v>
      </c>
      <c r="N258" s="5">
        <f t="shared" si="18"/>
        <v>101.9</v>
      </c>
    </row>
    <row r="259" spans="1:14" s="81" customFormat="1" ht="25.5" customHeight="1">
      <c r="A259" s="80"/>
      <c r="B259" s="80"/>
      <c r="C259" s="80"/>
      <c r="D259" s="84" t="s">
        <v>461</v>
      </c>
      <c r="E259" s="84" t="s">
        <v>276</v>
      </c>
      <c r="F259" s="82">
        <v>72553</v>
      </c>
      <c r="G259" s="32">
        <f t="shared" si="16"/>
        <v>72.6</v>
      </c>
      <c r="H259" s="32">
        <v>100</v>
      </c>
      <c r="I259" s="82">
        <v>72553</v>
      </c>
      <c r="J259" s="32">
        <f t="shared" si="17"/>
        <v>72.6</v>
      </c>
      <c r="K259" s="15">
        <f>61400-227</f>
        <v>61173</v>
      </c>
      <c r="L259" s="15"/>
      <c r="M259" s="38">
        <f t="shared" si="19"/>
        <v>61173</v>
      </c>
      <c r="N259" s="5">
        <f t="shared" si="18"/>
        <v>61.2</v>
      </c>
    </row>
    <row r="260" spans="1:14" s="81" customFormat="1" ht="25.5" customHeight="1">
      <c r="A260" s="80"/>
      <c r="B260" s="80"/>
      <c r="C260" s="80"/>
      <c r="D260" s="84" t="s">
        <v>462</v>
      </c>
      <c r="E260" s="84" t="s">
        <v>277</v>
      </c>
      <c r="F260" s="82">
        <v>70604</v>
      </c>
      <c r="G260" s="32">
        <f t="shared" si="16"/>
        <v>70.6</v>
      </c>
      <c r="H260" s="32">
        <v>100</v>
      </c>
      <c r="I260" s="82">
        <v>70604</v>
      </c>
      <c r="J260" s="32">
        <f t="shared" si="17"/>
        <v>70.6</v>
      </c>
      <c r="K260" s="15">
        <f>71000-2800-85</f>
        <v>68115</v>
      </c>
      <c r="L260" s="15"/>
      <c r="M260" s="38">
        <f t="shared" si="19"/>
        <v>68115</v>
      </c>
      <c r="N260" s="5">
        <f t="shared" si="18"/>
        <v>68.1</v>
      </c>
    </row>
    <row r="261" spans="1:14" s="81" customFormat="1" ht="25.5" customHeight="1">
      <c r="A261" s="80"/>
      <c r="B261" s="80"/>
      <c r="C261" s="80"/>
      <c r="D261" s="51" t="s">
        <v>383</v>
      </c>
      <c r="E261" s="51" t="s">
        <v>383</v>
      </c>
      <c r="F261" s="82">
        <v>53633</v>
      </c>
      <c r="G261" s="32">
        <f t="shared" si="16"/>
        <v>53.6</v>
      </c>
      <c r="H261" s="32">
        <v>100</v>
      </c>
      <c r="I261" s="82">
        <v>53633</v>
      </c>
      <c r="J261" s="32">
        <f t="shared" si="17"/>
        <v>53.6</v>
      </c>
      <c r="K261" s="15">
        <v>50000</v>
      </c>
      <c r="L261" s="15"/>
      <c r="M261" s="38">
        <f t="shared" si="19"/>
        <v>50000</v>
      </c>
      <c r="N261" s="5">
        <f t="shared" si="18"/>
        <v>50</v>
      </c>
    </row>
    <row r="262" spans="1:14" s="81" customFormat="1" ht="25.5" customHeight="1">
      <c r="A262" s="80"/>
      <c r="B262" s="80"/>
      <c r="C262" s="80"/>
      <c r="D262" s="84" t="s">
        <v>296</v>
      </c>
      <c r="E262" s="84" t="s">
        <v>296</v>
      </c>
      <c r="F262" s="82">
        <v>155759</v>
      </c>
      <c r="G262" s="32">
        <f t="shared" si="16"/>
        <v>155.8</v>
      </c>
      <c r="H262" s="32">
        <v>100</v>
      </c>
      <c r="I262" s="82">
        <v>155759</v>
      </c>
      <c r="J262" s="32">
        <f t="shared" si="17"/>
        <v>155.8</v>
      </c>
      <c r="K262" s="15">
        <f>55000+100000-1600-470</f>
        <v>152930</v>
      </c>
      <c r="L262" s="15"/>
      <c r="M262" s="38">
        <f t="shared" si="19"/>
        <v>152930</v>
      </c>
      <c r="N262" s="5">
        <f t="shared" si="18"/>
        <v>152.9</v>
      </c>
    </row>
    <row r="263" spans="1:14" s="81" customFormat="1" ht="25.5" customHeight="1">
      <c r="A263" s="80"/>
      <c r="B263" s="80"/>
      <c r="C263" s="80"/>
      <c r="D263" s="84" t="s">
        <v>353</v>
      </c>
      <c r="E263" s="84" t="s">
        <v>353</v>
      </c>
      <c r="F263" s="82">
        <v>70604</v>
      </c>
      <c r="G263" s="32">
        <f t="shared" si="16"/>
        <v>70.6</v>
      </c>
      <c r="H263" s="32">
        <v>100</v>
      </c>
      <c r="I263" s="82">
        <v>70604</v>
      </c>
      <c r="J263" s="32">
        <f t="shared" si="17"/>
        <v>70.6</v>
      </c>
      <c r="K263" s="15">
        <f>75000-4396</f>
        <v>70604</v>
      </c>
      <c r="L263" s="15"/>
      <c r="M263" s="38">
        <f t="shared" si="19"/>
        <v>70604</v>
      </c>
      <c r="N263" s="5">
        <f t="shared" si="18"/>
        <v>70.6</v>
      </c>
    </row>
    <row r="264" spans="1:14" s="81" customFormat="1" ht="22.5" customHeight="1">
      <c r="A264" s="80"/>
      <c r="B264" s="80"/>
      <c r="C264" s="80"/>
      <c r="D264" s="51" t="s">
        <v>216</v>
      </c>
      <c r="E264" s="51" t="s">
        <v>216</v>
      </c>
      <c r="F264" s="82">
        <v>1651333</v>
      </c>
      <c r="G264" s="32">
        <f t="shared" si="16"/>
        <v>1651.3</v>
      </c>
      <c r="H264" s="32">
        <v>100</v>
      </c>
      <c r="I264" s="82">
        <v>1651333</v>
      </c>
      <c r="J264" s="32">
        <f t="shared" si="17"/>
        <v>1651.3</v>
      </c>
      <c r="K264" s="15">
        <v>998774</v>
      </c>
      <c r="L264" s="15"/>
      <c r="M264" s="38">
        <f t="shared" si="19"/>
        <v>998774</v>
      </c>
      <c r="N264" s="5">
        <f t="shared" si="18"/>
        <v>998.8</v>
      </c>
    </row>
    <row r="265" spans="1:14" s="81" customFormat="1" ht="22.5" customHeight="1">
      <c r="A265" s="80"/>
      <c r="B265" s="80"/>
      <c r="C265" s="80"/>
      <c r="D265" s="51" t="s">
        <v>217</v>
      </c>
      <c r="E265" s="51" t="s">
        <v>217</v>
      </c>
      <c r="F265" s="82">
        <v>471924</v>
      </c>
      <c r="G265" s="32">
        <f t="shared" si="16"/>
        <v>471.9</v>
      </c>
      <c r="H265" s="32">
        <v>100</v>
      </c>
      <c r="I265" s="82">
        <v>471924</v>
      </c>
      <c r="J265" s="32">
        <f t="shared" si="17"/>
        <v>471.9</v>
      </c>
      <c r="K265" s="15">
        <v>469180</v>
      </c>
      <c r="L265" s="15"/>
      <c r="M265" s="38">
        <f t="shared" si="19"/>
        <v>469180</v>
      </c>
      <c r="N265" s="5">
        <f t="shared" si="18"/>
        <v>469.2</v>
      </c>
    </row>
    <row r="266" spans="1:14" s="81" customFormat="1" ht="45" customHeight="1">
      <c r="A266" s="80"/>
      <c r="B266" s="80"/>
      <c r="C266" s="80"/>
      <c r="D266" s="51" t="s">
        <v>218</v>
      </c>
      <c r="E266" s="51" t="s">
        <v>218</v>
      </c>
      <c r="F266" s="82">
        <v>536948</v>
      </c>
      <c r="G266" s="32">
        <f t="shared" si="16"/>
        <v>536.9</v>
      </c>
      <c r="H266" s="32">
        <v>100</v>
      </c>
      <c r="I266" s="82">
        <v>536948</v>
      </c>
      <c r="J266" s="32">
        <f t="shared" si="17"/>
        <v>536.9</v>
      </c>
      <c r="K266" s="15">
        <v>536948</v>
      </c>
      <c r="L266" s="15"/>
      <c r="M266" s="38">
        <f t="shared" si="19"/>
        <v>536948</v>
      </c>
      <c r="N266" s="5">
        <f t="shared" si="18"/>
        <v>536.9</v>
      </c>
    </row>
    <row r="267" spans="1:14" s="81" customFormat="1" ht="22.5" customHeight="1">
      <c r="A267" s="80"/>
      <c r="B267" s="80"/>
      <c r="C267" s="80"/>
      <c r="D267" s="51" t="s">
        <v>219</v>
      </c>
      <c r="E267" s="51" t="s">
        <v>219</v>
      </c>
      <c r="F267" s="82">
        <v>282168</v>
      </c>
      <c r="G267" s="32">
        <f t="shared" si="16"/>
        <v>282.2</v>
      </c>
      <c r="H267" s="32">
        <v>100</v>
      </c>
      <c r="I267" s="82">
        <v>282168</v>
      </c>
      <c r="J267" s="32">
        <f t="shared" si="17"/>
        <v>282.2</v>
      </c>
      <c r="K267" s="15">
        <v>280160</v>
      </c>
      <c r="L267" s="15"/>
      <c r="M267" s="38">
        <f t="shared" si="19"/>
        <v>280160</v>
      </c>
      <c r="N267" s="5">
        <f t="shared" si="18"/>
        <v>280.2</v>
      </c>
    </row>
    <row r="268" spans="1:14" s="81" customFormat="1" ht="22.5" customHeight="1">
      <c r="A268" s="80"/>
      <c r="B268" s="80"/>
      <c r="C268" s="80"/>
      <c r="D268" s="51" t="s">
        <v>220</v>
      </c>
      <c r="E268" s="51" t="s">
        <v>220</v>
      </c>
      <c r="F268" s="82">
        <v>1135462</v>
      </c>
      <c r="G268" s="32">
        <f t="shared" si="16"/>
        <v>1135.5</v>
      </c>
      <c r="H268" s="32">
        <v>98.2</v>
      </c>
      <c r="I268" s="82">
        <v>1115056</v>
      </c>
      <c r="J268" s="32">
        <f t="shared" si="17"/>
        <v>1115.1</v>
      </c>
      <c r="K268" s="15">
        <v>1009908</v>
      </c>
      <c r="L268" s="15"/>
      <c r="M268" s="38">
        <f t="shared" si="19"/>
        <v>1009908</v>
      </c>
      <c r="N268" s="5">
        <f t="shared" si="18"/>
        <v>1009.9</v>
      </c>
    </row>
    <row r="269" spans="1:14" s="81" customFormat="1" ht="22.5" customHeight="1">
      <c r="A269" s="80"/>
      <c r="B269" s="80"/>
      <c r="C269" s="80"/>
      <c r="D269" s="51" t="s">
        <v>221</v>
      </c>
      <c r="E269" s="51" t="s">
        <v>221</v>
      </c>
      <c r="F269" s="82">
        <v>465082</v>
      </c>
      <c r="G269" s="32">
        <f t="shared" si="16"/>
        <v>465.1</v>
      </c>
      <c r="H269" s="32">
        <v>100</v>
      </c>
      <c r="I269" s="82">
        <v>465082</v>
      </c>
      <c r="J269" s="32">
        <f t="shared" si="17"/>
        <v>465.1</v>
      </c>
      <c r="K269" s="15">
        <v>482174</v>
      </c>
      <c r="L269" s="15"/>
      <c r="M269" s="38">
        <f t="shared" si="19"/>
        <v>482174</v>
      </c>
      <c r="N269" s="5">
        <f t="shared" si="18"/>
        <v>482.2</v>
      </c>
    </row>
    <row r="270" spans="1:14" s="81" customFormat="1" ht="22.5" customHeight="1">
      <c r="A270" s="80"/>
      <c r="B270" s="80"/>
      <c r="C270" s="80"/>
      <c r="D270" s="51" t="s">
        <v>222</v>
      </c>
      <c r="E270" s="51" t="s">
        <v>222</v>
      </c>
      <c r="F270" s="82">
        <v>634164</v>
      </c>
      <c r="G270" s="32">
        <f t="shared" si="16"/>
        <v>634.2</v>
      </c>
      <c r="H270" s="32">
        <v>100</v>
      </c>
      <c r="I270" s="82">
        <v>634164</v>
      </c>
      <c r="J270" s="32">
        <f t="shared" si="17"/>
        <v>634.2</v>
      </c>
      <c r="K270" s="15">
        <v>425207</v>
      </c>
      <c r="L270" s="15"/>
      <c r="M270" s="38">
        <f t="shared" si="19"/>
        <v>425207</v>
      </c>
      <c r="N270" s="5">
        <f t="shared" si="18"/>
        <v>425.2</v>
      </c>
    </row>
    <row r="271" spans="1:14" s="81" customFormat="1" ht="27" customHeight="1">
      <c r="A271" s="80"/>
      <c r="B271" s="80"/>
      <c r="C271" s="80"/>
      <c r="D271" s="51" t="s">
        <v>223</v>
      </c>
      <c r="E271" s="51" t="s">
        <v>223</v>
      </c>
      <c r="F271" s="82">
        <v>567790</v>
      </c>
      <c r="G271" s="32">
        <f t="shared" si="16"/>
        <v>567.8</v>
      </c>
      <c r="H271" s="32">
        <v>100</v>
      </c>
      <c r="I271" s="82">
        <v>567790</v>
      </c>
      <c r="J271" s="32">
        <f t="shared" si="17"/>
        <v>567.8</v>
      </c>
      <c r="K271" s="15">
        <v>567790</v>
      </c>
      <c r="L271" s="15"/>
      <c r="M271" s="38">
        <f t="shared" si="19"/>
        <v>567790</v>
      </c>
      <c r="N271" s="5">
        <f t="shared" si="18"/>
        <v>567.8</v>
      </c>
    </row>
    <row r="272" spans="1:14" s="81" customFormat="1" ht="44.25" customHeight="1">
      <c r="A272" s="80"/>
      <c r="B272" s="80"/>
      <c r="C272" s="80"/>
      <c r="D272" s="54" t="s">
        <v>141</v>
      </c>
      <c r="E272" s="54" t="s">
        <v>141</v>
      </c>
      <c r="F272" s="82"/>
      <c r="G272" s="32">
        <f t="shared" si="16"/>
        <v>0</v>
      </c>
      <c r="H272" s="98"/>
      <c r="I272" s="82"/>
      <c r="J272" s="32">
        <f t="shared" si="17"/>
        <v>0</v>
      </c>
      <c r="K272" s="99">
        <f>SUM(K273:K294)</f>
        <v>20347476</v>
      </c>
      <c r="L272" s="99">
        <f>SUM(L273:L294)</f>
        <v>-284064</v>
      </c>
      <c r="M272" s="100">
        <f>SUM(M273:M294)</f>
        <v>20063412</v>
      </c>
      <c r="N272" s="101">
        <f>SUM(N273:N294)</f>
        <v>20063.299999999996</v>
      </c>
    </row>
    <row r="273" spans="1:14" s="81" customFormat="1" ht="70.5" customHeight="1">
      <c r="A273" s="80"/>
      <c r="B273" s="80"/>
      <c r="C273" s="80"/>
      <c r="D273" s="84" t="s">
        <v>291</v>
      </c>
      <c r="E273" s="84" t="s">
        <v>291</v>
      </c>
      <c r="F273" s="82"/>
      <c r="G273" s="32">
        <f t="shared" si="16"/>
        <v>0</v>
      </c>
      <c r="H273" s="98"/>
      <c r="I273" s="82"/>
      <c r="J273" s="32">
        <f t="shared" si="17"/>
        <v>0</v>
      </c>
      <c r="K273" s="102">
        <v>8500</v>
      </c>
      <c r="L273" s="102"/>
      <c r="M273" s="38">
        <f aca="true" t="shared" si="20" ref="M273:M294">L273+K273</f>
        <v>8500</v>
      </c>
      <c r="N273" s="5">
        <f t="shared" si="18"/>
        <v>8.5</v>
      </c>
    </row>
    <row r="274" spans="1:14" s="81" customFormat="1" ht="53.25" customHeight="1">
      <c r="A274" s="80"/>
      <c r="B274" s="80"/>
      <c r="C274" s="80"/>
      <c r="D274" s="84" t="s">
        <v>300</v>
      </c>
      <c r="E274" s="84" t="s">
        <v>300</v>
      </c>
      <c r="F274" s="82">
        <v>295277</v>
      </c>
      <c r="G274" s="32">
        <f aca="true" t="shared" si="21" ref="G274:G334">ROUND(F274/1000,1)</f>
        <v>295.3</v>
      </c>
      <c r="H274" s="32">
        <v>96.3</v>
      </c>
      <c r="I274" s="82">
        <v>284370</v>
      </c>
      <c r="J274" s="32">
        <f aca="true" t="shared" si="22" ref="J274:J334">ROUND(I274/1000,1)</f>
        <v>284.4</v>
      </c>
      <c r="K274" s="102">
        <v>283000</v>
      </c>
      <c r="L274" s="102"/>
      <c r="M274" s="38">
        <f t="shared" si="20"/>
        <v>283000</v>
      </c>
      <c r="N274" s="5">
        <f aca="true" t="shared" si="23" ref="N274:N329">ROUND(M274/1000,1)</f>
        <v>283</v>
      </c>
    </row>
    <row r="275" spans="1:14" s="81" customFormat="1" ht="28.5" customHeight="1">
      <c r="A275" s="80"/>
      <c r="B275" s="80"/>
      <c r="C275" s="80"/>
      <c r="D275" s="84" t="s">
        <v>158</v>
      </c>
      <c r="E275" s="84" t="s">
        <v>158</v>
      </c>
      <c r="F275" s="82">
        <v>2393868</v>
      </c>
      <c r="G275" s="32">
        <f t="shared" si="21"/>
        <v>2393.9</v>
      </c>
      <c r="H275" s="32">
        <v>96.7</v>
      </c>
      <c r="I275" s="82">
        <v>2315521</v>
      </c>
      <c r="J275" s="32">
        <f t="shared" si="22"/>
        <v>2315.5</v>
      </c>
      <c r="K275" s="15">
        <f>100000+1000</f>
        <v>101000</v>
      </c>
      <c r="L275" s="15"/>
      <c r="M275" s="38">
        <f t="shared" si="20"/>
        <v>101000</v>
      </c>
      <c r="N275" s="5">
        <f t="shared" si="23"/>
        <v>101</v>
      </c>
    </row>
    <row r="276" spans="1:14" s="81" customFormat="1" ht="24.75" customHeight="1">
      <c r="A276" s="80"/>
      <c r="B276" s="80"/>
      <c r="C276" s="80"/>
      <c r="D276" s="51" t="s">
        <v>227</v>
      </c>
      <c r="E276" s="51" t="s">
        <v>227</v>
      </c>
      <c r="F276" s="82">
        <v>510218</v>
      </c>
      <c r="G276" s="32">
        <f t="shared" si="21"/>
        <v>510.2</v>
      </c>
      <c r="H276" s="32">
        <v>47.9</v>
      </c>
      <c r="I276" s="82">
        <v>244626</v>
      </c>
      <c r="J276" s="32">
        <f t="shared" si="22"/>
        <v>244.6</v>
      </c>
      <c r="K276" s="15">
        <f>240000-17400</f>
        <v>222600</v>
      </c>
      <c r="L276" s="15"/>
      <c r="M276" s="38">
        <f t="shared" si="20"/>
        <v>222600</v>
      </c>
      <c r="N276" s="5">
        <f t="shared" si="23"/>
        <v>222.6</v>
      </c>
    </row>
    <row r="277" spans="1:14" s="81" customFormat="1" ht="30" customHeight="1">
      <c r="A277" s="80"/>
      <c r="B277" s="80"/>
      <c r="C277" s="80"/>
      <c r="D277" s="51" t="s">
        <v>326</v>
      </c>
      <c r="E277" s="51" t="s">
        <v>326</v>
      </c>
      <c r="F277" s="82"/>
      <c r="G277" s="32">
        <f t="shared" si="21"/>
        <v>0</v>
      </c>
      <c r="H277" s="32"/>
      <c r="I277" s="82"/>
      <c r="J277" s="32">
        <f t="shared" si="22"/>
        <v>0</v>
      </c>
      <c r="K277" s="15">
        <f>500000+300000</f>
        <v>800000</v>
      </c>
      <c r="L277" s="15"/>
      <c r="M277" s="38">
        <f t="shared" si="20"/>
        <v>800000</v>
      </c>
      <c r="N277" s="5">
        <f t="shared" si="23"/>
        <v>800</v>
      </c>
    </row>
    <row r="278" spans="1:14" s="81" customFormat="1" ht="24.75" customHeight="1">
      <c r="A278" s="80"/>
      <c r="B278" s="80"/>
      <c r="C278" s="80"/>
      <c r="D278" s="51" t="s">
        <v>324</v>
      </c>
      <c r="E278" s="51" t="s">
        <v>324</v>
      </c>
      <c r="F278" s="82">
        <v>895663</v>
      </c>
      <c r="G278" s="32">
        <f t="shared" si="21"/>
        <v>895.7</v>
      </c>
      <c r="H278" s="32">
        <v>46</v>
      </c>
      <c r="I278" s="82">
        <v>411750</v>
      </c>
      <c r="J278" s="32">
        <f t="shared" si="22"/>
        <v>411.8</v>
      </c>
      <c r="K278" s="15">
        <f>291000-8936</f>
        <v>282064</v>
      </c>
      <c r="L278" s="15"/>
      <c r="M278" s="38">
        <f t="shared" si="20"/>
        <v>282064</v>
      </c>
      <c r="N278" s="5">
        <f t="shared" si="23"/>
        <v>282.1</v>
      </c>
    </row>
    <row r="279" spans="1:46" ht="24.75" customHeight="1">
      <c r="A279" s="80"/>
      <c r="B279" s="80"/>
      <c r="C279" s="80"/>
      <c r="D279" s="51" t="s">
        <v>325</v>
      </c>
      <c r="E279" s="51" t="s">
        <v>325</v>
      </c>
      <c r="F279" s="82"/>
      <c r="G279" s="32">
        <f t="shared" si="21"/>
        <v>0</v>
      </c>
      <c r="H279" s="32"/>
      <c r="I279" s="82"/>
      <c r="J279" s="32">
        <f t="shared" si="22"/>
        <v>0</v>
      </c>
      <c r="K279" s="15">
        <v>400000</v>
      </c>
      <c r="L279" s="15">
        <v>-200000</v>
      </c>
      <c r="M279" s="38">
        <f t="shared" si="20"/>
        <v>200000</v>
      </c>
      <c r="N279" s="5">
        <f>ROUND(M279/1000,1)</f>
        <v>200</v>
      </c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</row>
    <row r="280" spans="1:46" ht="27.75" customHeight="1">
      <c r="A280" s="80"/>
      <c r="B280" s="80"/>
      <c r="C280" s="80"/>
      <c r="D280" s="51" t="s">
        <v>251</v>
      </c>
      <c r="E280" s="51" t="s">
        <v>251</v>
      </c>
      <c r="F280" s="82"/>
      <c r="G280" s="32">
        <f t="shared" si="21"/>
        <v>0</v>
      </c>
      <c r="H280" s="32"/>
      <c r="I280" s="82"/>
      <c r="J280" s="32">
        <f t="shared" si="22"/>
        <v>0</v>
      </c>
      <c r="K280" s="15">
        <v>100000</v>
      </c>
      <c r="L280" s="15"/>
      <c r="M280" s="38">
        <f t="shared" si="20"/>
        <v>100000</v>
      </c>
      <c r="N280" s="5">
        <f t="shared" si="23"/>
        <v>100</v>
      </c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</row>
    <row r="281" spans="1:14" s="81" customFormat="1" ht="27.75" customHeight="1">
      <c r="A281" s="80"/>
      <c r="B281" s="80"/>
      <c r="C281" s="80"/>
      <c r="D281" s="51" t="s">
        <v>352</v>
      </c>
      <c r="E281" s="51" t="s">
        <v>352</v>
      </c>
      <c r="F281" s="82">
        <v>297296</v>
      </c>
      <c r="G281" s="32">
        <f t="shared" si="21"/>
        <v>297.3</v>
      </c>
      <c r="H281" s="32">
        <v>100</v>
      </c>
      <c r="I281" s="82">
        <v>297296</v>
      </c>
      <c r="J281" s="32">
        <f t="shared" si="22"/>
        <v>297.3</v>
      </c>
      <c r="K281" s="15">
        <v>291000</v>
      </c>
      <c r="L281" s="15"/>
      <c r="M281" s="38">
        <f t="shared" si="20"/>
        <v>291000</v>
      </c>
      <c r="N281" s="5">
        <f t="shared" si="23"/>
        <v>291</v>
      </c>
    </row>
    <row r="282" spans="1:14" s="81" customFormat="1" ht="44.25" customHeight="1">
      <c r="A282" s="80"/>
      <c r="B282" s="80"/>
      <c r="C282" s="80"/>
      <c r="D282" s="84" t="s">
        <v>175</v>
      </c>
      <c r="E282" s="84" t="s">
        <v>175</v>
      </c>
      <c r="F282" s="82">
        <v>7995986</v>
      </c>
      <c r="G282" s="32">
        <f t="shared" si="21"/>
        <v>7996</v>
      </c>
      <c r="H282" s="32">
        <v>72.8</v>
      </c>
      <c r="I282" s="82">
        <v>5825073</v>
      </c>
      <c r="J282" s="32">
        <f t="shared" si="22"/>
        <v>5825.1</v>
      </c>
      <c r="K282" s="15">
        <f>500000+2000000</f>
        <v>2500000</v>
      </c>
      <c r="L282" s="15"/>
      <c r="M282" s="38">
        <f t="shared" si="20"/>
        <v>2500000</v>
      </c>
      <c r="N282" s="5">
        <f t="shared" si="23"/>
        <v>2500</v>
      </c>
    </row>
    <row r="283" spans="1:14" s="81" customFormat="1" ht="27.75" customHeight="1">
      <c r="A283" s="80"/>
      <c r="B283" s="80"/>
      <c r="C283" s="80"/>
      <c r="D283" s="51" t="s">
        <v>176</v>
      </c>
      <c r="E283" s="51" t="s">
        <v>176</v>
      </c>
      <c r="F283" s="82">
        <v>5617491</v>
      </c>
      <c r="G283" s="32">
        <f t="shared" si="21"/>
        <v>5617.5</v>
      </c>
      <c r="H283" s="32">
        <v>70.6</v>
      </c>
      <c r="I283" s="82">
        <v>3967874</v>
      </c>
      <c r="J283" s="32">
        <f t="shared" si="22"/>
        <v>3967.9</v>
      </c>
      <c r="K283" s="15">
        <v>3000000</v>
      </c>
      <c r="L283" s="15"/>
      <c r="M283" s="38">
        <f t="shared" si="20"/>
        <v>3000000</v>
      </c>
      <c r="N283" s="5">
        <f t="shared" si="23"/>
        <v>3000</v>
      </c>
    </row>
    <row r="284" spans="1:14" s="81" customFormat="1" ht="27.75" customHeight="1">
      <c r="A284" s="80"/>
      <c r="B284" s="80"/>
      <c r="C284" s="80"/>
      <c r="D284" s="51" t="s">
        <v>159</v>
      </c>
      <c r="E284" s="51" t="s">
        <v>159</v>
      </c>
      <c r="F284" s="82">
        <v>9995386</v>
      </c>
      <c r="G284" s="32">
        <f t="shared" si="21"/>
        <v>9995.4</v>
      </c>
      <c r="H284" s="32">
        <v>20.8</v>
      </c>
      <c r="I284" s="82">
        <v>2081885</v>
      </c>
      <c r="J284" s="32">
        <f t="shared" si="22"/>
        <v>2081.9</v>
      </c>
      <c r="K284" s="15">
        <f>500000-450000-3981</f>
        <v>46019</v>
      </c>
      <c r="L284" s="15"/>
      <c r="M284" s="38">
        <f t="shared" si="20"/>
        <v>46019</v>
      </c>
      <c r="N284" s="5">
        <f t="shared" si="23"/>
        <v>46</v>
      </c>
    </row>
    <row r="285" spans="1:14" s="81" customFormat="1" ht="27.75" customHeight="1">
      <c r="A285" s="80"/>
      <c r="B285" s="80"/>
      <c r="C285" s="80"/>
      <c r="D285" s="51" t="s">
        <v>330</v>
      </c>
      <c r="E285" s="51" t="s">
        <v>330</v>
      </c>
      <c r="F285" s="82"/>
      <c r="G285" s="32">
        <f t="shared" si="21"/>
        <v>0</v>
      </c>
      <c r="H285" s="32"/>
      <c r="I285" s="82"/>
      <c r="J285" s="32">
        <f t="shared" si="22"/>
        <v>0</v>
      </c>
      <c r="K285" s="15">
        <v>100000</v>
      </c>
      <c r="L285" s="15">
        <v>-84064</v>
      </c>
      <c r="M285" s="38">
        <f t="shared" si="20"/>
        <v>15936</v>
      </c>
      <c r="N285" s="5">
        <f>ROUND(M285/1000,1)</f>
        <v>15.9</v>
      </c>
    </row>
    <row r="286" spans="1:14" s="81" customFormat="1" ht="27.75" customHeight="1">
      <c r="A286" s="80"/>
      <c r="B286" s="80"/>
      <c r="C286" s="80"/>
      <c r="D286" s="51" t="s">
        <v>160</v>
      </c>
      <c r="E286" s="51" t="s">
        <v>160</v>
      </c>
      <c r="F286" s="82">
        <v>31834622</v>
      </c>
      <c r="G286" s="32">
        <f t="shared" si="21"/>
        <v>31834.6</v>
      </c>
      <c r="H286" s="32">
        <v>49.9</v>
      </c>
      <c r="I286" s="82">
        <v>15899749</v>
      </c>
      <c r="J286" s="32">
        <f t="shared" si="22"/>
        <v>15899.7</v>
      </c>
      <c r="K286" s="15">
        <v>7000000</v>
      </c>
      <c r="L286" s="15"/>
      <c r="M286" s="38">
        <f t="shared" si="20"/>
        <v>7000000</v>
      </c>
      <c r="N286" s="5">
        <f t="shared" si="23"/>
        <v>7000</v>
      </c>
    </row>
    <row r="287" spans="1:14" s="81" customFormat="1" ht="27.75" customHeight="1">
      <c r="A287" s="80"/>
      <c r="B287" s="80"/>
      <c r="C287" s="80"/>
      <c r="D287" s="84" t="s">
        <v>161</v>
      </c>
      <c r="E287" s="84" t="s">
        <v>161</v>
      </c>
      <c r="F287" s="82">
        <v>14670250</v>
      </c>
      <c r="G287" s="32">
        <f t="shared" si="21"/>
        <v>14670.3</v>
      </c>
      <c r="H287" s="32">
        <v>48.7</v>
      </c>
      <c r="I287" s="82">
        <v>7146429</v>
      </c>
      <c r="J287" s="32">
        <f t="shared" si="22"/>
        <v>7146.4</v>
      </c>
      <c r="K287" s="15">
        <f>250000-103154</f>
        <v>146846</v>
      </c>
      <c r="L287" s="15"/>
      <c r="M287" s="38">
        <f t="shared" si="20"/>
        <v>146846</v>
      </c>
      <c r="N287" s="5">
        <f t="shared" si="23"/>
        <v>146.8</v>
      </c>
    </row>
    <row r="288" spans="1:14" s="81" customFormat="1" ht="41.25" customHeight="1">
      <c r="A288" s="80"/>
      <c r="B288" s="80"/>
      <c r="C288" s="80"/>
      <c r="D288" s="51" t="s">
        <v>306</v>
      </c>
      <c r="E288" s="51" t="s">
        <v>306</v>
      </c>
      <c r="F288" s="82">
        <v>1581853</v>
      </c>
      <c r="G288" s="32">
        <f t="shared" si="21"/>
        <v>1581.9</v>
      </c>
      <c r="H288" s="32">
        <v>46.8</v>
      </c>
      <c r="I288" s="82">
        <v>739746</v>
      </c>
      <c r="J288" s="32">
        <f t="shared" si="22"/>
        <v>739.7</v>
      </c>
      <c r="K288" s="15">
        <v>500000</v>
      </c>
      <c r="L288" s="15"/>
      <c r="M288" s="38">
        <f t="shared" si="20"/>
        <v>500000</v>
      </c>
      <c r="N288" s="5">
        <f t="shared" si="23"/>
        <v>500</v>
      </c>
    </row>
    <row r="289" spans="1:14" s="81" customFormat="1" ht="39" customHeight="1">
      <c r="A289" s="80"/>
      <c r="B289" s="80"/>
      <c r="C289" s="80"/>
      <c r="D289" s="51" t="s">
        <v>307</v>
      </c>
      <c r="E289" s="51" t="s">
        <v>307</v>
      </c>
      <c r="F289" s="82">
        <v>859327</v>
      </c>
      <c r="G289" s="32">
        <f t="shared" si="21"/>
        <v>859.3</v>
      </c>
      <c r="H289" s="32">
        <v>99.2</v>
      </c>
      <c r="I289" s="82">
        <v>852592</v>
      </c>
      <c r="J289" s="32">
        <f t="shared" si="22"/>
        <v>852.6</v>
      </c>
      <c r="K289" s="15">
        <v>500000</v>
      </c>
      <c r="L289" s="15"/>
      <c r="M289" s="38">
        <f t="shared" si="20"/>
        <v>500000</v>
      </c>
      <c r="N289" s="5">
        <f t="shared" si="23"/>
        <v>500</v>
      </c>
    </row>
    <row r="290" spans="1:14" s="81" customFormat="1" ht="45.75" customHeight="1">
      <c r="A290" s="80"/>
      <c r="B290" s="80"/>
      <c r="C290" s="80"/>
      <c r="D290" s="51" t="s">
        <v>162</v>
      </c>
      <c r="E290" s="51" t="s">
        <v>162</v>
      </c>
      <c r="F290" s="82">
        <v>1527220</v>
      </c>
      <c r="G290" s="32">
        <f t="shared" si="21"/>
        <v>1527.2</v>
      </c>
      <c r="H290" s="32">
        <v>100</v>
      </c>
      <c r="I290" s="82">
        <v>1527220</v>
      </c>
      <c r="J290" s="32">
        <f t="shared" si="22"/>
        <v>1527.2</v>
      </c>
      <c r="K290" s="15">
        <f>1500000-200000-91204</f>
        <v>1208796</v>
      </c>
      <c r="L290" s="15"/>
      <c r="M290" s="38">
        <f t="shared" si="20"/>
        <v>1208796</v>
      </c>
      <c r="N290" s="5">
        <f t="shared" si="23"/>
        <v>1208.8</v>
      </c>
    </row>
    <row r="291" spans="1:14" s="81" customFormat="1" ht="34.5" customHeight="1">
      <c r="A291" s="80"/>
      <c r="B291" s="80"/>
      <c r="C291" s="80"/>
      <c r="D291" s="51" t="s">
        <v>409</v>
      </c>
      <c r="E291" s="51" t="s">
        <v>409</v>
      </c>
      <c r="F291" s="82"/>
      <c r="G291" s="32">
        <f t="shared" si="21"/>
        <v>0</v>
      </c>
      <c r="H291" s="32"/>
      <c r="I291" s="82"/>
      <c r="J291" s="32">
        <f t="shared" si="22"/>
        <v>0</v>
      </c>
      <c r="K291" s="15">
        <v>100000</v>
      </c>
      <c r="L291" s="15"/>
      <c r="M291" s="38">
        <f>L291+K291</f>
        <v>100000</v>
      </c>
      <c r="N291" s="5">
        <f t="shared" si="23"/>
        <v>100</v>
      </c>
    </row>
    <row r="292" spans="1:14" s="81" customFormat="1" ht="42.75" customHeight="1">
      <c r="A292" s="80"/>
      <c r="B292" s="80"/>
      <c r="C292" s="80"/>
      <c r="D292" s="51" t="s">
        <v>163</v>
      </c>
      <c r="E292" s="51" t="s">
        <v>163</v>
      </c>
      <c r="F292" s="82">
        <v>2552113</v>
      </c>
      <c r="G292" s="32">
        <f t="shared" si="21"/>
        <v>2552.1</v>
      </c>
      <c r="H292" s="32">
        <v>98.8</v>
      </c>
      <c r="I292" s="82">
        <v>2521600</v>
      </c>
      <c r="J292" s="32">
        <f t="shared" si="22"/>
        <v>2521.6</v>
      </c>
      <c r="K292" s="15">
        <f>200000-150000-19487</f>
        <v>30513</v>
      </c>
      <c r="L292" s="15"/>
      <c r="M292" s="38">
        <f t="shared" si="20"/>
        <v>30513</v>
      </c>
      <c r="N292" s="5">
        <f t="shared" si="23"/>
        <v>30.5</v>
      </c>
    </row>
    <row r="293" spans="1:46" ht="46.5" customHeight="1">
      <c r="A293" s="80"/>
      <c r="B293" s="80"/>
      <c r="C293" s="80"/>
      <c r="D293" s="51" t="s">
        <v>164</v>
      </c>
      <c r="E293" s="51" t="s">
        <v>164</v>
      </c>
      <c r="F293" s="82">
        <v>1435545</v>
      </c>
      <c r="G293" s="32">
        <f t="shared" si="21"/>
        <v>1435.5</v>
      </c>
      <c r="H293" s="32">
        <v>100</v>
      </c>
      <c r="I293" s="82">
        <v>1435545</v>
      </c>
      <c r="J293" s="32">
        <f t="shared" si="22"/>
        <v>1435.5</v>
      </c>
      <c r="K293" s="15">
        <f>1500000-200000-105862</f>
        <v>1194138</v>
      </c>
      <c r="L293" s="15"/>
      <c r="M293" s="38">
        <f t="shared" si="20"/>
        <v>1194138</v>
      </c>
      <c r="N293" s="5">
        <f t="shared" si="23"/>
        <v>1194.1</v>
      </c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</row>
    <row r="294" spans="1:46" s="25" customFormat="1" ht="50.25" customHeight="1">
      <c r="A294" s="80"/>
      <c r="B294" s="80"/>
      <c r="C294" s="80"/>
      <c r="D294" s="51" t="s">
        <v>165</v>
      </c>
      <c r="E294" s="51" t="s">
        <v>165</v>
      </c>
      <c r="F294" s="82">
        <v>1543577</v>
      </c>
      <c r="G294" s="32">
        <f t="shared" si="21"/>
        <v>1543.6</v>
      </c>
      <c r="H294" s="32">
        <v>98.2</v>
      </c>
      <c r="I294" s="82">
        <v>1516441</v>
      </c>
      <c r="J294" s="32">
        <f t="shared" si="22"/>
        <v>1516.4</v>
      </c>
      <c r="K294" s="15">
        <f>1500000+33000</f>
        <v>1533000</v>
      </c>
      <c r="L294" s="15"/>
      <c r="M294" s="38">
        <f t="shared" si="20"/>
        <v>1533000</v>
      </c>
      <c r="N294" s="5">
        <f t="shared" si="23"/>
        <v>1533</v>
      </c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</row>
    <row r="295" spans="1:46" s="94" customFormat="1" ht="27.75" customHeight="1">
      <c r="A295" s="30" t="s">
        <v>225</v>
      </c>
      <c r="B295" s="30" t="s">
        <v>66</v>
      </c>
      <c r="C295" s="30" t="s">
        <v>49</v>
      </c>
      <c r="D295" s="31" t="s">
        <v>453</v>
      </c>
      <c r="E295" s="31"/>
      <c r="F295" s="104"/>
      <c r="G295" s="32">
        <f t="shared" si="21"/>
        <v>0</v>
      </c>
      <c r="H295" s="105"/>
      <c r="I295" s="104"/>
      <c r="J295" s="32">
        <f t="shared" si="22"/>
        <v>0</v>
      </c>
      <c r="K295" s="34">
        <f>K296+K297</f>
        <v>2189115</v>
      </c>
      <c r="L295" s="33">
        <f>L296+L297</f>
        <v>57200</v>
      </c>
      <c r="M295" s="34">
        <f>M296+M297</f>
        <v>2246315</v>
      </c>
      <c r="N295" s="10">
        <f>N296+N297</f>
        <v>2246.3</v>
      </c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</row>
    <row r="296" spans="1:46" s="94" customFormat="1" ht="30.75" customHeight="1">
      <c r="A296" s="40"/>
      <c r="B296" s="40"/>
      <c r="C296" s="40"/>
      <c r="D296" s="60" t="s">
        <v>360</v>
      </c>
      <c r="E296" s="60" t="s">
        <v>360</v>
      </c>
      <c r="F296" s="106">
        <v>1801547</v>
      </c>
      <c r="G296" s="32">
        <f t="shared" si="21"/>
        <v>1801.5</v>
      </c>
      <c r="H296" s="32">
        <v>99.6</v>
      </c>
      <c r="I296" s="106">
        <v>1795015</v>
      </c>
      <c r="J296" s="32">
        <f t="shared" si="22"/>
        <v>1795</v>
      </c>
      <c r="K296" s="43">
        <f>500000+1200000</f>
        <v>1700000</v>
      </c>
      <c r="L296" s="43">
        <v>57200</v>
      </c>
      <c r="M296" s="44">
        <f>L296+K296</f>
        <v>1757200</v>
      </c>
      <c r="N296" s="11">
        <f t="shared" si="23"/>
        <v>1757.2</v>
      </c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</row>
    <row r="297" spans="1:14" s="35" customFormat="1" ht="30.75" customHeight="1">
      <c r="A297" s="40"/>
      <c r="B297" s="40"/>
      <c r="C297" s="40"/>
      <c r="D297" s="60" t="s">
        <v>234</v>
      </c>
      <c r="E297" s="60" t="s">
        <v>234</v>
      </c>
      <c r="F297" s="106">
        <v>1579560</v>
      </c>
      <c r="G297" s="32">
        <f t="shared" si="21"/>
        <v>1579.6</v>
      </c>
      <c r="H297" s="32">
        <v>38.3</v>
      </c>
      <c r="I297" s="106">
        <v>605818</v>
      </c>
      <c r="J297" s="32">
        <f t="shared" si="22"/>
        <v>605.8</v>
      </c>
      <c r="K297" s="43">
        <f>500000-10885</f>
        <v>489115</v>
      </c>
      <c r="L297" s="43"/>
      <c r="M297" s="44">
        <f>L297+K297</f>
        <v>489115</v>
      </c>
      <c r="N297" s="11">
        <f t="shared" si="23"/>
        <v>489.1</v>
      </c>
    </row>
    <row r="298" spans="1:14" s="48" customFormat="1" ht="43.5" customHeight="1">
      <c r="A298" s="30" t="s">
        <v>258</v>
      </c>
      <c r="B298" s="30" t="s">
        <v>255</v>
      </c>
      <c r="C298" s="30"/>
      <c r="D298" s="54" t="s">
        <v>432</v>
      </c>
      <c r="E298" s="54"/>
      <c r="F298" s="104"/>
      <c r="G298" s="32">
        <f t="shared" si="21"/>
        <v>0</v>
      </c>
      <c r="H298" s="54"/>
      <c r="I298" s="104"/>
      <c r="J298" s="32">
        <f t="shared" si="22"/>
        <v>0</v>
      </c>
      <c r="K298" s="74">
        <f>SUM(K303)+K299</f>
        <v>1103138</v>
      </c>
      <c r="L298" s="74">
        <f>SUM(L303)+L299</f>
        <v>517000</v>
      </c>
      <c r="M298" s="75">
        <f>SUM(M303)+M299</f>
        <v>1620138</v>
      </c>
      <c r="N298" s="10">
        <f>SUM(N303)+N299</f>
        <v>1620.1</v>
      </c>
    </row>
    <row r="299" spans="1:14" s="39" customFormat="1" ht="53.25" customHeight="1">
      <c r="A299" s="40" t="s">
        <v>402</v>
      </c>
      <c r="B299" s="40" t="s">
        <v>265</v>
      </c>
      <c r="C299" s="40" t="s">
        <v>44</v>
      </c>
      <c r="D299" s="41" t="s">
        <v>266</v>
      </c>
      <c r="E299" s="41"/>
      <c r="F299" s="82"/>
      <c r="G299" s="32">
        <f t="shared" si="21"/>
        <v>0</v>
      </c>
      <c r="H299" s="41"/>
      <c r="I299" s="82"/>
      <c r="J299" s="32">
        <f t="shared" si="22"/>
        <v>0</v>
      </c>
      <c r="K299" s="65">
        <f>K300+K301+K302</f>
        <v>504600</v>
      </c>
      <c r="L299" s="65">
        <f>L300+L301+L302</f>
        <v>0</v>
      </c>
      <c r="M299" s="66">
        <f>M300+M301+M302</f>
        <v>504600</v>
      </c>
      <c r="N299" s="11">
        <f>N300+N301+N302</f>
        <v>504.59999999999997</v>
      </c>
    </row>
    <row r="300" spans="1:14" s="39" customFormat="1" ht="45.75" customHeight="1">
      <c r="A300" s="36"/>
      <c r="B300" s="36"/>
      <c r="C300" s="36"/>
      <c r="D300" s="37" t="s">
        <v>403</v>
      </c>
      <c r="E300" s="37" t="s">
        <v>403</v>
      </c>
      <c r="F300" s="82">
        <v>1405464</v>
      </c>
      <c r="G300" s="32">
        <f t="shared" si="21"/>
        <v>1405.5</v>
      </c>
      <c r="H300" s="32">
        <v>100</v>
      </c>
      <c r="I300" s="82">
        <v>1405464</v>
      </c>
      <c r="J300" s="32">
        <f t="shared" si="22"/>
        <v>1405.5</v>
      </c>
      <c r="K300" s="62">
        <v>169890</v>
      </c>
      <c r="L300" s="107"/>
      <c r="M300" s="108">
        <f>L300+K300</f>
        <v>169890</v>
      </c>
      <c r="N300" s="5">
        <f t="shared" si="23"/>
        <v>169.9</v>
      </c>
    </row>
    <row r="301" spans="1:14" s="39" customFormat="1" ht="27" customHeight="1">
      <c r="A301" s="36"/>
      <c r="B301" s="36"/>
      <c r="C301" s="36"/>
      <c r="D301" s="37" t="s">
        <v>404</v>
      </c>
      <c r="E301" s="37" t="s">
        <v>404</v>
      </c>
      <c r="F301" s="82">
        <v>1567405</v>
      </c>
      <c r="G301" s="32">
        <f t="shared" si="21"/>
        <v>1567.4</v>
      </c>
      <c r="H301" s="32">
        <v>100</v>
      </c>
      <c r="I301" s="82">
        <v>1567405</v>
      </c>
      <c r="J301" s="32">
        <f t="shared" si="22"/>
        <v>1567.4</v>
      </c>
      <c r="K301" s="62">
        <v>162526</v>
      </c>
      <c r="L301" s="107"/>
      <c r="M301" s="108">
        <f>L301+K301</f>
        <v>162526</v>
      </c>
      <c r="N301" s="5">
        <f t="shared" si="23"/>
        <v>162.5</v>
      </c>
    </row>
    <row r="302" spans="1:14" s="48" customFormat="1" ht="45" customHeight="1">
      <c r="A302" s="36"/>
      <c r="B302" s="36"/>
      <c r="C302" s="36"/>
      <c r="D302" s="37" t="s">
        <v>405</v>
      </c>
      <c r="E302" s="37" t="s">
        <v>405</v>
      </c>
      <c r="F302" s="82">
        <v>1572186</v>
      </c>
      <c r="G302" s="32">
        <f t="shared" si="21"/>
        <v>1572.2</v>
      </c>
      <c r="H302" s="32">
        <v>100</v>
      </c>
      <c r="I302" s="82">
        <v>1572186</v>
      </c>
      <c r="J302" s="32">
        <f t="shared" si="22"/>
        <v>1572.2</v>
      </c>
      <c r="K302" s="62">
        <v>172184</v>
      </c>
      <c r="L302" s="107"/>
      <c r="M302" s="108">
        <f>L302+K302</f>
        <v>172184</v>
      </c>
      <c r="N302" s="5">
        <f t="shared" si="23"/>
        <v>172.2</v>
      </c>
    </row>
    <row r="303" spans="1:14" s="48" customFormat="1" ht="52.5" customHeight="1">
      <c r="A303" s="40" t="s">
        <v>259</v>
      </c>
      <c r="B303" s="40" t="s">
        <v>262</v>
      </c>
      <c r="C303" s="40" t="s">
        <v>44</v>
      </c>
      <c r="D303" s="41" t="s">
        <v>253</v>
      </c>
      <c r="E303" s="41"/>
      <c r="F303" s="82"/>
      <c r="G303" s="32">
        <f t="shared" si="21"/>
        <v>0</v>
      </c>
      <c r="H303" s="41"/>
      <c r="I303" s="82"/>
      <c r="J303" s="32">
        <f t="shared" si="22"/>
        <v>0</v>
      </c>
      <c r="K303" s="65">
        <f>K307+K309</f>
        <v>598538</v>
      </c>
      <c r="L303" s="65">
        <f>L307+L309+L305</f>
        <v>517000</v>
      </c>
      <c r="M303" s="65">
        <f>M307+M309+M305</f>
        <v>1115538</v>
      </c>
      <c r="N303" s="11">
        <f>N305+N307+N309</f>
        <v>1115.5</v>
      </c>
    </row>
    <row r="304" spans="1:14" s="39" customFormat="1" ht="24.75" customHeight="1">
      <c r="A304" s="40"/>
      <c r="B304" s="40"/>
      <c r="C304" s="40"/>
      <c r="D304" s="41" t="s">
        <v>397</v>
      </c>
      <c r="E304" s="41"/>
      <c r="F304" s="82"/>
      <c r="G304" s="32">
        <f t="shared" si="21"/>
        <v>0</v>
      </c>
      <c r="H304" s="41"/>
      <c r="I304" s="82"/>
      <c r="J304" s="32">
        <f t="shared" si="22"/>
        <v>0</v>
      </c>
      <c r="K304" s="43">
        <f>K308+K310</f>
        <v>300091</v>
      </c>
      <c r="L304" s="43">
        <f>L308+L310+L306</f>
        <v>500000</v>
      </c>
      <c r="M304" s="43">
        <f>M308+M310+M306</f>
        <v>800091</v>
      </c>
      <c r="N304" s="11">
        <f>N306+N308+N310</f>
        <v>800.1</v>
      </c>
    </row>
    <row r="305" spans="1:14" s="39" customFormat="1" ht="24.75" customHeight="1">
      <c r="A305" s="40"/>
      <c r="B305" s="40"/>
      <c r="C305" s="40"/>
      <c r="D305" s="37" t="s">
        <v>477</v>
      </c>
      <c r="E305" s="41"/>
      <c r="F305" s="82"/>
      <c r="G305" s="32"/>
      <c r="H305" s="41"/>
      <c r="I305" s="82"/>
      <c r="J305" s="32"/>
      <c r="K305" s="43"/>
      <c r="L305" s="43">
        <f>500000+17000</f>
        <v>517000</v>
      </c>
      <c r="M305" s="43">
        <f>K305+L305</f>
        <v>517000</v>
      </c>
      <c r="N305" s="5">
        <f t="shared" si="23"/>
        <v>517</v>
      </c>
    </row>
    <row r="306" spans="1:14" s="39" customFormat="1" ht="24.75" customHeight="1">
      <c r="A306" s="40"/>
      <c r="B306" s="40"/>
      <c r="C306" s="40"/>
      <c r="D306" s="41" t="s">
        <v>397</v>
      </c>
      <c r="E306" s="41"/>
      <c r="F306" s="82"/>
      <c r="G306" s="32"/>
      <c r="H306" s="41"/>
      <c r="I306" s="82"/>
      <c r="J306" s="32"/>
      <c r="K306" s="43"/>
      <c r="L306" s="43">
        <v>500000</v>
      </c>
      <c r="M306" s="43">
        <f>K306+L306</f>
        <v>500000</v>
      </c>
      <c r="N306" s="11">
        <f t="shared" si="23"/>
        <v>500</v>
      </c>
    </row>
    <row r="307" spans="1:14" s="48" customFormat="1" ht="42" customHeight="1">
      <c r="A307" s="36"/>
      <c r="B307" s="36"/>
      <c r="C307" s="36"/>
      <c r="D307" s="37" t="s">
        <v>377</v>
      </c>
      <c r="E307" s="37" t="s">
        <v>377</v>
      </c>
      <c r="F307" s="82"/>
      <c r="G307" s="32">
        <f t="shared" si="21"/>
        <v>0</v>
      </c>
      <c r="H307" s="37"/>
      <c r="I307" s="82"/>
      <c r="J307" s="32">
        <f t="shared" si="22"/>
        <v>0</v>
      </c>
      <c r="K307" s="62">
        <f>289447+91</f>
        <v>289538</v>
      </c>
      <c r="L307" s="107"/>
      <c r="M307" s="108">
        <f>L307+K307</f>
        <v>289538</v>
      </c>
      <c r="N307" s="5">
        <f t="shared" si="23"/>
        <v>289.5</v>
      </c>
    </row>
    <row r="308" spans="1:14" s="39" customFormat="1" ht="27" customHeight="1">
      <c r="A308" s="40"/>
      <c r="B308" s="40"/>
      <c r="C308" s="40"/>
      <c r="D308" s="41" t="s">
        <v>397</v>
      </c>
      <c r="E308" s="41"/>
      <c r="F308" s="82"/>
      <c r="G308" s="32">
        <f t="shared" si="21"/>
        <v>0</v>
      </c>
      <c r="H308" s="41"/>
      <c r="I308" s="82"/>
      <c r="J308" s="32">
        <f t="shared" si="22"/>
        <v>0</v>
      </c>
      <c r="K308" s="43">
        <v>91</v>
      </c>
      <c r="L308" s="43"/>
      <c r="M308" s="44">
        <f>L308+K308</f>
        <v>91</v>
      </c>
      <c r="N308" s="11">
        <f t="shared" si="23"/>
        <v>0.1</v>
      </c>
    </row>
    <row r="309" spans="1:14" s="48" customFormat="1" ht="49.5" customHeight="1">
      <c r="A309" s="36"/>
      <c r="B309" s="36"/>
      <c r="C309" s="36"/>
      <c r="D309" s="37" t="s">
        <v>378</v>
      </c>
      <c r="E309" s="37" t="s">
        <v>378</v>
      </c>
      <c r="F309" s="82"/>
      <c r="G309" s="32">
        <f t="shared" si="21"/>
        <v>0</v>
      </c>
      <c r="H309" s="37"/>
      <c r="I309" s="82"/>
      <c r="J309" s="32">
        <f t="shared" si="22"/>
        <v>0</v>
      </c>
      <c r="K309" s="62">
        <v>309000</v>
      </c>
      <c r="L309" s="107"/>
      <c r="M309" s="108">
        <f>L309+K309</f>
        <v>309000</v>
      </c>
      <c r="N309" s="5">
        <f t="shared" si="23"/>
        <v>309</v>
      </c>
    </row>
    <row r="310" spans="1:14" s="35" customFormat="1" ht="34.5" customHeight="1">
      <c r="A310" s="40"/>
      <c r="B310" s="40"/>
      <c r="C310" s="40"/>
      <c r="D310" s="41" t="s">
        <v>397</v>
      </c>
      <c r="E310" s="41"/>
      <c r="F310" s="82"/>
      <c r="G310" s="32">
        <f t="shared" si="21"/>
        <v>0</v>
      </c>
      <c r="H310" s="41"/>
      <c r="I310" s="82"/>
      <c r="J310" s="32">
        <f t="shared" si="22"/>
        <v>0</v>
      </c>
      <c r="K310" s="43">
        <v>300000</v>
      </c>
      <c r="L310" s="43"/>
      <c r="M310" s="44">
        <f>L310+K310</f>
        <v>300000</v>
      </c>
      <c r="N310" s="11">
        <f t="shared" si="23"/>
        <v>300</v>
      </c>
    </row>
    <row r="311" spans="1:14" s="39" customFormat="1" ht="30" customHeight="1">
      <c r="A311" s="30" t="s">
        <v>72</v>
      </c>
      <c r="B311" s="30" t="s">
        <v>1</v>
      </c>
      <c r="C311" s="30" t="s">
        <v>45</v>
      </c>
      <c r="D311" s="54" t="s">
        <v>464</v>
      </c>
      <c r="E311" s="54"/>
      <c r="F311" s="104"/>
      <c r="G311" s="32">
        <f t="shared" si="21"/>
        <v>0</v>
      </c>
      <c r="H311" s="54"/>
      <c r="I311" s="104"/>
      <c r="J311" s="32">
        <f t="shared" si="22"/>
        <v>0</v>
      </c>
      <c r="K311" s="33">
        <f>K312+K313+K314+K315+K316+K317+K318</f>
        <v>17878301</v>
      </c>
      <c r="L311" s="33">
        <f>L312+L313+L314+L315+L316+L317+L318</f>
        <v>0</v>
      </c>
      <c r="M311" s="34">
        <f>M312+M313+M314+M315+M316+M317+M318</f>
        <v>17878301</v>
      </c>
      <c r="N311" s="10">
        <f>N312+N313+N314+N315+N316+N317+N318</f>
        <v>17878.3</v>
      </c>
    </row>
    <row r="312" spans="1:14" s="39" customFormat="1" ht="28.5" customHeight="1">
      <c r="A312" s="36"/>
      <c r="B312" s="36"/>
      <c r="C312" s="36"/>
      <c r="D312" s="37" t="s">
        <v>472</v>
      </c>
      <c r="E312" s="37" t="s">
        <v>417</v>
      </c>
      <c r="F312" s="82">
        <v>9999558</v>
      </c>
      <c r="G312" s="32">
        <f t="shared" si="21"/>
        <v>9999.6</v>
      </c>
      <c r="H312" s="90">
        <v>85</v>
      </c>
      <c r="I312" s="82">
        <v>8499624</v>
      </c>
      <c r="J312" s="32">
        <f t="shared" si="22"/>
        <v>8499.6</v>
      </c>
      <c r="K312" s="62">
        <v>1702000</v>
      </c>
      <c r="L312" s="62"/>
      <c r="M312" s="63">
        <f>K312+L312</f>
        <v>1702000</v>
      </c>
      <c r="N312" s="5">
        <f t="shared" si="23"/>
        <v>1702</v>
      </c>
    </row>
    <row r="313" spans="1:14" s="39" customFormat="1" ht="23.25" customHeight="1">
      <c r="A313" s="36"/>
      <c r="B313" s="36"/>
      <c r="C313" s="36"/>
      <c r="D313" s="37" t="s">
        <v>473</v>
      </c>
      <c r="E313" s="37" t="s">
        <v>412</v>
      </c>
      <c r="F313" s="82">
        <v>16378459</v>
      </c>
      <c r="G313" s="32">
        <f t="shared" si="21"/>
        <v>16378.5</v>
      </c>
      <c r="H313" s="90">
        <v>100</v>
      </c>
      <c r="I313" s="82">
        <v>16378459</v>
      </c>
      <c r="J313" s="32">
        <f t="shared" si="22"/>
        <v>16378.5</v>
      </c>
      <c r="K313" s="62">
        <f>6500000-16991</f>
        <v>6483009</v>
      </c>
      <c r="L313" s="62"/>
      <c r="M313" s="63">
        <f aca="true" t="shared" si="24" ref="M313:M318">K313+L313</f>
        <v>6483009</v>
      </c>
      <c r="N313" s="5">
        <f t="shared" si="23"/>
        <v>6483</v>
      </c>
    </row>
    <row r="314" spans="1:14" s="39" customFormat="1" ht="27.75" customHeight="1">
      <c r="A314" s="36"/>
      <c r="B314" s="36"/>
      <c r="C314" s="36"/>
      <c r="D314" s="37" t="s">
        <v>474</v>
      </c>
      <c r="E314" s="37" t="s">
        <v>413</v>
      </c>
      <c r="F314" s="82">
        <v>6817326</v>
      </c>
      <c r="G314" s="32">
        <f t="shared" si="21"/>
        <v>6817.3</v>
      </c>
      <c r="H314" s="90">
        <v>100</v>
      </c>
      <c r="I314" s="82">
        <v>6817326</v>
      </c>
      <c r="J314" s="32">
        <f t="shared" si="22"/>
        <v>6817.3</v>
      </c>
      <c r="K314" s="62">
        <f>2045000-10863</f>
        <v>2034137</v>
      </c>
      <c r="L314" s="62"/>
      <c r="M314" s="63">
        <f t="shared" si="24"/>
        <v>2034137</v>
      </c>
      <c r="N314" s="5">
        <f t="shared" si="23"/>
        <v>2034.1</v>
      </c>
    </row>
    <row r="315" spans="1:14" s="39" customFormat="1" ht="25.5" customHeight="1">
      <c r="A315" s="36"/>
      <c r="B315" s="36"/>
      <c r="C315" s="36"/>
      <c r="D315" s="37" t="s">
        <v>414</v>
      </c>
      <c r="E315" s="37" t="s">
        <v>414</v>
      </c>
      <c r="F315" s="82"/>
      <c r="G315" s="32">
        <f t="shared" si="21"/>
        <v>0</v>
      </c>
      <c r="H315" s="62"/>
      <c r="I315" s="82"/>
      <c r="J315" s="32">
        <f t="shared" si="22"/>
        <v>0</v>
      </c>
      <c r="K315" s="62">
        <v>65000</v>
      </c>
      <c r="L315" s="62"/>
      <c r="M315" s="63">
        <f t="shared" si="24"/>
        <v>65000</v>
      </c>
      <c r="N315" s="5">
        <f t="shared" si="23"/>
        <v>65</v>
      </c>
    </row>
    <row r="316" spans="1:14" s="39" customFormat="1" ht="25.5" customHeight="1">
      <c r="A316" s="36"/>
      <c r="B316" s="36"/>
      <c r="C316" s="36"/>
      <c r="D316" s="37" t="s">
        <v>415</v>
      </c>
      <c r="E316" s="37" t="s">
        <v>415</v>
      </c>
      <c r="F316" s="82"/>
      <c r="G316" s="32">
        <f t="shared" si="21"/>
        <v>0</v>
      </c>
      <c r="H316" s="62"/>
      <c r="I316" s="82"/>
      <c r="J316" s="32">
        <f t="shared" si="22"/>
        <v>0</v>
      </c>
      <c r="K316" s="62">
        <v>318400</v>
      </c>
      <c r="L316" s="62">
        <v>-278400</v>
      </c>
      <c r="M316" s="63">
        <f t="shared" si="24"/>
        <v>40000</v>
      </c>
      <c r="N316" s="5">
        <f t="shared" si="23"/>
        <v>40</v>
      </c>
    </row>
    <row r="317" spans="1:14" s="39" customFormat="1" ht="25.5" customHeight="1">
      <c r="A317" s="36"/>
      <c r="B317" s="36"/>
      <c r="C317" s="36"/>
      <c r="D317" s="37" t="s">
        <v>416</v>
      </c>
      <c r="E317" s="37" t="s">
        <v>416</v>
      </c>
      <c r="F317" s="82"/>
      <c r="G317" s="32">
        <f t="shared" si="21"/>
        <v>0</v>
      </c>
      <c r="H317" s="62"/>
      <c r="I317" s="82"/>
      <c r="J317" s="32">
        <f t="shared" si="22"/>
        <v>0</v>
      </c>
      <c r="K317" s="62">
        <v>145755</v>
      </c>
      <c r="L317" s="62">
        <v>-90755</v>
      </c>
      <c r="M317" s="63">
        <f t="shared" si="24"/>
        <v>55000</v>
      </c>
      <c r="N317" s="5">
        <f t="shared" si="23"/>
        <v>55</v>
      </c>
    </row>
    <row r="318" spans="1:14" s="35" customFormat="1" ht="28.5" customHeight="1">
      <c r="A318" s="36"/>
      <c r="B318" s="36"/>
      <c r="C318" s="36"/>
      <c r="D318" s="37" t="s">
        <v>418</v>
      </c>
      <c r="E318" s="37" t="s">
        <v>418</v>
      </c>
      <c r="F318" s="62"/>
      <c r="G318" s="32">
        <f t="shared" si="21"/>
        <v>0</v>
      </c>
      <c r="H318" s="62"/>
      <c r="I318" s="82"/>
      <c r="J318" s="32">
        <f t="shared" si="22"/>
        <v>0</v>
      </c>
      <c r="K318" s="62">
        <v>7130000</v>
      </c>
      <c r="L318" s="62">
        <v>369155</v>
      </c>
      <c r="M318" s="63">
        <f t="shared" si="24"/>
        <v>7499155</v>
      </c>
      <c r="N318" s="5">
        <f t="shared" si="23"/>
        <v>7499.2</v>
      </c>
    </row>
    <row r="319" spans="1:14" s="48" customFormat="1" ht="42.75" customHeight="1">
      <c r="A319" s="30" t="s">
        <v>110</v>
      </c>
      <c r="B319" s="77"/>
      <c r="C319" s="77"/>
      <c r="D319" s="54" t="s">
        <v>21</v>
      </c>
      <c r="E319" s="54"/>
      <c r="F319" s="54"/>
      <c r="G319" s="32">
        <f t="shared" si="21"/>
        <v>0</v>
      </c>
      <c r="H319" s="54"/>
      <c r="I319" s="82"/>
      <c r="J319" s="32">
        <f t="shared" si="22"/>
        <v>0</v>
      </c>
      <c r="K319" s="33">
        <f>K320</f>
        <v>40000</v>
      </c>
      <c r="L319" s="33">
        <f>L320</f>
        <v>0</v>
      </c>
      <c r="M319" s="34">
        <f>M320</f>
        <v>40000</v>
      </c>
      <c r="N319" s="10">
        <f>N320</f>
        <v>40</v>
      </c>
    </row>
    <row r="320" spans="1:14" s="35" customFormat="1" ht="40.5" customHeight="1">
      <c r="A320" s="36" t="s">
        <v>111</v>
      </c>
      <c r="B320" s="36" t="s">
        <v>55</v>
      </c>
      <c r="C320" s="36" t="s">
        <v>23</v>
      </c>
      <c r="D320" s="37" t="s">
        <v>56</v>
      </c>
      <c r="E320" s="37"/>
      <c r="F320" s="37"/>
      <c r="G320" s="32">
        <f t="shared" si="21"/>
        <v>0</v>
      </c>
      <c r="H320" s="37"/>
      <c r="I320" s="82"/>
      <c r="J320" s="32">
        <f t="shared" si="22"/>
        <v>0</v>
      </c>
      <c r="K320" s="15">
        <v>40000</v>
      </c>
      <c r="L320" s="15"/>
      <c r="M320" s="38">
        <f>L320+K320</f>
        <v>40000</v>
      </c>
      <c r="N320" s="5">
        <f t="shared" si="23"/>
        <v>40</v>
      </c>
    </row>
    <row r="321" spans="1:14" s="35" customFormat="1" ht="36" customHeight="1">
      <c r="A321" s="30" t="s">
        <v>112</v>
      </c>
      <c r="B321" s="30"/>
      <c r="C321" s="30"/>
      <c r="D321" s="54" t="s">
        <v>19</v>
      </c>
      <c r="E321" s="54"/>
      <c r="F321" s="54"/>
      <c r="G321" s="32">
        <f t="shared" si="21"/>
        <v>0</v>
      </c>
      <c r="H321" s="54"/>
      <c r="I321" s="82"/>
      <c r="J321" s="32">
        <f t="shared" si="22"/>
        <v>0</v>
      </c>
      <c r="K321" s="33">
        <f>K322+K324+K325+K326+K323</f>
        <v>5273500</v>
      </c>
      <c r="L321" s="33">
        <f>L322+L324+L325+L326+L323</f>
        <v>0</v>
      </c>
      <c r="M321" s="33">
        <f>M322+M324+M325+M326+M323</f>
        <v>5273500</v>
      </c>
      <c r="N321" s="10">
        <f>N322+N324+N325+N326+N323</f>
        <v>5273.5</v>
      </c>
    </row>
    <row r="322" spans="1:14" s="35" customFormat="1" ht="41.25" customHeight="1">
      <c r="A322" s="36" t="s">
        <v>113</v>
      </c>
      <c r="B322" s="36" t="s">
        <v>55</v>
      </c>
      <c r="C322" s="36" t="s">
        <v>23</v>
      </c>
      <c r="D322" s="37" t="s">
        <v>56</v>
      </c>
      <c r="E322" s="37"/>
      <c r="F322" s="37"/>
      <c r="G322" s="32">
        <f t="shared" si="21"/>
        <v>0</v>
      </c>
      <c r="H322" s="37"/>
      <c r="I322" s="82"/>
      <c r="J322" s="32">
        <f t="shared" si="22"/>
        <v>0</v>
      </c>
      <c r="K322" s="15">
        <f>150000-130500</f>
        <v>19500</v>
      </c>
      <c r="L322" s="15"/>
      <c r="M322" s="38">
        <f>L322+K322</f>
        <v>19500</v>
      </c>
      <c r="N322" s="5">
        <f t="shared" si="23"/>
        <v>19.5</v>
      </c>
    </row>
    <row r="323" spans="1:14" s="39" customFormat="1" ht="27" customHeight="1">
      <c r="A323" s="36" t="s">
        <v>421</v>
      </c>
      <c r="B323" s="36" t="s">
        <v>422</v>
      </c>
      <c r="C323" s="36" t="s">
        <v>44</v>
      </c>
      <c r="D323" s="37" t="s">
        <v>423</v>
      </c>
      <c r="E323" s="37"/>
      <c r="F323" s="37"/>
      <c r="G323" s="32">
        <f t="shared" si="21"/>
        <v>0</v>
      </c>
      <c r="H323" s="37"/>
      <c r="I323" s="82"/>
      <c r="J323" s="32">
        <f t="shared" si="22"/>
        <v>0</v>
      </c>
      <c r="K323" s="15">
        <v>5000000</v>
      </c>
      <c r="L323" s="15"/>
      <c r="M323" s="38">
        <f>L323+K323</f>
        <v>5000000</v>
      </c>
      <c r="N323" s="5">
        <f t="shared" si="23"/>
        <v>5000</v>
      </c>
    </row>
    <row r="324" spans="1:14" s="39" customFormat="1" ht="34.5" customHeight="1">
      <c r="A324" s="49" t="s">
        <v>124</v>
      </c>
      <c r="B324" s="49" t="s">
        <v>125</v>
      </c>
      <c r="C324" s="49" t="s">
        <v>44</v>
      </c>
      <c r="D324" s="37" t="s">
        <v>128</v>
      </c>
      <c r="E324" s="37"/>
      <c r="F324" s="37"/>
      <c r="G324" s="32">
        <f t="shared" si="21"/>
        <v>0</v>
      </c>
      <c r="H324" s="37"/>
      <c r="I324" s="82"/>
      <c r="J324" s="32">
        <f t="shared" si="22"/>
        <v>0</v>
      </c>
      <c r="K324" s="15">
        <f>25000+25000</f>
        <v>50000</v>
      </c>
      <c r="L324" s="15"/>
      <c r="M324" s="38">
        <f>L324+K324</f>
        <v>50000</v>
      </c>
      <c r="N324" s="5">
        <f t="shared" si="23"/>
        <v>50</v>
      </c>
    </row>
    <row r="325" spans="1:14" s="39" customFormat="1" ht="42.75" customHeight="1">
      <c r="A325" s="49" t="s">
        <v>126</v>
      </c>
      <c r="B325" s="49" t="s">
        <v>127</v>
      </c>
      <c r="C325" s="49" t="s">
        <v>44</v>
      </c>
      <c r="D325" s="37" t="s">
        <v>129</v>
      </c>
      <c r="E325" s="37"/>
      <c r="F325" s="37"/>
      <c r="G325" s="32">
        <f t="shared" si="21"/>
        <v>0</v>
      </c>
      <c r="H325" s="37"/>
      <c r="I325" s="82"/>
      <c r="J325" s="32">
        <f t="shared" si="22"/>
        <v>0</v>
      </c>
      <c r="K325" s="15">
        <v>25000</v>
      </c>
      <c r="L325" s="15"/>
      <c r="M325" s="38">
        <f>L325+K325</f>
        <v>25000</v>
      </c>
      <c r="N325" s="5">
        <f t="shared" si="23"/>
        <v>25</v>
      </c>
    </row>
    <row r="326" spans="1:14" s="35" customFormat="1" ht="47.25" customHeight="1">
      <c r="A326" s="49" t="s">
        <v>249</v>
      </c>
      <c r="B326" s="49" t="s">
        <v>250</v>
      </c>
      <c r="C326" s="49" t="s">
        <v>22</v>
      </c>
      <c r="D326" s="51" t="s">
        <v>260</v>
      </c>
      <c r="E326" s="37"/>
      <c r="F326" s="37"/>
      <c r="G326" s="32">
        <f t="shared" si="21"/>
        <v>0</v>
      </c>
      <c r="H326" s="37"/>
      <c r="I326" s="82"/>
      <c r="J326" s="32">
        <f t="shared" si="22"/>
        <v>0</v>
      </c>
      <c r="K326" s="15">
        <v>179000</v>
      </c>
      <c r="L326" s="15"/>
      <c r="M326" s="38">
        <f>L326+K326</f>
        <v>179000</v>
      </c>
      <c r="N326" s="5">
        <f t="shared" si="23"/>
        <v>179</v>
      </c>
    </row>
    <row r="327" spans="1:14" s="39" customFormat="1" ht="43.5" customHeight="1">
      <c r="A327" s="30" t="s">
        <v>114</v>
      </c>
      <c r="B327" s="30"/>
      <c r="C327" s="30"/>
      <c r="D327" s="54" t="s">
        <v>20</v>
      </c>
      <c r="E327" s="54"/>
      <c r="F327" s="54"/>
      <c r="G327" s="32">
        <f t="shared" si="21"/>
        <v>0</v>
      </c>
      <c r="H327" s="54"/>
      <c r="I327" s="54"/>
      <c r="J327" s="32">
        <f t="shared" si="22"/>
        <v>0</v>
      </c>
      <c r="K327" s="33">
        <f>K328+K329</f>
        <v>613800</v>
      </c>
      <c r="L327" s="33">
        <f>L328+L329</f>
        <v>-6052</v>
      </c>
      <c r="M327" s="34">
        <f>M328+M329</f>
        <v>607748</v>
      </c>
      <c r="N327" s="10">
        <f>N328+N329</f>
        <v>607.6999999999999</v>
      </c>
    </row>
    <row r="328" spans="1:14" s="39" customFormat="1" ht="40.5" customHeight="1">
      <c r="A328" s="36" t="s">
        <v>115</v>
      </c>
      <c r="B328" s="36" t="s">
        <v>55</v>
      </c>
      <c r="C328" s="36" t="s">
        <v>23</v>
      </c>
      <c r="D328" s="37" t="s">
        <v>56</v>
      </c>
      <c r="E328" s="37"/>
      <c r="F328" s="37"/>
      <c r="G328" s="32">
        <f t="shared" si="21"/>
        <v>0</v>
      </c>
      <c r="H328" s="37"/>
      <c r="I328" s="37"/>
      <c r="J328" s="32">
        <f t="shared" si="22"/>
        <v>0</v>
      </c>
      <c r="K328" s="15">
        <f>184000-123000</f>
        <v>61000</v>
      </c>
      <c r="L328" s="15">
        <v>-6052</v>
      </c>
      <c r="M328" s="38">
        <f>L328+K328</f>
        <v>54948</v>
      </c>
      <c r="N328" s="5">
        <f t="shared" si="23"/>
        <v>54.9</v>
      </c>
    </row>
    <row r="329" spans="1:14" s="35" customFormat="1" ht="33" customHeight="1">
      <c r="A329" s="36" t="s">
        <v>200</v>
      </c>
      <c r="B329" s="36" t="s">
        <v>201</v>
      </c>
      <c r="C329" s="36" t="s">
        <v>22</v>
      </c>
      <c r="D329" s="37" t="s">
        <v>202</v>
      </c>
      <c r="E329" s="37"/>
      <c r="F329" s="37"/>
      <c r="G329" s="32">
        <f t="shared" si="21"/>
        <v>0</v>
      </c>
      <c r="H329" s="37"/>
      <c r="I329" s="37"/>
      <c r="J329" s="32">
        <f t="shared" si="22"/>
        <v>0</v>
      </c>
      <c r="K329" s="15">
        <f>514800+38000</f>
        <v>552800</v>
      </c>
      <c r="L329" s="15"/>
      <c r="M329" s="38">
        <f>K329+L329</f>
        <v>552800</v>
      </c>
      <c r="N329" s="5">
        <f t="shared" si="23"/>
        <v>552.8</v>
      </c>
    </row>
    <row r="330" spans="1:14" s="59" customFormat="1" ht="21" customHeight="1">
      <c r="A330" s="30"/>
      <c r="B330" s="77"/>
      <c r="C330" s="77"/>
      <c r="D330" s="54" t="s">
        <v>467</v>
      </c>
      <c r="E330" s="54"/>
      <c r="F330" s="54"/>
      <c r="G330" s="32">
        <f t="shared" si="21"/>
        <v>0</v>
      </c>
      <c r="H330" s="54"/>
      <c r="I330" s="54"/>
      <c r="J330" s="32">
        <f t="shared" si="22"/>
        <v>0</v>
      </c>
      <c r="K330" s="33">
        <f>K17+K40+K61+K74+K91+K102+K171+K173+K319+K321+K327</f>
        <v>515593540.24</v>
      </c>
      <c r="L330" s="33">
        <f>L17+L40+L61+L74+L91+L102+L171+L173+L319+L321+L327</f>
        <v>19139060</v>
      </c>
      <c r="M330" s="33">
        <f>M17+M40+M61+M74+M91+M102+M171+M173+M319+M321+M327</f>
        <v>534732600.24</v>
      </c>
      <c r="N330" s="10">
        <f>N17+N40+N61+N74+N91+N102+N171+N173+N319+N321+N327</f>
        <v>534932.5</v>
      </c>
    </row>
    <row r="331" spans="1:14" ht="27.75" customHeight="1">
      <c r="A331" s="55"/>
      <c r="B331" s="55"/>
      <c r="C331" s="55"/>
      <c r="D331" s="56" t="s">
        <v>397</v>
      </c>
      <c r="E331" s="56"/>
      <c r="F331" s="56"/>
      <c r="G331" s="32">
        <f t="shared" si="21"/>
        <v>0</v>
      </c>
      <c r="H331" s="56"/>
      <c r="I331" s="56"/>
      <c r="J331" s="32">
        <f t="shared" si="22"/>
        <v>0</v>
      </c>
      <c r="K331" s="57">
        <f>K41+K62+K75+K92++K103+K174</f>
        <v>40351569.970000006</v>
      </c>
      <c r="L331" s="57">
        <f>L41+L62+L75+L92++L103+L174</f>
        <v>22520000</v>
      </c>
      <c r="M331" s="57">
        <f>M41+M62+M75+M92++M103+M174</f>
        <v>62871569.970000006</v>
      </c>
      <c r="N331" s="12">
        <f>N41+N62+N75+N92++N103+N174</f>
        <v>62871.6</v>
      </c>
    </row>
    <row r="332" spans="1:14" ht="27.75" customHeight="1">
      <c r="A332" s="109"/>
      <c r="B332" s="110"/>
      <c r="C332" s="110"/>
      <c r="D332" s="1" t="s">
        <v>465</v>
      </c>
      <c r="E332" s="111"/>
      <c r="F332" s="111"/>
      <c r="G332" s="32">
        <f t="shared" si="21"/>
        <v>0</v>
      </c>
      <c r="H332" s="111"/>
      <c r="I332" s="111"/>
      <c r="J332" s="32">
        <f t="shared" si="22"/>
        <v>0</v>
      </c>
      <c r="K332" s="112"/>
      <c r="L332" s="113"/>
      <c r="M332" s="114"/>
      <c r="N332" s="3">
        <v>6884.1</v>
      </c>
    </row>
    <row r="333" spans="1:14" ht="27.75" customHeight="1">
      <c r="A333" s="109"/>
      <c r="B333" s="110"/>
      <c r="C333" s="110"/>
      <c r="D333" s="1" t="s">
        <v>466</v>
      </c>
      <c r="E333" s="111"/>
      <c r="F333" s="111"/>
      <c r="G333" s="32">
        <f t="shared" si="21"/>
        <v>0</v>
      </c>
      <c r="H333" s="111"/>
      <c r="I333" s="111"/>
      <c r="J333" s="32">
        <f t="shared" si="22"/>
        <v>0</v>
      </c>
      <c r="K333" s="112"/>
      <c r="L333" s="113"/>
      <c r="M333" s="114"/>
      <c r="N333" s="3">
        <f>N334</f>
        <v>73.4</v>
      </c>
    </row>
    <row r="334" spans="1:14" ht="27.75" customHeight="1">
      <c r="A334" s="109"/>
      <c r="B334" s="110"/>
      <c r="C334" s="110"/>
      <c r="D334" s="2" t="s">
        <v>142</v>
      </c>
      <c r="E334" s="111"/>
      <c r="F334" s="111"/>
      <c r="G334" s="32">
        <f t="shared" si="21"/>
        <v>0</v>
      </c>
      <c r="H334" s="111"/>
      <c r="I334" s="111"/>
      <c r="J334" s="32">
        <f t="shared" si="22"/>
        <v>0</v>
      </c>
      <c r="K334" s="112"/>
      <c r="L334" s="113"/>
      <c r="M334" s="114"/>
      <c r="N334" s="4">
        <v>73.4</v>
      </c>
    </row>
    <row r="335" spans="1:14" ht="27.75" customHeight="1">
      <c r="A335" s="138"/>
      <c r="B335" s="139"/>
      <c r="C335" s="139"/>
      <c r="D335" s="140"/>
      <c r="E335" s="141"/>
      <c r="F335" s="141"/>
      <c r="G335" s="142"/>
      <c r="H335" s="141"/>
      <c r="I335" s="141"/>
      <c r="J335" s="142"/>
      <c r="L335" s="81"/>
      <c r="M335" s="143"/>
      <c r="N335" s="144"/>
    </row>
    <row r="336" spans="1:14" ht="27.75" customHeight="1">
      <c r="A336" s="138"/>
      <c r="B336" s="139"/>
      <c r="C336" s="139"/>
      <c r="D336" s="140"/>
      <c r="E336" s="141"/>
      <c r="F336" s="141"/>
      <c r="G336" s="142"/>
      <c r="H336" s="141"/>
      <c r="I336" s="141"/>
      <c r="J336" s="142"/>
      <c r="L336" s="81"/>
      <c r="M336" s="143"/>
      <c r="N336" s="144"/>
    </row>
    <row r="337" ht="27.75" customHeight="1"/>
    <row r="338" spans="1:13" ht="27.75" customHeight="1">
      <c r="A338" s="134"/>
      <c r="B338" s="134"/>
      <c r="C338" s="134"/>
      <c r="D338" s="134"/>
      <c r="E338" s="134"/>
      <c r="L338" s="135"/>
      <c r="M338" s="135"/>
    </row>
    <row r="339" spans="1:14" s="7" customFormat="1" ht="27.75">
      <c r="A339" s="136"/>
      <c r="B339" s="123"/>
      <c r="C339" s="123"/>
      <c r="D339" s="20" t="s">
        <v>481</v>
      </c>
      <c r="E339" s="20"/>
      <c r="F339" s="20"/>
      <c r="G339" s="20"/>
      <c r="H339" s="20"/>
      <c r="I339" s="20"/>
      <c r="J339" s="122" t="s">
        <v>482</v>
      </c>
      <c r="K339" s="20"/>
      <c r="L339" s="20"/>
      <c r="M339" s="20"/>
      <c r="N339" s="20"/>
    </row>
    <row r="340" spans="1:14" ht="51" customHeight="1">
      <c r="A340" s="18"/>
      <c r="B340" s="18"/>
      <c r="C340" s="18"/>
      <c r="D340" s="137" t="s">
        <v>483</v>
      </c>
      <c r="F340" s="13"/>
      <c r="G340" s="7"/>
      <c r="H340" s="13"/>
      <c r="I340" s="133"/>
      <c r="J340" s="133"/>
      <c r="K340" s="133"/>
      <c r="L340" s="131"/>
      <c r="M340" s="131"/>
      <c r="N340" s="14"/>
    </row>
    <row r="341" spans="1:13" ht="20.25">
      <c r="A341" s="17"/>
      <c r="D341" s="18" t="s">
        <v>484</v>
      </c>
      <c r="K341" s="118"/>
      <c r="M341" s="13"/>
    </row>
    <row r="342" spans="1:13" ht="27.75" customHeight="1">
      <c r="A342" s="119"/>
      <c r="B342" s="81"/>
      <c r="C342" s="68"/>
      <c r="D342" s="120"/>
      <c r="E342" s="13"/>
      <c r="F342" s="13"/>
      <c r="G342" s="13"/>
      <c r="H342" s="13"/>
      <c r="I342" s="121"/>
      <c r="J342" s="121"/>
      <c r="K342" s="117"/>
      <c r="M342" s="13"/>
    </row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</sheetData>
  <sheetProtection/>
  <mergeCells count="29">
    <mergeCell ref="G7:N7"/>
    <mergeCell ref="G1:N1"/>
    <mergeCell ref="G2:N2"/>
    <mergeCell ref="G4:N4"/>
    <mergeCell ref="G5:N5"/>
    <mergeCell ref="G6:N6"/>
    <mergeCell ref="G3:N3"/>
    <mergeCell ref="B13:B15"/>
    <mergeCell ref="L340:M340"/>
    <mergeCell ref="A13:A15"/>
    <mergeCell ref="H13:H15"/>
    <mergeCell ref="I340:K340"/>
    <mergeCell ref="L13:L15"/>
    <mergeCell ref="A338:E338"/>
    <mergeCell ref="L338:M338"/>
    <mergeCell ref="C13:C15"/>
    <mergeCell ref="K13:K15"/>
    <mergeCell ref="N13:N15"/>
    <mergeCell ref="I9:M9"/>
    <mergeCell ref="I13:I15"/>
    <mergeCell ref="J13:J15"/>
    <mergeCell ref="G13:G15"/>
    <mergeCell ref="D13:D15"/>
    <mergeCell ref="M13:M15"/>
    <mergeCell ref="D10:N10"/>
    <mergeCell ref="D11:N11"/>
    <mergeCell ref="I8:M8"/>
    <mergeCell ref="F13:F15"/>
    <mergeCell ref="E13:E15"/>
  </mergeCells>
  <printOptions horizontalCentered="1"/>
  <pageMargins left="0.3937007874015748" right="0.3937007874015748" top="1.1811023622047245" bottom="0.3937007874015748" header="0.1968503937007874" footer="0.03937007874015748"/>
  <pageSetup firstPageNumber="3" useFirstPageNumber="1" fitToHeight="26" fitToWidth="1" horizontalDpi="600" verticalDpi="600" orientation="landscape" paperSize="9" scale="54" r:id="rId1"/>
  <rowBreaks count="1" manualBreakCount="1"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2018-11-29T17:39:07Z</cp:lastPrinted>
  <dcterms:created xsi:type="dcterms:W3CDTF">2014-01-17T10:52:16Z</dcterms:created>
  <dcterms:modified xsi:type="dcterms:W3CDTF">2018-11-29T17:43:45Z</dcterms:modified>
  <cp:category/>
  <cp:version/>
  <cp:contentType/>
  <cp:contentStatus/>
</cp:coreProperties>
</file>