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20" windowWidth="9300" windowHeight="3435" tabRatio="0" activeTab="1"/>
  </bookViews>
  <sheets>
    <sheet name="Диаграмма1" sheetId="1" r:id="rId1"/>
    <sheet name="Sheet1" sheetId="2" r:id="rId2"/>
  </sheets>
  <definedNames>
    <definedName name="_xlnm.Print_Area" localSheetId="1">'Sheet1'!$A$1:$P$661</definedName>
  </definedNames>
  <calcPr fullCalcOnLoad="1"/>
</workbook>
</file>

<file path=xl/sharedStrings.xml><?xml version="1.0" encoding="utf-8"?>
<sst xmlns="http://schemas.openxmlformats.org/spreadsheetml/2006/main" count="669" uniqueCount="441">
  <si>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</si>
  <si>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</si>
  <si>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</si>
  <si>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</si>
  <si>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</si>
  <si>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</si>
  <si>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</si>
  <si>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</si>
  <si>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</si>
  <si>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</si>
  <si>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</si>
  <si>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</si>
  <si>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</si>
  <si>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</si>
  <si>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</si>
  <si>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</si>
  <si>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</si>
  <si>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</si>
  <si>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</si>
  <si>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</si>
  <si>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</si>
  <si>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</si>
  <si>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</si>
  <si>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</si>
  <si>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</si>
  <si>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</si>
  <si>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</si>
  <si>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</si>
  <si>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</si>
  <si>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</si>
  <si>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</si>
  <si>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</si>
  <si>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</si>
  <si>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</si>
  <si>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</si>
  <si>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</si>
  <si>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</si>
  <si>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</si>
  <si>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</si>
  <si>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</si>
  <si>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</si>
  <si>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</si>
  <si>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</si>
  <si>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</si>
  <si>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</si>
  <si>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</si>
  <si>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</si>
  <si>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</si>
  <si>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</si>
  <si>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</si>
  <si>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</si>
  <si>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</si>
  <si>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</si>
  <si>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</si>
  <si>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</si>
  <si>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</si>
  <si>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</si>
  <si>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</si>
  <si>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</si>
  <si>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</si>
  <si>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</si>
  <si>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</si>
  <si>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</si>
  <si>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</si>
  <si>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</si>
  <si>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</si>
  <si>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</si>
  <si>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</si>
  <si>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</si>
  <si>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</si>
  <si>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</si>
  <si>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</si>
  <si>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</si>
  <si>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</si>
  <si>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</si>
  <si>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</si>
  <si>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</si>
  <si>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</si>
  <si>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</si>
  <si>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</si>
  <si>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</si>
  <si>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</si>
  <si>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</si>
  <si>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</si>
  <si>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</si>
  <si>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</si>
  <si>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</si>
  <si>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</si>
  <si>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</si>
  <si>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</si>
  <si>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</si>
  <si>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</si>
  <si>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</si>
  <si>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</si>
  <si>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</si>
  <si>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</si>
  <si>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</si>
  <si>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</si>
  <si>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</si>
  <si>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</si>
  <si>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</si>
  <si>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</si>
  <si>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</si>
  <si>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</si>
  <si>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</si>
  <si>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</si>
  <si>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</si>
  <si>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</si>
  <si>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</si>
  <si>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</si>
  <si>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</si>
  <si>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</si>
  <si>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</si>
  <si>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</si>
  <si>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</si>
  <si>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</si>
  <si>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</si>
  <si>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</si>
  <si>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</si>
  <si>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</si>
  <si>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</si>
  <si>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</si>
  <si>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</si>
  <si>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</si>
  <si>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</si>
  <si>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</si>
  <si>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</si>
  <si>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</si>
  <si>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</si>
  <si>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</si>
  <si>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</si>
  <si>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</si>
  <si>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</si>
  <si>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</si>
  <si>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</si>
  <si>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</si>
  <si>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</si>
  <si>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</si>
  <si>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</si>
  <si>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</si>
  <si>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</si>
  <si>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</si>
  <si>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</si>
  <si>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</si>
  <si>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</si>
  <si>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</si>
  <si>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</si>
  <si>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</si>
  <si>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</si>
  <si>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</si>
  <si>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</si>
  <si>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</si>
  <si>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</si>
  <si>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</si>
  <si>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</si>
  <si>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</si>
  <si>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</si>
  <si>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</si>
  <si>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</si>
  <si>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</si>
  <si>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</si>
  <si>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</si>
  <si>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</si>
  <si>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</si>
  <si>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</si>
  <si>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</si>
  <si>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</si>
  <si>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</si>
  <si>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</si>
  <si>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</si>
  <si>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</si>
  <si>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</si>
  <si>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</si>
  <si>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</si>
  <si>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</si>
  <si>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</si>
  <si>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</si>
  <si>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</si>
  <si>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</si>
  <si>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</si>
  <si>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</si>
  <si>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</si>
  <si>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</si>
  <si>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</si>
  <si>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</si>
  <si>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</si>
  <si>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</si>
  <si>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</si>
  <si>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</si>
  <si>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</si>
  <si>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</si>
  <si>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</si>
  <si>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</si>
  <si>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</si>
  <si>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</si>
  <si>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</si>
  <si>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</si>
  <si>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</si>
  <si>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</si>
  <si>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</si>
  <si>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</si>
  <si>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</si>
  <si>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</si>
  <si>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</si>
  <si>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</si>
  <si>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</si>
  <si>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</si>
  <si>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</si>
  <si>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</si>
  <si>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</si>
  <si>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</si>
  <si>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</si>
  <si>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</si>
  <si>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</si>
  <si>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</si>
  <si>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</si>
  <si>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</si>
  <si>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</si>
  <si>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</si>
  <si>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</si>
  <si>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</si>
  <si>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</si>
  <si>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</si>
  <si>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</si>
  <si>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</si>
  <si>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</si>
  <si>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</si>
  <si>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</si>
  <si>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</si>
  <si>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</si>
  <si>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</si>
  <si>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</si>
  <si>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</si>
  <si>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</si>
  <si>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</si>
  <si>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</si>
  <si>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</si>
  <si>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</si>
  <si>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</si>
  <si>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</si>
  <si>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</si>
  <si>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</si>
  <si>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</si>
  <si>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</si>
  <si>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</si>
  <si>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</si>
  <si>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</si>
  <si>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</si>
  <si>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</si>
  <si>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</si>
  <si>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</si>
  <si>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</si>
  <si>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</si>
  <si>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</si>
  <si>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</si>
  <si>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</si>
  <si>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</si>
  <si>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</si>
  <si>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</si>
  <si>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</si>
  <si>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</si>
  <si>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</si>
  <si>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</si>
  <si>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</si>
  <si>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</si>
  <si>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</si>
  <si>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</si>
  <si>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</si>
  <si>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</si>
  <si>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</si>
  <si>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</si>
  <si>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</si>
  <si>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</si>
  <si>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</si>
  <si>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</si>
  <si>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</si>
  <si>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</si>
  <si>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</si>
  <si>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</si>
  <si>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</si>
  <si>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</si>
  <si>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</si>
  <si>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</si>
  <si>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</si>
  <si>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</si>
  <si>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</si>
  <si>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</si>
  <si>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</si>
  <si>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</si>
  <si>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</si>
  <si>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</si>
  <si>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</si>
  <si>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</si>
  <si>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</si>
  <si>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</si>
  <si>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</si>
  <si>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</si>
  <si>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</si>
  <si>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</si>
  <si>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</si>
  <si>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</si>
  <si>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</si>
  <si>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</si>
  <si>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</si>
  <si>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</si>
  <si>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</si>
  <si>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</si>
  <si>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</si>
  <si>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</si>
  <si>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</si>
  <si>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</si>
  <si>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</si>
  <si>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</si>
  <si>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</si>
  <si>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</si>
  <si>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</si>
  <si>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</si>
  <si>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</si>
  <si>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</si>
  <si>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</si>
  <si>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</si>
  <si>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</si>
  <si>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</si>
  <si>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</si>
  <si>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</si>
  <si>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</si>
  <si>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</si>
  <si>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</si>
  <si>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</si>
  <si>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</si>
  <si>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</si>
  <si>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</si>
  <si>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</si>
  <si>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</si>
  <si>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</si>
  <si>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</si>
  <si>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</si>
  <si>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</si>
  <si>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</si>
  <si>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</si>
  <si>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</si>
  <si>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</si>
  <si>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</si>
  <si>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</si>
  <si>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</si>
  <si>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</si>
  <si>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</si>
  <si>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</si>
  <si>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</si>
  <si>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</si>
  <si>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</si>
  <si>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</si>
  <si>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</si>
  <si>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</si>
  <si>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</si>
  <si>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</si>
  <si>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</si>
  <si>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</si>
  <si>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</si>
  <si>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</si>
  <si>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</si>
  <si>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Виконавець: Яременко Г.І.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</si>
  <si>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</si>
  <si>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</si>
  <si>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</si>
  <si>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</si>
  <si>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</si>
  <si>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</si>
  <si>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</si>
  <si>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</si>
  <si>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</si>
  <si>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</si>
  <si>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</si>
  <si>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</si>
  <si>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</si>
  <si>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</si>
  <si>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</si>
  <si>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</si>
  <si>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</si>
  <si>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</si>
  <si>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</si>
  <si>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</si>
  <si>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</si>
  <si>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</si>
  <si>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</si>
  <si>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</si>
  <si>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</si>
  <si>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</si>
  <si>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</si>
  <si>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</si>
  <si>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</si>
  <si>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</si>
  <si>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</si>
  <si>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</si>
  <si>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</si>
  <si>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</si>
  <si>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</si>
  <si>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</si>
  <si>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</si>
  <si>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 xml:space="preserve">  Завдання: 23. Демонтаж  рекламних засобів, розміщених самовільно та з порушенням порядку розміщення зовнішньої реклами</t>
  </si>
  <si>
    <t xml:space="preserve">  Завдання: 24.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</si>
  <si>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25.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</si>
  <si>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26. Забезпечення постачання природного газу монументу "Вічна Слава"</t>
  </si>
  <si>
    <t xml:space="preserve">  Завдання: 27.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</si>
  <si>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28.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</si>
  <si>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29. Забезпечення функціонування об'єктів житлово-комунального господарства</t>
  </si>
  <si>
    <t xml:space="preserve">  Завдання: 30.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</si>
  <si>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30.1 Забезпечення охорони  водозаборів  та очисних споруд, охорона КНС за адресою по вул. Привокзальна,4/13</t>
  </si>
  <si>
    <t xml:space="preserve">  Завдання: 30.2 Фінансова підтримка (оплата заборгованності з електроенергію)</t>
  </si>
  <si>
    <t xml:space="preserve">  Завдання: 31. Розробка нормативів питного водопостачання для населення м. Суми </t>
  </si>
  <si>
    <t xml:space="preserve">  Завдання: 32. Вимоги пожежної безпеки</t>
  </si>
  <si>
    <t>Завдання: 33. Придбання водопровідних та каналізаційних люків</t>
  </si>
  <si>
    <t>Завдання: 34. Проведення капітального та поточного ремонту колекторів та каналізаційних мереж, технічне обслуговуавння</t>
  </si>
  <si>
    <t>Завдання: 35. Виконання геофізичного дослідження свердловин</t>
  </si>
  <si>
    <t xml:space="preserve">Завдання: 36.Капітальний ремонт по підключенню будинків №103-Б та №105 по вул. Харківській до мереж міської каналізації </t>
  </si>
  <si>
    <t>Завдання: 37. Розробка схеми оптимізації роботи системи централізованого водопостачання та водовідведення міста Суми 2018-2020 роки</t>
  </si>
  <si>
    <t>Завдання: 38. Капітальний ремонт  діючого  каналізаційного самотічного колектора Д 500 мм по вул.Ремісничій в м. Суми</t>
  </si>
  <si>
    <t xml:space="preserve">Завдання: 39. Виготовлення електронної карти ливневої каналізаційної мережі м.Суми </t>
  </si>
  <si>
    <t xml:space="preserve"> КПКВК 6030, 7691, 7462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</si>
  <si>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</si>
  <si>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</si>
  <si>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</si>
  <si>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Завдання: 22.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</si>
  <si>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</si>
  <si>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</si>
  <si>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Завдання: 49. Повернення бюджетних позичок на поворотній основі</t>
  </si>
  <si>
    <t>Додаток 6</t>
  </si>
  <si>
    <t>Завдання: 40. Впровадження Автоматичної системи комерційного оьліку електроенергії (АСКОЕ)</t>
  </si>
  <si>
    <t>Завдання: 41. Впровадження енергозберігаючих заходів</t>
  </si>
  <si>
    <t>Завдання: 41.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</si>
  <si>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41.2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</si>
  <si>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42. Забезпечення зміцнення матеріально-технічної бази підприємств комунальної форми власності</t>
  </si>
  <si>
    <t xml:space="preserve">  Завдання: 43. Створення сприятливих умов проживання населення та забезпечення надання життєво необхідних послуг</t>
  </si>
  <si>
    <t xml:space="preserve"> Завдання: 44. Встановлення вузлів  комерційного обліку </t>
  </si>
  <si>
    <t xml:space="preserve">  Завдання: 45. Забезпечення надійного та безперебійного функціонування житлово-експлуатаційного господарства</t>
  </si>
  <si>
    <t xml:space="preserve">  Завдання: 46. Організація та проведення громадських робіт</t>
  </si>
  <si>
    <t xml:space="preserve">  Завдання: 47.Заходи з будівництва, реставрації  та реконструкції</t>
  </si>
  <si>
    <t xml:space="preserve">  Завдання: 48.Здійснення заходів із землеустрою </t>
  </si>
  <si>
    <t xml:space="preserve">  Завдання: 50. Повернення бюджетних позичок на поворотній основі</t>
  </si>
  <si>
    <t xml:space="preserve">  Завдання: 51. Надання бюджетних позичок на поворотній основі</t>
  </si>
  <si>
    <t xml:space="preserve">від 28 листопада 2018 року № 4144-МР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</si>
</sst>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23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58"/>
  <sheetViews>
    <sheetView tabSelected="1" view="pageBreakPreview" zoomScaleNormal="85" zoomScaleSheetLayoutView="100" workbookViewId="0" topLeftCell="A2">
      <selection activeCell="J10" sqref="J10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3" ht="18.75">
      <c r="A2" s="112"/>
      <c r="B2" s="112"/>
      <c r="C2" s="112"/>
      <c r="D2" s="118"/>
      <c r="E2" s="118"/>
      <c r="F2" s="118"/>
      <c r="G2" s="118"/>
      <c r="H2" s="118"/>
      <c r="I2" s="118"/>
      <c r="J2" s="176" t="s">
        <v>426</v>
      </c>
      <c r="K2" s="176"/>
      <c r="L2" s="176"/>
      <c r="M2" s="118"/>
    </row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18" t="s">
        <v>356</v>
      </c>
      <c r="K3" s="118"/>
      <c r="L3" s="118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283</v>
      </c>
      <c r="K4" s="118"/>
      <c r="L4" s="118"/>
      <c r="M4" s="118"/>
    </row>
    <row r="5" spans="1:13" ht="18.75">
      <c r="A5" s="120"/>
      <c r="B5" s="120"/>
      <c r="C5" s="120"/>
      <c r="D5" s="121"/>
      <c r="E5" s="121"/>
      <c r="F5" s="121"/>
      <c r="G5" s="121"/>
      <c r="H5" s="121"/>
      <c r="I5" s="121"/>
      <c r="J5" s="118" t="s">
        <v>42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55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284</v>
      </c>
      <c r="K7" s="118"/>
      <c r="L7" s="118"/>
      <c r="M7" s="118"/>
    </row>
    <row r="8" spans="1:16" ht="33.75" customHeight="1">
      <c r="A8" s="120"/>
      <c r="B8" s="120"/>
      <c r="C8" s="120"/>
      <c r="D8" s="121"/>
      <c r="E8" s="121"/>
      <c r="F8" s="121"/>
      <c r="G8" s="121"/>
      <c r="H8" s="121"/>
      <c r="I8" s="121"/>
      <c r="J8" s="174" t="s">
        <v>362</v>
      </c>
      <c r="K8" s="174"/>
      <c r="L8" s="174"/>
      <c r="M8" s="174"/>
      <c r="N8" s="174"/>
      <c r="O8" s="174"/>
      <c r="P8" s="174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440</v>
      </c>
      <c r="K9" s="118"/>
      <c r="L9" s="118"/>
      <c r="M9" s="11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7" t="s">
        <v>277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6.5" customHeight="1">
      <c r="A13" s="122"/>
      <c r="B13" s="122"/>
      <c r="C13" s="122"/>
      <c r="D13" s="123"/>
      <c r="E13" s="123"/>
      <c r="F13" s="175" t="s">
        <v>278</v>
      </c>
      <c r="G13" s="175"/>
      <c r="H13" s="123"/>
      <c r="I13" s="123"/>
      <c r="J13" s="118"/>
      <c r="K13" s="123"/>
      <c r="L13" s="118"/>
      <c r="M13" s="118"/>
      <c r="N13" s="118"/>
      <c r="O13" s="118"/>
      <c r="P13" s="123" t="s">
        <v>39</v>
      </c>
    </row>
    <row r="14" spans="1:241" ht="11.25" customHeight="1">
      <c r="A14" s="160">
        <v>145767870</v>
      </c>
      <c r="B14" s="160" t="s">
        <v>34</v>
      </c>
      <c r="C14" s="160" t="s">
        <v>35</v>
      </c>
      <c r="D14" s="170" t="s">
        <v>210</v>
      </c>
      <c r="E14" s="171"/>
      <c r="F14" s="172"/>
      <c r="G14" s="165" t="s">
        <v>211</v>
      </c>
      <c r="H14" s="165"/>
      <c r="I14" s="165"/>
      <c r="J14" s="165"/>
      <c r="K14" s="33"/>
      <c r="L14" s="33"/>
      <c r="M14" s="33"/>
      <c r="N14" s="170" t="s">
        <v>212</v>
      </c>
      <c r="O14" s="171"/>
      <c r="P14" s="172"/>
      <c r="IB14" s="25"/>
      <c r="IC14" s="25"/>
      <c r="ID14" s="25"/>
      <c r="IE14" s="25"/>
      <c r="IF14" s="25"/>
      <c r="IG14" s="25"/>
    </row>
    <row r="15" spans="1:241" ht="12" customHeight="1">
      <c r="A15" s="161"/>
      <c r="B15" s="161"/>
      <c r="C15" s="161"/>
      <c r="D15" s="163" t="s">
        <v>36</v>
      </c>
      <c r="E15" s="164"/>
      <c r="F15" s="168" t="s">
        <v>26</v>
      </c>
      <c r="G15" s="173" t="s">
        <v>36</v>
      </c>
      <c r="H15" s="173"/>
      <c r="I15" s="173"/>
      <c r="J15" s="165" t="s">
        <v>26</v>
      </c>
      <c r="K15" s="170" t="s">
        <v>25</v>
      </c>
      <c r="L15" s="171"/>
      <c r="M15" s="172"/>
      <c r="N15" s="163" t="s">
        <v>36</v>
      </c>
      <c r="O15" s="164"/>
      <c r="P15" s="168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2"/>
      <c r="B16" s="162"/>
      <c r="C16" s="162"/>
      <c r="D16" s="33" t="s">
        <v>0</v>
      </c>
      <c r="E16" s="33" t="s">
        <v>1</v>
      </c>
      <c r="F16" s="169"/>
      <c r="G16" s="33" t="s">
        <v>0</v>
      </c>
      <c r="H16" s="33" t="s">
        <v>1</v>
      </c>
      <c r="I16" s="33" t="s">
        <v>187</v>
      </c>
      <c r="J16" s="165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9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SUM(D23)+D294+D333+D441+D450+D540+D558+D567+D576+D586+D596+D604+D617+D626+D644</f>
        <v>157041200.00291747</v>
      </c>
      <c r="E18" s="33">
        <f>SUM(E23)+E294+E333+E441+E450+E540+E558+E567+E576+E586+E596+E604+E617+E626+E644</f>
        <v>476071837.999755</v>
      </c>
      <c r="F18" s="33">
        <f>SUM(D18:E18)</f>
        <v>633113038.0026724</v>
      </c>
      <c r="G18" s="33">
        <f>SUM(G23)+G294+G333+G441+G450+G540+G558+G567+G576+G586+G596+G604+G617+G626+G644</f>
        <v>175236200.4057965</v>
      </c>
      <c r="H18" s="33">
        <f>SUM(H23)+H294+H333+H441+H450+H540+H558+H567+H576+H586+H596+H604+H617+H626+H635+H644</f>
        <v>360627410.597462</v>
      </c>
      <c r="I18" s="33" t="e">
        <f>SUM(I23)+I294+I333+I441+I450+I540+I558+I567+I576+I586+I596+I604+I617+I626+I644</f>
        <v>#REF!</v>
      </c>
      <c r="J18" s="33">
        <f>SUM(G18)+H18</f>
        <v>535863611.00325847</v>
      </c>
      <c r="K18" s="33" t="e">
        <f aca="true" t="shared" si="0" ref="K18:P18">SUM(K23)+K294+K333+K441+K450+K540+K558+K567+K576+K586+K596+K604+K617+K626+K644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191973399.99989998</v>
      </c>
      <c r="F19" s="33">
        <f>F24</f>
        <v>316973399.9998491</v>
      </c>
      <c r="G19" s="33">
        <f>G24</f>
        <v>139359999.9999605</v>
      </c>
      <c r="H19" s="33">
        <f>H24</f>
        <v>167231999.99964452</v>
      </c>
      <c r="I19" s="33">
        <f aca="true" t="shared" si="1" ref="I19:P19">I24</f>
        <v>-2000000</v>
      </c>
      <c r="J19" s="33">
        <f>SUM(G19)+H19</f>
        <v>306591999.99960506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189</v>
      </c>
      <c r="B20" s="32"/>
      <c r="C20" s="32"/>
      <c r="D20" s="33">
        <f aca="true" t="shared" si="2" ref="D20:I20">D334</f>
        <v>462380.003</v>
      </c>
      <c r="E20" s="33">
        <f t="shared" si="2"/>
        <v>692840</v>
      </c>
      <c r="F20" s="33">
        <f>F334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K334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282503580.0058666</v>
      </c>
      <c r="E21" s="33">
        <f aca="true" t="shared" si="4" ref="E21:Q21">E18+E19+E20</f>
        <v>668738077.999655</v>
      </c>
      <c r="F21" s="33">
        <f t="shared" si="4"/>
        <v>951241658.0055215</v>
      </c>
      <c r="G21" s="33">
        <f>G18+G19+G20</f>
        <v>315031455.405757</v>
      </c>
      <c r="H21" s="33">
        <f>H18+H19+H20</f>
        <v>528602010.5971065</v>
      </c>
      <c r="I21" s="33" t="e">
        <f t="shared" si="4"/>
        <v>#REF!</v>
      </c>
      <c r="J21" s="33">
        <f t="shared" si="4"/>
        <v>843633466.0028635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418</v>
      </c>
      <c r="B22" s="141"/>
      <c r="C22" s="141"/>
      <c r="D22" s="142">
        <f>D23+D24</f>
        <v>242045100.0028672</v>
      </c>
      <c r="E22" s="142">
        <f>E23+E24</f>
        <v>285331732.999655</v>
      </c>
      <c r="F22" s="142">
        <f>F23+F24</f>
        <v>527376833.0025222</v>
      </c>
      <c r="G22" s="142">
        <f aca="true" t="shared" si="5" ref="G22:P22">G23+G24</f>
        <v>263119200.00575703</v>
      </c>
      <c r="H22" s="142">
        <f>H23+H24</f>
        <v>272542030.5996065</v>
      </c>
      <c r="I22" s="142">
        <f t="shared" si="5"/>
        <v>-2000000</v>
      </c>
      <c r="J22" s="142">
        <f>J23+J24</f>
        <v>535661230.60536355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SUM(D48)+D76+(D91*D94)+D98+D140+D166+D220+D244+D266+D287+D279+2000000</f>
        <v>117045100.0029181</v>
      </c>
      <c r="E23" s="142">
        <f>SUM(E48)+E76+(E91*E94)+E98+E140+E166+E220+E244+E266+E287+E279</f>
        <v>93358332.999755</v>
      </c>
      <c r="F23" s="142">
        <f>D23+E23</f>
        <v>210403433.0026731</v>
      </c>
      <c r="G23" s="142">
        <f>SUM(G48)+G76+(G91*G94)+G98+G140+G166+G220+G244+G266+G287+G279</f>
        <v>123759200.0057965</v>
      </c>
      <c r="H23" s="142">
        <f>SUM(H48)+H76+(H91*H94)+H98+H140+H166+H220+H244+H266+H287+H279</f>
        <v>105310030.599962</v>
      </c>
      <c r="I23" s="142">
        <f>I48+I76+I85+I98+I140+I166+I220+I244+I266+I279+I287</f>
        <v>0</v>
      </c>
      <c r="J23" s="142">
        <f>G23+H23</f>
        <v>229069230.6057585</v>
      </c>
      <c r="K23" s="142" t="e">
        <f>K48+K76+K85+K98+K140+K166+K220+K244+K266+K279+K287</f>
        <v>#REF!</v>
      </c>
      <c r="L23" s="142" t="e">
        <f>L48+L76+L85+L98+L140+L166+L220+L244+L266+L279+L287</f>
        <v>#REF!</v>
      </c>
      <c r="M23" s="142" t="e">
        <f>M48+M76+M85+M98+M140+M166+M220+M244+M266+M279+M287</f>
        <v>#REF!</v>
      </c>
      <c r="N23" s="142">
        <f>SUM(N48)+N76+(N91*N94)+N98+N140+N166+N220+N244+N266+N287+N279</f>
        <v>126459000.00102262</v>
      </c>
      <c r="O23" s="142">
        <f>SUM(O48)+O76+(O91*O94)+O98+O140+O166+O220+O244+O266+O287+O213+O279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191973399.99989998</v>
      </c>
      <c r="F24" s="142">
        <f>SUM(D24)+E24</f>
        <v>316973399.9998491</v>
      </c>
      <c r="G24" s="142">
        <f>SUM(G25)+G34+G57+G112</f>
        <v>139359999.9999605</v>
      </c>
      <c r="H24" s="142">
        <f>SUM(H25)+H34+H57+H112+(H90*H93)</f>
        <v>167231999.99964452</v>
      </c>
      <c r="I24" s="142">
        <f>I25+I34+I57+I105+I112-2000000</f>
        <v>-2000000</v>
      </c>
      <c r="J24" s="142">
        <f>G24+H24</f>
        <v>306591999.99960506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</f>
        <v>50073400</v>
      </c>
      <c r="F25" s="36">
        <f>SUM(D25)+E25</f>
        <v>50073400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326646800.0008291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 t="shared" si="6"/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21.75" customHeight="1">
      <c r="A43" s="8" t="s">
        <v>377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35.25" customHeight="1">
      <c r="A48" s="34" t="s">
        <v>378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1050000</v>
      </c>
      <c r="H48" s="36">
        <f>H52*H54</f>
        <v>17050000.200000003</v>
      </c>
      <c r="I48" s="36"/>
      <c r="J48" s="36">
        <f>G48+H48</f>
        <v>18100000.200000003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205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2</v>
      </c>
      <c r="H50" s="7">
        <v>3</v>
      </c>
      <c r="I50" s="7"/>
      <c r="J50" s="7">
        <f>G50+H50</f>
        <v>5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206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1</v>
      </c>
      <c r="H52" s="7">
        <v>3</v>
      </c>
      <c r="I52" s="7"/>
      <c r="J52" s="7">
        <f>G52+H52</f>
        <v>4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191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f>400000+650000</f>
        <v>1050000</v>
      </c>
      <c r="H54" s="7">
        <v>5683333.4</v>
      </c>
      <c r="I54" s="7"/>
      <c r="J54" s="7">
        <f>G54+H54</f>
        <v>6733333.4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207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0.5</v>
      </c>
      <c r="H56" s="7">
        <f>H52/H50</f>
        <v>1</v>
      </c>
      <c r="I56" s="7"/>
      <c r="J56" s="7">
        <f>J52/J50*100</f>
        <v>80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37.5" customHeight="1">
      <c r="A57" s="34" t="s">
        <v>379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</f>
        <v>43480299.99999766</v>
      </c>
      <c r="H57" s="36"/>
      <c r="I57" s="36"/>
      <c r="J57" s="36">
        <f>G57</f>
        <v>43480299.99999766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33.1823349091</v>
      </c>
      <c r="H63" s="7"/>
      <c r="I63" s="7"/>
      <c r="J63" s="7">
        <f>G63</f>
        <v>33.1823349091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280</v>
      </c>
      <c r="B67" s="6"/>
      <c r="C67" s="6"/>
      <c r="D67" s="7">
        <v>446550</v>
      </c>
      <c r="E67" s="7"/>
      <c r="F67" s="7">
        <v>446550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279</v>
      </c>
      <c r="B69" s="6"/>
      <c r="C69" s="6"/>
      <c r="D69" s="7">
        <v>446550</v>
      </c>
      <c r="E69" s="7"/>
      <c r="F69" s="7">
        <v>446550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380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</f>
        <v>7999999.999499999</v>
      </c>
      <c r="H76" s="36"/>
      <c r="I76" s="36"/>
      <c r="J76" s="36">
        <f>G76+H76</f>
        <v>7999999.999499999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234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7999999.999499999</v>
      </c>
      <c r="H78" s="7"/>
      <c r="I78" s="7"/>
      <c r="J78" s="7">
        <f>G78</f>
        <v>7999999.999499999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10666.666666</v>
      </c>
      <c r="H80" s="7"/>
      <c r="I80" s="7"/>
      <c r="J80" s="7">
        <f>G80</f>
        <v>10666.666666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0.13333333333333336</v>
      </c>
      <c r="H84" s="7"/>
      <c r="I84" s="7"/>
      <c r="J84" s="7">
        <f>J80/J78*100</f>
        <v>0.13333333333333336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381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141487999.99962872</v>
      </c>
      <c r="I85" s="36"/>
      <c r="J85" s="36">
        <f>H85</f>
        <v>141487999.99962872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v>58823.5294117</v>
      </c>
      <c r="I91" s="7"/>
      <c r="J91" s="7">
        <f>H91</f>
        <v>58823.5294117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77.39938080486843</v>
      </c>
      <c r="I97" s="7"/>
      <c r="J97" s="7">
        <f t="shared" si="11"/>
        <v>77.39938080486843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382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383</v>
      </c>
      <c r="B105" s="35"/>
      <c r="C105" s="35"/>
      <c r="D105" s="36"/>
      <c r="E105" s="36">
        <f>E109*E111</f>
        <v>73400</v>
      </c>
      <c r="F105" s="36">
        <f>E105</f>
        <v>73400</v>
      </c>
      <c r="G105" s="36"/>
      <c r="H105" s="36">
        <f>H109*H111</f>
        <v>0</v>
      </c>
      <c r="I105" s="36"/>
      <c r="J105" s="36">
        <f>H105</f>
        <v>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326</v>
      </c>
      <c r="B107" s="6"/>
      <c r="C107" s="6"/>
      <c r="D107" s="7"/>
      <c r="E107" s="7">
        <v>73400</v>
      </c>
      <c r="F107" s="36">
        <f>E107</f>
        <v>73400</v>
      </c>
      <c r="G107" s="7"/>
      <c r="H107" s="7">
        <v>0</v>
      </c>
      <c r="I107" s="7"/>
      <c r="J107" s="36">
        <f>H107</f>
        <v>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327</v>
      </c>
      <c r="B109" s="6"/>
      <c r="C109" s="6"/>
      <c r="D109" s="7"/>
      <c r="E109" s="7">
        <v>1</v>
      </c>
      <c r="F109" s="36">
        <f>E109</f>
        <v>1</v>
      </c>
      <c r="G109" s="7"/>
      <c r="H109" s="7">
        <v>0</v>
      </c>
      <c r="I109" s="7"/>
      <c r="J109" s="36">
        <f>H109</f>
        <v>0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328</v>
      </c>
      <c r="B111" s="6"/>
      <c r="C111" s="6"/>
      <c r="D111" s="7"/>
      <c r="E111" s="7">
        <v>73400</v>
      </c>
      <c r="F111" s="36">
        <f>E111</f>
        <v>73400</v>
      </c>
      <c r="G111" s="7"/>
      <c r="H111" s="7"/>
      <c r="I111" s="7"/>
      <c r="J111" s="36">
        <f>H111</f>
        <v>0</v>
      </c>
      <c r="K111" s="36">
        <f aca="true" t="shared" si="12" ref="K111:P111">I111</f>
        <v>0</v>
      </c>
      <c r="L111" s="36">
        <f t="shared" si="12"/>
        <v>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384</v>
      </c>
      <c r="B112" s="35"/>
      <c r="C112" s="35"/>
      <c r="D112" s="36">
        <f>(D120*D127)+(D121*D128)+(D122*D129)+(D123*D130)+(D124*D131)+(D132*D121*D133)-10</f>
        <v>8110000</v>
      </c>
      <c r="E112" s="36">
        <f aca="true" t="shared" si="13" ref="E112:O112">(E120*E127)+(E121*E128)+(E122*E129)+(E123*E130)+(E124*E131)+(E132*E121*E133)</f>
        <v>0</v>
      </c>
      <c r="F112" s="36">
        <f>D112+E112</f>
        <v>8110000</v>
      </c>
      <c r="G112" s="36">
        <f>(G120*G127)+(G121*G128)+(G122*G129)+(G123*G130)+(G124*G131)+(G132*G121*G133)-61.6</f>
        <v>9041700.000000002</v>
      </c>
      <c r="H112" s="36">
        <f t="shared" si="13"/>
        <v>0</v>
      </c>
      <c r="I112" s="36"/>
      <c r="J112" s="36">
        <f>G112+H112</f>
        <v>9041700.000000002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(N120*N127)+(N121*N128)+(N122*N129)+(N123*N130)+(N124*N131)+(N132*N121*N133)-15.8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39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11.25">
      <c r="A125" s="5" t="s">
        <v>7</v>
      </c>
      <c r="B125" s="37"/>
      <c r="C125" s="37"/>
      <c r="D125" s="7"/>
      <c r="E125" s="7"/>
      <c r="F125" s="7">
        <f t="shared" si="14"/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22.5" customHeight="1">
      <c r="A126" s="8" t="s">
        <v>16</v>
      </c>
      <c r="B126" s="6"/>
      <c r="C126" s="6"/>
      <c r="D126" s="7">
        <v>500000</v>
      </c>
      <c r="E126" s="7"/>
      <c r="F126" s="7">
        <f t="shared" si="14"/>
        <v>500000</v>
      </c>
      <c r="G126" s="7">
        <v>557400</v>
      </c>
      <c r="H126" s="7"/>
      <c r="I126" s="7"/>
      <c r="J126" s="7">
        <f>G126</f>
        <v>557400</v>
      </c>
      <c r="K126" s="7"/>
      <c r="L126" s="7"/>
      <c r="M126" s="7"/>
      <c r="N126" s="7">
        <v>586210</v>
      </c>
      <c r="O126" s="7"/>
      <c r="P126" s="7">
        <f>N126</f>
        <v>586210</v>
      </c>
      <c r="IB126" s="53"/>
      <c r="IC126" s="53"/>
      <c r="ID126" s="53"/>
      <c r="IE126" s="53"/>
      <c r="IF126" s="53"/>
      <c r="IG126" s="53"/>
    </row>
    <row r="127" spans="1:241" s="25" customFormat="1" ht="27" customHeight="1">
      <c r="A127" s="8" t="s">
        <v>65</v>
      </c>
      <c r="B127" s="6"/>
      <c r="C127" s="6"/>
      <c r="D127" s="7"/>
      <c r="E127" s="7"/>
      <c r="F127" s="7">
        <f t="shared" si="14"/>
        <v>0</v>
      </c>
      <c r="G127" s="7"/>
      <c r="H127" s="7"/>
      <c r="I127" s="7"/>
      <c r="J127" s="7">
        <f>G127</f>
        <v>0</v>
      </c>
      <c r="K127" s="7"/>
      <c r="L127" s="7"/>
      <c r="M127" s="7"/>
      <c r="N127" s="7"/>
      <c r="O127" s="7"/>
      <c r="P127" s="7">
        <f>N127</f>
        <v>0</v>
      </c>
      <c r="IB127" s="53"/>
      <c r="IC127" s="53"/>
      <c r="ID127" s="53"/>
      <c r="IE127" s="53"/>
      <c r="IF127" s="53"/>
      <c r="IG127" s="53"/>
    </row>
    <row r="128" spans="1:241" s="25" customFormat="1" ht="22.5">
      <c r="A128" s="8" t="s">
        <v>66</v>
      </c>
      <c r="B128" s="6"/>
      <c r="C128" s="6"/>
      <c r="D128" s="7">
        <v>18795</v>
      </c>
      <c r="E128" s="7"/>
      <c r="F128" s="7">
        <f t="shared" si="14"/>
        <v>18795</v>
      </c>
      <c r="G128" s="7">
        <v>24723</v>
      </c>
      <c r="H128" s="7"/>
      <c r="I128" s="7"/>
      <c r="J128" s="7">
        <f aca="true" t="shared" si="15" ref="J128:J133">G128</f>
        <v>24723</v>
      </c>
      <c r="K128" s="7"/>
      <c r="L128" s="7"/>
      <c r="M128" s="7"/>
      <c r="N128" s="7">
        <v>25586</v>
      </c>
      <c r="O128" s="7"/>
      <c r="P128" s="7">
        <f aca="true" t="shared" si="16" ref="P128:P133">N128</f>
        <v>25586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28</v>
      </c>
      <c r="B129" s="6"/>
      <c r="C129" s="6"/>
      <c r="D129" s="7">
        <v>1500</v>
      </c>
      <c r="E129" s="7"/>
      <c r="F129" s="7">
        <f>D129</f>
        <v>1500</v>
      </c>
      <c r="G129" s="7">
        <v>1672</v>
      </c>
      <c r="H129" s="7"/>
      <c r="I129" s="7"/>
      <c r="J129" s="7">
        <f t="shared" si="15"/>
        <v>1672</v>
      </c>
      <c r="K129" s="7"/>
      <c r="L129" s="7"/>
      <c r="M129" s="7"/>
      <c r="N129" s="7">
        <v>1759</v>
      </c>
      <c r="O129" s="7"/>
      <c r="P129" s="7">
        <f t="shared" si="16"/>
        <v>1759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19</v>
      </c>
      <c r="B130" s="6"/>
      <c r="C130" s="6"/>
      <c r="D130" s="7">
        <v>500</v>
      </c>
      <c r="E130" s="7"/>
      <c r="F130" s="7">
        <f t="shared" si="14"/>
        <v>500</v>
      </c>
      <c r="G130" s="7">
        <v>557</v>
      </c>
      <c r="H130" s="7"/>
      <c r="I130" s="7"/>
      <c r="J130" s="7">
        <f t="shared" si="15"/>
        <v>557</v>
      </c>
      <c r="K130" s="7"/>
      <c r="L130" s="7"/>
      <c r="M130" s="7"/>
      <c r="N130" s="7">
        <v>586</v>
      </c>
      <c r="O130" s="7"/>
      <c r="P130" s="7">
        <f t="shared" si="16"/>
        <v>586</v>
      </c>
      <c r="IB130" s="53"/>
      <c r="IC130" s="53"/>
      <c r="ID130" s="53"/>
      <c r="IE130" s="53"/>
      <c r="IF130" s="53"/>
      <c r="IG130" s="53"/>
    </row>
    <row r="131" spans="1:241" s="25" customFormat="1" ht="22.5">
      <c r="A131" s="8" t="s">
        <v>15</v>
      </c>
      <c r="B131" s="6"/>
      <c r="C131" s="6"/>
      <c r="D131" s="7">
        <v>170.65</v>
      </c>
      <c r="E131" s="7"/>
      <c r="F131" s="7">
        <f t="shared" si="14"/>
        <v>170.65</v>
      </c>
      <c r="G131" s="7">
        <v>182.894</v>
      </c>
      <c r="H131" s="7"/>
      <c r="I131" s="7"/>
      <c r="J131" s="7">
        <f t="shared" si="15"/>
        <v>182.894</v>
      </c>
      <c r="K131" s="7"/>
      <c r="L131" s="7"/>
      <c r="M131" s="7"/>
      <c r="N131" s="7">
        <v>189.587</v>
      </c>
      <c r="O131" s="7"/>
      <c r="P131" s="7">
        <f t="shared" si="16"/>
        <v>189.587</v>
      </c>
      <c r="IB131" s="53"/>
      <c r="IC131" s="53"/>
      <c r="ID131" s="53"/>
      <c r="IE131" s="53"/>
      <c r="IF131" s="53"/>
      <c r="IG131" s="53"/>
    </row>
    <row r="132" spans="1:241" s="25" customFormat="1" ht="22.5" hidden="1">
      <c r="A132" s="8" t="s">
        <v>45</v>
      </c>
      <c r="B132" s="6"/>
      <c r="C132" s="6"/>
      <c r="D132" s="7"/>
      <c r="E132" s="7"/>
      <c r="F132" s="7">
        <f>D132</f>
        <v>0</v>
      </c>
      <c r="G132" s="7"/>
      <c r="H132" s="7"/>
      <c r="I132" s="7"/>
      <c r="J132" s="7">
        <f t="shared" si="15"/>
        <v>0</v>
      </c>
      <c r="K132" s="7"/>
      <c r="L132" s="7"/>
      <c r="M132" s="7"/>
      <c r="N132" s="7"/>
      <c r="O132" s="7"/>
      <c r="P132" s="7">
        <f t="shared" si="16"/>
        <v>0</v>
      </c>
      <c r="S132" s="25">
        <f>21572/4</f>
        <v>5393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46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IB133" s="53"/>
      <c r="IC133" s="53"/>
      <c r="ID133" s="53"/>
      <c r="IE133" s="53"/>
      <c r="IF133" s="53"/>
      <c r="IG133" s="53"/>
    </row>
    <row r="134" spans="1:241" s="25" customFormat="1" ht="11.25">
      <c r="A134" s="5" t="s">
        <v>6</v>
      </c>
      <c r="B134" s="37"/>
      <c r="C134" s="3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IB134" s="53"/>
      <c r="IC134" s="53"/>
      <c r="ID134" s="53"/>
      <c r="IE134" s="53"/>
      <c r="IF134" s="53"/>
      <c r="IG134" s="53"/>
    </row>
    <row r="135" spans="1:241" s="25" customFormat="1" ht="22.5" customHeight="1">
      <c r="A135" s="8" t="s">
        <v>30</v>
      </c>
      <c r="B135" s="6"/>
      <c r="C135" s="6"/>
      <c r="D135" s="7"/>
      <c r="E135" s="7"/>
      <c r="F135" s="7">
        <f t="shared" si="14"/>
        <v>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30.75" customHeight="1">
      <c r="A136" s="8" t="s">
        <v>67</v>
      </c>
      <c r="B136" s="6"/>
      <c r="C136" s="6"/>
      <c r="D136" s="7">
        <v>100</v>
      </c>
      <c r="E136" s="7"/>
      <c r="F136" s="7">
        <f t="shared" si="14"/>
        <v>100</v>
      </c>
      <c r="G136" s="7">
        <v>100</v>
      </c>
      <c r="H136" s="7"/>
      <c r="I136" s="7"/>
      <c r="J136" s="7">
        <v>100</v>
      </c>
      <c r="K136" s="7"/>
      <c r="L136" s="7"/>
      <c r="M136" s="7"/>
      <c r="N136" s="7">
        <v>100</v>
      </c>
      <c r="O136" s="7"/>
      <c r="P136" s="7">
        <v>100</v>
      </c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32</v>
      </c>
      <c r="B137" s="6"/>
      <c r="C137" s="6"/>
      <c r="D137" s="7"/>
      <c r="E137" s="7"/>
      <c r="F137" s="7">
        <f t="shared" si="14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23.25" customHeight="1">
      <c r="A138" s="8" t="s">
        <v>21</v>
      </c>
      <c r="B138" s="6"/>
      <c r="C138" s="6"/>
      <c r="D138" s="7">
        <v>100</v>
      </c>
      <c r="E138" s="7"/>
      <c r="F138" s="7">
        <f t="shared" si="14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30" customHeight="1">
      <c r="A139" s="8" t="s">
        <v>37</v>
      </c>
      <c r="B139" s="6"/>
      <c r="C139" s="6"/>
      <c r="D139" s="7">
        <v>100</v>
      </c>
      <c r="E139" s="7"/>
      <c r="F139" s="7">
        <f t="shared" si="14"/>
        <v>100</v>
      </c>
      <c r="G139" s="7">
        <f>G124/G116*100</f>
        <v>100</v>
      </c>
      <c r="H139" s="7"/>
      <c r="I139" s="7"/>
      <c r="J139" s="7">
        <f>J124/J116*100</f>
        <v>100</v>
      </c>
      <c r="K139" s="7"/>
      <c r="L139" s="7"/>
      <c r="M139" s="7"/>
      <c r="N139" s="7">
        <f>N124/N116*100</f>
        <v>100</v>
      </c>
      <c r="O139" s="7"/>
      <c r="P139" s="7">
        <f>P124/P116*100</f>
        <v>100</v>
      </c>
      <c r="IB139" s="53"/>
      <c r="IC139" s="53"/>
      <c r="ID139" s="53"/>
      <c r="IE139" s="53"/>
      <c r="IF139" s="53"/>
      <c r="IG139" s="53"/>
    </row>
    <row r="140" spans="1:241" s="38" customFormat="1" ht="24" customHeight="1">
      <c r="A140" s="34" t="s">
        <v>385</v>
      </c>
      <c r="B140" s="35"/>
      <c r="C140" s="35"/>
      <c r="D140" s="36">
        <f>(D151*D157)+(D152*D158)+(D154*D160)+(D153*D159)+(D155*D161)+0.01+750000+190000</f>
        <v>40940000.002</v>
      </c>
      <c r="E140" s="36">
        <f>(E151*E157)+(E152*E158)+(E154*E160)+(E153*E159)+(E155*E161)</f>
        <v>14999999.99976</v>
      </c>
      <c r="F140" s="36">
        <f>D140+E140</f>
        <v>55940000.00176</v>
      </c>
      <c r="G140" s="36">
        <f>(G151*G157)+(G152*G158)+(G154*G160)+(G153*G159)+(G155*G161)-0.24-1500</f>
        <v>42000000.001499996</v>
      </c>
      <c r="H140" s="36">
        <f>(H151*H157)+(H152*H158)+(H154*H160)+(H153*H159)+(H155*H161)</f>
        <v>20000000</v>
      </c>
      <c r="I140" s="36"/>
      <c r="J140" s="36">
        <f>G140+H140</f>
        <v>62000000.001499996</v>
      </c>
      <c r="K140" s="36">
        <f>(K151*K157)+(K152*K158)+(K154*K160)+(K153*K159)+(K155*K161)+100</f>
        <v>100</v>
      </c>
      <c r="L140" s="36">
        <f>(L151*L157)+(L152*L158)+(L154*L160)+(L153*L159)+(L155*L161)+100</f>
        <v>100</v>
      </c>
      <c r="M140" s="36">
        <f>(M151*M157)+(M152*M158)+(M154*M160)+(M153*M159)+(M155*M161)+100</f>
        <v>100</v>
      </c>
      <c r="N140" s="36">
        <f>(N151*N157)+(N152*N158)+(N154*N160)+(N153*N159)+(N155*N161)-0.24-799.99</f>
        <v>44000000.001499996</v>
      </c>
      <c r="O140" s="36">
        <f>(O151*O157)+(O152*O158)+(O154*O160)+(O153*O159)+(O155*O161)</f>
        <v>24999999.9984</v>
      </c>
      <c r="P140" s="36">
        <f>N140+O140</f>
        <v>68999999.9999</v>
      </c>
      <c r="IB140" s="39"/>
      <c r="IC140" s="39"/>
      <c r="ID140" s="39"/>
      <c r="IE140" s="39"/>
      <c r="IF140" s="39"/>
      <c r="IG140" s="39"/>
    </row>
    <row r="141" spans="1:241" s="25" customFormat="1" ht="0.75" customHeight="1">
      <c r="A141" s="40" t="s">
        <v>33</v>
      </c>
      <c r="B141" s="41"/>
      <c r="C141" s="41"/>
      <c r="D141" s="7" t="e">
        <f>#REF!*D157+D154*D159+D153*D160</f>
        <v>#REF!</v>
      </c>
      <c r="E141" s="7" t="e">
        <f>#REF!*E157+E154*E159+E153*E160</f>
        <v>#REF!</v>
      </c>
      <c r="F141" s="7" t="e">
        <f>#REF!*F157+F154*F159+F153*F160</f>
        <v>#REF!</v>
      </c>
      <c r="G141" s="7" t="e">
        <f>#REF!*G157+G154*G159+G153*G160</f>
        <v>#REF!</v>
      </c>
      <c r="H141" s="7"/>
      <c r="I141" s="7"/>
      <c r="J141" s="7" t="e">
        <f>#REF!*J157+J154*J159+J153*J160</f>
        <v>#REF!</v>
      </c>
      <c r="K141" s="7"/>
      <c r="L141" s="7"/>
      <c r="M141" s="7"/>
      <c r="N141" s="7" t="e">
        <f>#REF!*N157+N154*N159+N153*N160</f>
        <v>#REF!</v>
      </c>
      <c r="O141" s="7"/>
      <c r="P141" s="7" t="e">
        <f>#REF!*P157+P154*P159+P153*P160</f>
        <v>#REF!</v>
      </c>
      <c r="IB141" s="53"/>
      <c r="IC141" s="53"/>
      <c r="ID141" s="53"/>
      <c r="IE141" s="53"/>
      <c r="IF141" s="53"/>
      <c r="IG141" s="53"/>
    </row>
    <row r="142" spans="1:241" s="25" customFormat="1" ht="11.25">
      <c r="A142" s="5" t="s">
        <v>4</v>
      </c>
      <c r="B142" s="37"/>
      <c r="C142" s="37"/>
      <c r="D142" s="30"/>
      <c r="E142" s="30"/>
      <c r="F142" s="30"/>
      <c r="G142" s="30"/>
      <c r="H142" s="30"/>
      <c r="I142" s="30"/>
      <c r="J142" s="30"/>
      <c r="K142" s="7"/>
      <c r="L142" s="7"/>
      <c r="M142" s="7"/>
      <c r="N142" s="30"/>
      <c r="O142" s="30"/>
      <c r="P142" s="30"/>
      <c r="IB142" s="53"/>
      <c r="IC142" s="53"/>
      <c r="ID142" s="53"/>
      <c r="IE142" s="53"/>
      <c r="IF142" s="53"/>
      <c r="IG142" s="53"/>
    </row>
    <row r="143" spans="1:241" s="25" customFormat="1" ht="21" customHeight="1">
      <c r="A143" s="8" t="s">
        <v>69</v>
      </c>
      <c r="B143" s="6"/>
      <c r="C143" s="6"/>
      <c r="D143" s="7">
        <v>614.9</v>
      </c>
      <c r="E143" s="7"/>
      <c r="F143" s="7">
        <f>D143</f>
        <v>614.9</v>
      </c>
      <c r="G143" s="7">
        <f>D143</f>
        <v>614.9</v>
      </c>
      <c r="H143" s="7"/>
      <c r="I143" s="7"/>
      <c r="J143" s="7">
        <f>G143</f>
        <v>614.9</v>
      </c>
      <c r="K143" s="7"/>
      <c r="L143" s="7"/>
      <c r="M143" s="7"/>
      <c r="N143" s="7">
        <f>J143</f>
        <v>614.9</v>
      </c>
      <c r="O143" s="7"/>
      <c r="P143" s="7">
        <f>N143</f>
        <v>614.9</v>
      </c>
      <c r="IB143" s="53"/>
      <c r="IC143" s="53"/>
      <c r="ID143" s="53"/>
      <c r="IE143" s="53"/>
      <c r="IF143" s="53"/>
      <c r="IG143" s="53"/>
    </row>
    <row r="144" spans="1:241" s="25" customFormat="1" ht="27" customHeight="1">
      <c r="A144" s="8" t="s">
        <v>70</v>
      </c>
      <c r="B144" s="6"/>
      <c r="C144" s="6"/>
      <c r="D144" s="7"/>
      <c r="E144" s="7">
        <v>427.5</v>
      </c>
      <c r="F144" s="7">
        <f>E144</f>
        <v>427.5</v>
      </c>
      <c r="G144" s="7"/>
      <c r="H144" s="7">
        <v>427.5</v>
      </c>
      <c r="I144" s="7"/>
      <c r="J144" s="7">
        <f>H144</f>
        <v>427.5</v>
      </c>
      <c r="K144" s="7"/>
      <c r="L144" s="7"/>
      <c r="M144" s="7"/>
      <c r="N144" s="7"/>
      <c r="O144" s="7">
        <v>427.5</v>
      </c>
      <c r="P144" s="7">
        <f>O144</f>
        <v>427.5</v>
      </c>
      <c r="IB144" s="53"/>
      <c r="IC144" s="53"/>
      <c r="ID144" s="53"/>
      <c r="IE144" s="53"/>
      <c r="IF144" s="53"/>
      <c r="IG144" s="53"/>
    </row>
    <row r="145" spans="1:241" s="25" customFormat="1" ht="30.75" customHeight="1">
      <c r="A145" s="8" t="s">
        <v>71</v>
      </c>
      <c r="B145" s="6"/>
      <c r="C145" s="6"/>
      <c r="D145" s="7">
        <v>97.9</v>
      </c>
      <c r="E145" s="7"/>
      <c r="F145" s="7">
        <f>D145</f>
        <v>97.9</v>
      </c>
      <c r="G145" s="7">
        <v>97.9</v>
      </c>
      <c r="H145" s="7"/>
      <c r="I145" s="7"/>
      <c r="J145" s="7">
        <f>G145</f>
        <v>97.9</v>
      </c>
      <c r="K145" s="7"/>
      <c r="L145" s="7"/>
      <c r="M145" s="7"/>
      <c r="N145" s="7">
        <v>97.9</v>
      </c>
      <c r="O145" s="7"/>
      <c r="P145" s="7">
        <f>N145</f>
        <v>97.9</v>
      </c>
      <c r="IB145" s="53"/>
      <c r="IC145" s="53"/>
      <c r="ID145" s="53"/>
      <c r="IE145" s="53"/>
      <c r="IF145" s="53"/>
      <c r="IG145" s="53"/>
    </row>
    <row r="146" spans="1:241" s="25" customFormat="1" ht="25.5" customHeight="1">
      <c r="A146" s="8" t="s">
        <v>72</v>
      </c>
      <c r="B146" s="6"/>
      <c r="C146" s="6"/>
      <c r="D146" s="7">
        <v>16263</v>
      </c>
      <c r="E146" s="7"/>
      <c r="F146" s="7">
        <f>D146</f>
        <v>16263</v>
      </c>
      <c r="G146" s="7">
        <v>16263</v>
      </c>
      <c r="H146" s="7"/>
      <c r="I146" s="7"/>
      <c r="J146" s="7">
        <f aca="true" t="shared" si="17" ref="J146:J162">G146</f>
        <v>16263</v>
      </c>
      <c r="K146" s="7"/>
      <c r="L146" s="7"/>
      <c r="M146" s="7"/>
      <c r="N146" s="7">
        <v>16263</v>
      </c>
      <c r="O146" s="7"/>
      <c r="P146" s="7">
        <f aca="true" t="shared" si="18" ref="P146:P162">N146</f>
        <v>16263</v>
      </c>
      <c r="IB146" s="53"/>
      <c r="IC146" s="53"/>
      <c r="ID146" s="53"/>
      <c r="IE146" s="53"/>
      <c r="IF146" s="53"/>
      <c r="IG146" s="53"/>
    </row>
    <row r="147" spans="1:241" s="25" customFormat="1" ht="22.5">
      <c r="A147" s="8" t="s">
        <v>73</v>
      </c>
      <c r="B147" s="6"/>
      <c r="C147" s="6"/>
      <c r="D147" s="7">
        <v>7400</v>
      </c>
      <c r="E147" s="7"/>
      <c r="F147" s="7">
        <f>D147</f>
        <v>7400</v>
      </c>
      <c r="G147" s="7">
        <f>F147</f>
        <v>7400</v>
      </c>
      <c r="H147" s="7"/>
      <c r="I147" s="7"/>
      <c r="J147" s="7">
        <f t="shared" si="17"/>
        <v>7400</v>
      </c>
      <c r="K147" s="7"/>
      <c r="L147" s="7"/>
      <c r="M147" s="7"/>
      <c r="N147" s="7">
        <f>G147</f>
        <v>7400</v>
      </c>
      <c r="O147" s="7"/>
      <c r="P147" s="7">
        <f t="shared" si="18"/>
        <v>7400</v>
      </c>
      <c r="IB147" s="53"/>
      <c r="IC147" s="53"/>
      <c r="ID147" s="53"/>
      <c r="IE147" s="53"/>
      <c r="IF147" s="53"/>
      <c r="IG147" s="53"/>
    </row>
    <row r="148" spans="1:241" s="25" customFormat="1" ht="29.25" customHeight="1">
      <c r="A148" s="8" t="s">
        <v>74</v>
      </c>
      <c r="B148" s="6"/>
      <c r="C148" s="6"/>
      <c r="D148" s="7">
        <v>8333333.33</v>
      </c>
      <c r="E148" s="7"/>
      <c r="F148" s="7">
        <f>D148</f>
        <v>8333333.33</v>
      </c>
      <c r="G148" s="7">
        <v>8333333.33</v>
      </c>
      <c r="H148" s="7"/>
      <c r="I148" s="7"/>
      <c r="J148" s="7">
        <f>G148</f>
        <v>8333333.33</v>
      </c>
      <c r="K148" s="7"/>
      <c r="L148" s="7"/>
      <c r="M148" s="7"/>
      <c r="N148" s="7">
        <v>8333333.33</v>
      </c>
      <c r="O148" s="7"/>
      <c r="P148" s="7">
        <f>N148</f>
        <v>8333333.33</v>
      </c>
      <c r="IB148" s="53"/>
      <c r="IC148" s="53"/>
      <c r="ID148" s="53"/>
      <c r="IE148" s="53"/>
      <c r="IF148" s="53"/>
      <c r="IG148" s="53"/>
    </row>
    <row r="149" spans="1:241" s="25" customFormat="1" ht="11.25">
      <c r="A149" s="5" t="s">
        <v>5</v>
      </c>
      <c r="B149" s="37"/>
      <c r="C149" s="37"/>
      <c r="D149" s="30"/>
      <c r="E149" s="30"/>
      <c r="F149" s="7"/>
      <c r="G149" s="30"/>
      <c r="H149" s="30"/>
      <c r="I149" s="30"/>
      <c r="J149" s="7">
        <f t="shared" si="17"/>
        <v>0</v>
      </c>
      <c r="K149" s="7"/>
      <c r="L149" s="7"/>
      <c r="M149" s="7"/>
      <c r="N149" s="30"/>
      <c r="O149" s="30"/>
      <c r="P149" s="7">
        <f t="shared" si="18"/>
        <v>0</v>
      </c>
      <c r="IB149" s="53"/>
      <c r="IC149" s="53"/>
      <c r="ID149" s="53"/>
      <c r="IE149" s="53"/>
      <c r="IF149" s="53"/>
      <c r="IG149" s="53"/>
    </row>
    <row r="150" spans="1:241" s="25" customFormat="1" ht="22.5" customHeight="1">
      <c r="A150" s="8" t="s">
        <v>24</v>
      </c>
      <c r="B150" s="6"/>
      <c r="C150" s="6"/>
      <c r="D150" s="7"/>
      <c r="E150" s="7"/>
      <c r="F150" s="7"/>
      <c r="G150" s="7"/>
      <c r="H150" s="7"/>
      <c r="I150" s="7"/>
      <c r="J150" s="7">
        <f t="shared" si="17"/>
        <v>0</v>
      </c>
      <c r="K150" s="7"/>
      <c r="L150" s="7"/>
      <c r="M150" s="7"/>
      <c r="N150" s="7"/>
      <c r="O150" s="7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9.25" customHeight="1">
      <c r="A151" s="8" t="s">
        <v>75</v>
      </c>
      <c r="B151" s="6"/>
      <c r="C151" s="6"/>
      <c r="D151" s="7">
        <v>20</v>
      </c>
      <c r="E151" s="7"/>
      <c r="F151" s="7">
        <f>D151</f>
        <v>20</v>
      </c>
      <c r="G151" s="7">
        <v>22.5</v>
      </c>
      <c r="H151" s="7"/>
      <c r="I151" s="7"/>
      <c r="J151" s="7">
        <f>G151</f>
        <v>22.5</v>
      </c>
      <c r="K151" s="7"/>
      <c r="L151" s="7"/>
      <c r="M151" s="7"/>
      <c r="N151" s="7">
        <v>24</v>
      </c>
      <c r="O151" s="7"/>
      <c r="P151" s="7">
        <f>N151</f>
        <v>24</v>
      </c>
      <c r="IB151" s="53"/>
      <c r="IC151" s="53"/>
      <c r="ID151" s="53"/>
      <c r="IE151" s="53"/>
      <c r="IF151" s="53"/>
      <c r="IG151" s="53"/>
    </row>
    <row r="152" spans="1:241" s="25" customFormat="1" ht="30" customHeight="1">
      <c r="A152" s="8" t="s">
        <v>76</v>
      </c>
      <c r="B152" s="6"/>
      <c r="C152" s="6"/>
      <c r="D152" s="7"/>
      <c r="E152" s="7">
        <v>36</v>
      </c>
      <c r="F152" s="7">
        <f>E152</f>
        <v>36</v>
      </c>
      <c r="G152" s="7"/>
      <c r="H152" s="7">
        <v>40</v>
      </c>
      <c r="I152" s="7"/>
      <c r="J152" s="7">
        <f>H152</f>
        <v>40</v>
      </c>
      <c r="K152" s="7"/>
      <c r="L152" s="7"/>
      <c r="M152" s="7"/>
      <c r="N152" s="7"/>
      <c r="O152" s="7">
        <v>48</v>
      </c>
      <c r="P152" s="7">
        <f>O152</f>
        <v>48</v>
      </c>
      <c r="IB152" s="53"/>
      <c r="IC152" s="53"/>
      <c r="ID152" s="53"/>
      <c r="IE152" s="53"/>
      <c r="IF152" s="53"/>
      <c r="IG152" s="53"/>
    </row>
    <row r="153" spans="1:241" s="25" customFormat="1" ht="26.25" customHeight="1">
      <c r="A153" s="8" t="s">
        <v>110</v>
      </c>
      <c r="B153" s="6"/>
      <c r="C153" s="6"/>
      <c r="D153" s="7">
        <v>16263</v>
      </c>
      <c r="E153" s="7"/>
      <c r="F153" s="7">
        <f>D153</f>
        <v>16263</v>
      </c>
      <c r="G153" s="7">
        <v>16263</v>
      </c>
      <c r="H153" s="7"/>
      <c r="I153" s="7"/>
      <c r="J153" s="7">
        <f>G153</f>
        <v>16263</v>
      </c>
      <c r="K153" s="7"/>
      <c r="L153" s="7"/>
      <c r="M153" s="7"/>
      <c r="N153" s="7">
        <f>N146</f>
        <v>16263</v>
      </c>
      <c r="O153" s="7"/>
      <c r="P153" s="7">
        <f>N153</f>
        <v>16263</v>
      </c>
      <c r="IB153" s="53"/>
      <c r="IC153" s="53"/>
      <c r="ID153" s="53"/>
      <c r="IE153" s="53"/>
      <c r="IF153" s="53"/>
      <c r="IG153" s="53"/>
    </row>
    <row r="154" spans="1:241" s="25" customFormat="1" ht="24.75" customHeight="1">
      <c r="A154" s="8" t="s">
        <v>77</v>
      </c>
      <c r="B154" s="6"/>
      <c r="C154" s="6"/>
      <c r="D154" s="7">
        <v>1700</v>
      </c>
      <c r="E154" s="7"/>
      <c r="F154" s="7">
        <f aca="true" t="shared" si="19" ref="F154:F162">D154</f>
        <v>1700</v>
      </c>
      <c r="G154" s="7">
        <v>1667</v>
      </c>
      <c r="H154" s="7"/>
      <c r="I154" s="7"/>
      <c r="J154" s="7">
        <f t="shared" si="17"/>
        <v>1667</v>
      </c>
      <c r="K154" s="7"/>
      <c r="L154" s="7"/>
      <c r="M154" s="7"/>
      <c r="N154" s="7">
        <v>1800</v>
      </c>
      <c r="O154" s="7"/>
      <c r="P154" s="7">
        <f t="shared" si="18"/>
        <v>1800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78</v>
      </c>
      <c r="B155" s="6"/>
      <c r="C155" s="6"/>
      <c r="D155" s="7">
        <v>8333333.33</v>
      </c>
      <c r="E155" s="7"/>
      <c r="F155" s="7">
        <f>D155</f>
        <v>8333333.33</v>
      </c>
      <c r="G155" s="7">
        <v>8333333.33</v>
      </c>
      <c r="H155" s="7"/>
      <c r="I155" s="7"/>
      <c r="J155" s="7">
        <f>G155</f>
        <v>8333333.33</v>
      </c>
      <c r="K155" s="7"/>
      <c r="L155" s="7"/>
      <c r="M155" s="7"/>
      <c r="N155" s="7">
        <v>8333333.33</v>
      </c>
      <c r="O155" s="7"/>
      <c r="P155" s="7">
        <f>N155</f>
        <v>8333333.33</v>
      </c>
      <c r="IB155" s="53"/>
      <c r="IC155" s="53"/>
      <c r="ID155" s="53"/>
      <c r="IE155" s="53"/>
      <c r="IF155" s="53"/>
      <c r="IG155" s="53"/>
    </row>
    <row r="156" spans="1:241" s="25" customFormat="1" ht="11.25">
      <c r="A156" s="5" t="s">
        <v>7</v>
      </c>
      <c r="B156" s="37"/>
      <c r="C156" s="37"/>
      <c r="D156" s="30"/>
      <c r="E156" s="30"/>
      <c r="F156" s="7">
        <f t="shared" si="19"/>
        <v>0</v>
      </c>
      <c r="G156" s="30"/>
      <c r="H156" s="30"/>
      <c r="I156" s="30"/>
      <c r="J156" s="7">
        <f t="shared" si="17"/>
        <v>0</v>
      </c>
      <c r="K156" s="7"/>
      <c r="L156" s="7"/>
      <c r="M156" s="7"/>
      <c r="N156" s="30"/>
      <c r="O156" s="30"/>
      <c r="P156" s="7">
        <f t="shared" si="18"/>
        <v>0</v>
      </c>
      <c r="IB156" s="53"/>
      <c r="IC156" s="53"/>
      <c r="ID156" s="53"/>
      <c r="IE156" s="53"/>
      <c r="IF156" s="53"/>
      <c r="IG156" s="53"/>
    </row>
    <row r="157" spans="1:241" s="25" customFormat="1" ht="33.75">
      <c r="A157" s="8" t="s">
        <v>79</v>
      </c>
      <c r="B157" s="6"/>
      <c r="C157" s="6"/>
      <c r="D157" s="7">
        <v>275977</v>
      </c>
      <c r="E157" s="7"/>
      <c r="F157" s="7">
        <f>D157</f>
        <v>275977</v>
      </c>
      <c r="G157" s="7">
        <v>278084.9</v>
      </c>
      <c r="H157" s="7"/>
      <c r="I157" s="7"/>
      <c r="J157" s="7">
        <f>G157</f>
        <v>278084.9</v>
      </c>
      <c r="K157" s="7"/>
      <c r="L157" s="7"/>
      <c r="M157" s="7"/>
      <c r="N157" s="7">
        <v>289345.01</v>
      </c>
      <c r="O157" s="7"/>
      <c r="P157" s="7">
        <f>N157</f>
        <v>289345.01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80</v>
      </c>
      <c r="B158" s="6"/>
      <c r="C158" s="6"/>
      <c r="D158" s="7"/>
      <c r="E158" s="7">
        <v>416666.66666</v>
      </c>
      <c r="F158" s="7">
        <f>E158</f>
        <v>416666.66666</v>
      </c>
      <c r="G158" s="7"/>
      <c r="H158" s="7">
        <v>500000</v>
      </c>
      <c r="I158" s="7"/>
      <c r="J158" s="7">
        <f>H158</f>
        <v>500000</v>
      </c>
      <c r="K158" s="7"/>
      <c r="L158" s="7"/>
      <c r="M158" s="7"/>
      <c r="N158" s="7"/>
      <c r="O158" s="7">
        <v>520833.3333</v>
      </c>
      <c r="P158" s="7">
        <f>O158</f>
        <v>520833.3333</v>
      </c>
      <c r="IB158" s="53"/>
      <c r="IC158" s="53"/>
      <c r="ID158" s="53"/>
      <c r="IE158" s="53"/>
      <c r="IF158" s="53"/>
      <c r="IG158" s="53"/>
    </row>
    <row r="159" spans="1:241" s="25" customFormat="1" ht="23.25" customHeight="1">
      <c r="A159" s="8" t="s">
        <v>81</v>
      </c>
      <c r="B159" s="6"/>
      <c r="C159" s="6"/>
      <c r="D159" s="7">
        <v>420</v>
      </c>
      <c r="E159" s="7"/>
      <c r="F159" s="7">
        <v>420</v>
      </c>
      <c r="G159" s="7">
        <v>430</v>
      </c>
      <c r="H159" s="7"/>
      <c r="I159" s="7"/>
      <c r="J159" s="7">
        <f>G159</f>
        <v>430</v>
      </c>
      <c r="K159" s="7"/>
      <c r="L159" s="7"/>
      <c r="M159" s="7"/>
      <c r="N159" s="7">
        <v>440</v>
      </c>
      <c r="O159" s="7"/>
      <c r="P159" s="7">
        <f>N159</f>
        <v>440</v>
      </c>
      <c r="IB159" s="53"/>
      <c r="IC159" s="53"/>
      <c r="ID159" s="53"/>
      <c r="IE159" s="53"/>
      <c r="IF159" s="53"/>
      <c r="IG159" s="53"/>
    </row>
    <row r="160" spans="1:241" s="25" customFormat="1" ht="22.5">
      <c r="A160" s="8" t="s">
        <v>82</v>
      </c>
      <c r="B160" s="6"/>
      <c r="C160" s="6"/>
      <c r="D160" s="7">
        <v>4500</v>
      </c>
      <c r="E160" s="7"/>
      <c r="F160" s="7">
        <f t="shared" si="19"/>
        <v>4500</v>
      </c>
      <c r="G160" s="7">
        <v>4500</v>
      </c>
      <c r="H160" s="7"/>
      <c r="I160" s="7"/>
      <c r="J160" s="7">
        <f t="shared" si="17"/>
        <v>4500</v>
      </c>
      <c r="K160" s="7"/>
      <c r="L160" s="7"/>
      <c r="M160" s="7"/>
      <c r="N160" s="7">
        <v>4806</v>
      </c>
      <c r="O160" s="7"/>
      <c r="P160" s="7">
        <f t="shared" si="18"/>
        <v>4806</v>
      </c>
      <c r="R160" s="27"/>
      <c r="IB160" s="53"/>
      <c r="IC160" s="53"/>
      <c r="ID160" s="53"/>
      <c r="IE160" s="53"/>
      <c r="IF160" s="53"/>
      <c r="IG160" s="53"/>
    </row>
    <row r="161" spans="1:241" s="25" customFormat="1" ht="33.75">
      <c r="A161" s="8" t="s">
        <v>235</v>
      </c>
      <c r="B161" s="6"/>
      <c r="C161" s="6"/>
      <c r="D161" s="7">
        <v>2.4</v>
      </c>
      <c r="E161" s="7"/>
      <c r="F161" s="7">
        <f>D161</f>
        <v>2.4</v>
      </c>
      <c r="G161" s="7">
        <v>2.55</v>
      </c>
      <c r="H161" s="7"/>
      <c r="I161" s="7"/>
      <c r="J161" s="7">
        <f>G161</f>
        <v>2.55</v>
      </c>
      <c r="K161" s="7"/>
      <c r="L161" s="7"/>
      <c r="M161" s="7"/>
      <c r="N161" s="7">
        <v>2.55</v>
      </c>
      <c r="O161" s="7"/>
      <c r="P161" s="7">
        <f>N161</f>
        <v>2.55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11.25">
      <c r="A162" s="5" t="s">
        <v>6</v>
      </c>
      <c r="B162" s="37"/>
      <c r="C162" s="37"/>
      <c r="D162" s="30"/>
      <c r="E162" s="30"/>
      <c r="F162" s="7">
        <f t="shared" si="19"/>
        <v>0</v>
      </c>
      <c r="G162" s="30"/>
      <c r="H162" s="30"/>
      <c r="I162" s="30"/>
      <c r="J162" s="7">
        <f t="shared" si="17"/>
        <v>0</v>
      </c>
      <c r="K162" s="7"/>
      <c r="L162" s="7"/>
      <c r="M162" s="7"/>
      <c r="N162" s="30"/>
      <c r="O162" s="30"/>
      <c r="P162" s="7">
        <f t="shared" si="18"/>
        <v>0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84</v>
      </c>
      <c r="B163" s="6"/>
      <c r="C163" s="6"/>
      <c r="D163" s="7"/>
      <c r="E163" s="7">
        <f>E152/E144*100</f>
        <v>8.421052631578947</v>
      </c>
      <c r="F163" s="7">
        <f>E163</f>
        <v>8.421052631578947</v>
      </c>
      <c r="G163" s="7"/>
      <c r="H163" s="7">
        <f>H152/H144*100</f>
        <v>9.35672514619883</v>
      </c>
      <c r="I163" s="7"/>
      <c r="J163" s="7">
        <f>H163</f>
        <v>9.35672514619883</v>
      </c>
      <c r="K163" s="7"/>
      <c r="L163" s="7"/>
      <c r="M163" s="7"/>
      <c r="N163" s="7"/>
      <c r="O163" s="7">
        <f>O152/O144*100</f>
        <v>11.228070175438596</v>
      </c>
      <c r="P163" s="7">
        <f>O163</f>
        <v>11.228070175438596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6" customHeight="1">
      <c r="A164" s="8" t="s">
        <v>83</v>
      </c>
      <c r="B164" s="6"/>
      <c r="C164" s="6"/>
      <c r="D164" s="7">
        <f>D151/D145*100</f>
        <v>20.429009193054135</v>
      </c>
      <c r="E164" s="7"/>
      <c r="F164" s="7">
        <f>D164</f>
        <v>20.429009193054135</v>
      </c>
      <c r="G164" s="7">
        <f>G151/G145*100</f>
        <v>22.982635342185905</v>
      </c>
      <c r="H164" s="7"/>
      <c r="I164" s="7"/>
      <c r="J164" s="7">
        <f>G164</f>
        <v>22.982635342185905</v>
      </c>
      <c r="K164" s="7"/>
      <c r="L164" s="7"/>
      <c r="M164" s="7"/>
      <c r="N164" s="7">
        <f>N151/N145*100</f>
        <v>24.514811031664962</v>
      </c>
      <c r="O164" s="7"/>
      <c r="P164" s="7">
        <f>N164</f>
        <v>24.514811031664962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24" customHeight="1">
      <c r="A165" s="8" t="s">
        <v>85</v>
      </c>
      <c r="B165" s="6"/>
      <c r="C165" s="6"/>
      <c r="D165" s="7">
        <f>D154/D147*100</f>
        <v>22.972972972972975</v>
      </c>
      <c r="E165" s="7"/>
      <c r="F165" s="7">
        <f>D165</f>
        <v>22.972972972972975</v>
      </c>
      <c r="G165" s="7">
        <f>G154/G147*100</f>
        <v>22.527027027027028</v>
      </c>
      <c r="H165" s="7"/>
      <c r="I165" s="7"/>
      <c r="J165" s="7">
        <f>G165</f>
        <v>22.527027027027028</v>
      </c>
      <c r="K165" s="7"/>
      <c r="L165" s="7"/>
      <c r="M165" s="7"/>
      <c r="N165" s="7">
        <f>N154/N147*100</f>
        <v>24.324324324324326</v>
      </c>
      <c r="O165" s="7"/>
      <c r="P165" s="7">
        <f>N165</f>
        <v>24.324324324324326</v>
      </c>
      <c r="R165" s="27"/>
      <c r="IB165" s="53"/>
      <c r="IC165" s="53"/>
      <c r="ID165" s="53"/>
      <c r="IE165" s="53"/>
      <c r="IF165" s="53"/>
      <c r="IG165" s="53"/>
    </row>
    <row r="166" spans="1:241" s="38" customFormat="1" ht="31.5" customHeight="1">
      <c r="A166" s="34" t="s">
        <v>386</v>
      </c>
      <c r="B166" s="35"/>
      <c r="C166" s="35"/>
      <c r="D166" s="36">
        <f>SUM(D181)*D195+D182*D196+D183*D197+D185*D200+D186*D201+D187*D202+D188*D203+D189*D204+D190*D205+D191*D206+0.65+532023</f>
        <v>19686999.999978114</v>
      </c>
      <c r="E166" s="36">
        <f>SUM(E184)*E198+E192*E207+E193*E208+E213</f>
        <v>23278332.999995</v>
      </c>
      <c r="F166" s="36">
        <f>D166+E166</f>
        <v>42965332.99997312</v>
      </c>
      <c r="G166" s="36">
        <f>SUM(G181)*G195+G182*G196+G183*G197+G185*G200+G186*G201+G187*G202+G188*G203+G189*G204+G190*G205+G191*G206-0.02+552000+58000+350000</f>
        <v>20664000.004896514</v>
      </c>
      <c r="H166" s="36">
        <f>SUM(H184)*H198+H192*H207+H193*H208+H213+H178*H199+H179*H200</f>
        <v>24760030.399995</v>
      </c>
      <c r="I166" s="36"/>
      <c r="J166" s="36">
        <f>G166+H166</f>
        <v>45424030.40489151</v>
      </c>
      <c r="K166" s="36" t="e">
        <f>(K181*K195)+(K182*K196)+(K183*K197)+(K186*K201)+(K187*K202)+(K203*K188)+(#REF!*#REF!)-1036.73</f>
        <v>#REF!</v>
      </c>
      <c r="L166" s="36" t="e">
        <f>(L181*L195)+(L182*L196)+(L183*L197)+(L186*L201)+(L187*L202)+(L203*L188)+(#REF!*#REF!)-1036.73</f>
        <v>#REF!</v>
      </c>
      <c r="M166" s="36" t="e">
        <f>(M181*M195)+(M182*M196)+(M183*M197)+(M186*M201)+(M187*M202)+(M203*M188)+(#REF!*#REF!)-1036.73</f>
        <v>#REF!</v>
      </c>
      <c r="N166" s="36">
        <f>SUM(N181)*N195+N182*N196+N183*N197+N185*N200+N186*N201+N187*N202+N188*N203+N189*N204+N190*N205+N191*N206+0.2+591794</f>
        <v>21544999.99979262</v>
      </c>
      <c r="O166" s="36">
        <f>SUM(O184)*O198+O192*O207+O193*O208</f>
        <v>23169999.999995</v>
      </c>
      <c r="P166" s="36">
        <f>N166+O166</f>
        <v>44714999.99978762</v>
      </c>
      <c r="R166" s="42"/>
      <c r="IB166" s="39"/>
      <c r="IC166" s="39"/>
      <c r="ID166" s="39"/>
      <c r="IE166" s="39"/>
      <c r="IF166" s="39"/>
      <c r="IG166" s="39"/>
    </row>
    <row r="167" spans="1:241" s="25" customFormat="1" ht="11.25">
      <c r="A167" s="5" t="s">
        <v>4</v>
      </c>
      <c r="B167" s="37"/>
      <c r="C167" s="37"/>
      <c r="D167" s="30"/>
      <c r="E167" s="30"/>
      <c r="F167" s="30"/>
      <c r="G167" s="30"/>
      <c r="H167" s="30"/>
      <c r="I167" s="30"/>
      <c r="J167" s="30"/>
      <c r="K167" s="7"/>
      <c r="L167" s="7"/>
      <c r="M167" s="7"/>
      <c r="N167" s="30"/>
      <c r="O167" s="30"/>
      <c r="P167" s="30"/>
      <c r="R167" s="27"/>
      <c r="IB167" s="53"/>
      <c r="IC167" s="53"/>
      <c r="ID167" s="53"/>
      <c r="IE167" s="53"/>
      <c r="IF167" s="53"/>
      <c r="IG167" s="53"/>
    </row>
    <row r="168" spans="1:241" s="25" customFormat="1" ht="34.5" customHeight="1">
      <c r="A168" s="8" t="s">
        <v>86</v>
      </c>
      <c r="B168" s="6"/>
      <c r="C168" s="6"/>
      <c r="D168" s="7">
        <v>135</v>
      </c>
      <c r="E168" s="7"/>
      <c r="F168" s="7">
        <f aca="true" t="shared" si="20" ref="F168:F175">D168</f>
        <v>135</v>
      </c>
      <c r="G168" s="7">
        <f>F168</f>
        <v>135</v>
      </c>
      <c r="H168" s="7"/>
      <c r="I168" s="7"/>
      <c r="J168" s="7">
        <f>G168</f>
        <v>135</v>
      </c>
      <c r="K168" s="7"/>
      <c r="L168" s="7"/>
      <c r="M168" s="7"/>
      <c r="N168" s="7">
        <f>G168</f>
        <v>135</v>
      </c>
      <c r="O168" s="7"/>
      <c r="P168" s="7">
        <f>N168</f>
        <v>135</v>
      </c>
      <c r="R168" s="27"/>
      <c r="IB168" s="53"/>
      <c r="IC168" s="53"/>
      <c r="ID168" s="53"/>
      <c r="IE168" s="53"/>
      <c r="IF168" s="53"/>
      <c r="IG168" s="53"/>
    </row>
    <row r="169" spans="1:241" s="25" customFormat="1" ht="22.5">
      <c r="A169" s="8" t="s">
        <v>87</v>
      </c>
      <c r="B169" s="6"/>
      <c r="C169" s="6"/>
      <c r="D169" s="7">
        <v>4850</v>
      </c>
      <c r="E169" s="7"/>
      <c r="F169" s="7">
        <f t="shared" si="20"/>
        <v>4850</v>
      </c>
      <c r="G169" s="7">
        <f>F169</f>
        <v>4850</v>
      </c>
      <c r="H169" s="7"/>
      <c r="I169" s="7"/>
      <c r="J169" s="7">
        <f>G169</f>
        <v>4850</v>
      </c>
      <c r="K169" s="7"/>
      <c r="L169" s="7"/>
      <c r="M169" s="7"/>
      <c r="N169" s="7">
        <v>4850</v>
      </c>
      <c r="O169" s="7"/>
      <c r="P169" s="7">
        <f>N169</f>
        <v>4850</v>
      </c>
      <c r="IB169" s="53"/>
      <c r="IC169" s="53"/>
      <c r="ID169" s="53"/>
      <c r="IE169" s="53"/>
      <c r="IF169" s="53"/>
      <c r="IG169" s="53"/>
    </row>
    <row r="170" spans="1:241" s="25" customFormat="1" ht="18.75" customHeight="1">
      <c r="A170" s="8" t="s">
        <v>88</v>
      </c>
      <c r="B170" s="6"/>
      <c r="C170" s="6"/>
      <c r="D170" s="7">
        <v>8210</v>
      </c>
      <c r="E170" s="7"/>
      <c r="F170" s="7">
        <f t="shared" si="20"/>
        <v>8210</v>
      </c>
      <c r="G170" s="7">
        <f>F170</f>
        <v>8210</v>
      </c>
      <c r="H170" s="7"/>
      <c r="I170" s="7"/>
      <c r="J170" s="7">
        <f>G170</f>
        <v>8210</v>
      </c>
      <c r="K170" s="7"/>
      <c r="L170" s="7"/>
      <c r="M170" s="7"/>
      <c r="N170" s="7">
        <v>8210</v>
      </c>
      <c r="O170" s="7"/>
      <c r="P170" s="7">
        <f>N170</f>
        <v>8210</v>
      </c>
      <c r="IB170" s="53"/>
      <c r="IC170" s="53"/>
      <c r="ID170" s="53"/>
      <c r="IE170" s="53"/>
      <c r="IF170" s="53"/>
      <c r="IG170" s="53"/>
    </row>
    <row r="171" spans="1:241" s="25" customFormat="1" ht="24.75" customHeight="1">
      <c r="A171" s="8" t="s">
        <v>236</v>
      </c>
      <c r="B171" s="6"/>
      <c r="C171" s="6"/>
      <c r="D171" s="7">
        <v>2000</v>
      </c>
      <c r="E171" s="7">
        <v>700</v>
      </c>
      <c r="F171" s="7">
        <f>E171</f>
        <v>700</v>
      </c>
      <c r="G171" s="7"/>
      <c r="H171" s="7">
        <f>E171</f>
        <v>700</v>
      </c>
      <c r="I171" s="7"/>
      <c r="J171" s="7">
        <f>H171</f>
        <v>700</v>
      </c>
      <c r="K171" s="7"/>
      <c r="L171" s="7"/>
      <c r="M171" s="7"/>
      <c r="N171" s="7"/>
      <c r="O171" s="7">
        <f>H171</f>
        <v>700</v>
      </c>
      <c r="P171" s="7">
        <f>O171</f>
        <v>700</v>
      </c>
      <c r="IB171" s="53"/>
      <c r="IC171" s="53"/>
      <c r="ID171" s="53"/>
      <c r="IE171" s="53"/>
      <c r="IF171" s="53"/>
      <c r="IG171" s="53"/>
    </row>
    <row r="172" spans="1:241" s="25" customFormat="1" ht="25.5" customHeight="1">
      <c r="A172" s="8" t="s">
        <v>103</v>
      </c>
      <c r="B172" s="6"/>
      <c r="C172" s="6"/>
      <c r="D172" s="7">
        <v>300</v>
      </c>
      <c r="E172" s="7"/>
      <c r="F172" s="7">
        <f t="shared" si="20"/>
        <v>300</v>
      </c>
      <c r="G172" s="7">
        <v>300</v>
      </c>
      <c r="H172" s="7"/>
      <c r="I172" s="7"/>
      <c r="J172" s="7">
        <f>G172</f>
        <v>300</v>
      </c>
      <c r="K172" s="7"/>
      <c r="L172" s="7"/>
      <c r="M172" s="7"/>
      <c r="N172" s="7">
        <v>300</v>
      </c>
      <c r="O172" s="7"/>
      <c r="P172" s="7">
        <f>N172</f>
        <v>300</v>
      </c>
      <c r="IB172" s="53"/>
      <c r="IC172" s="53"/>
      <c r="ID172" s="53"/>
      <c r="IE172" s="53"/>
      <c r="IF172" s="53"/>
      <c r="IG172" s="53"/>
    </row>
    <row r="173" spans="1:241" s="25" customFormat="1" ht="29.25" customHeight="1">
      <c r="A173" s="8" t="s">
        <v>89</v>
      </c>
      <c r="B173" s="6"/>
      <c r="C173" s="6"/>
      <c r="D173" s="7">
        <v>123.45</v>
      </c>
      <c r="E173" s="7"/>
      <c r="F173" s="7">
        <f t="shared" si="20"/>
        <v>123.45</v>
      </c>
      <c r="G173" s="7">
        <f>F173</f>
        <v>123.45</v>
      </c>
      <c r="H173" s="7"/>
      <c r="I173" s="7"/>
      <c r="J173" s="7">
        <f>G173</f>
        <v>123.45</v>
      </c>
      <c r="K173" s="7"/>
      <c r="L173" s="7"/>
      <c r="M173" s="7"/>
      <c r="N173" s="7">
        <f>J173</f>
        <v>123.45</v>
      </c>
      <c r="O173" s="7"/>
      <c r="P173" s="7">
        <f>N173</f>
        <v>123.45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147</v>
      </c>
      <c r="B174" s="6"/>
      <c r="C174" s="6"/>
      <c r="D174" s="7">
        <v>11.549</v>
      </c>
      <c r="E174" s="7"/>
      <c r="F174" s="7">
        <f t="shared" si="20"/>
        <v>11.549</v>
      </c>
      <c r="G174" s="7">
        <v>11.549</v>
      </c>
      <c r="H174" s="7"/>
      <c r="I174" s="7">
        <f>G174</f>
        <v>11.549</v>
      </c>
      <c r="J174" s="7">
        <f>G174</f>
        <v>11.549</v>
      </c>
      <c r="K174" s="7"/>
      <c r="L174" s="7"/>
      <c r="M174" s="7"/>
      <c r="N174" s="7">
        <v>11.55</v>
      </c>
      <c r="O174" s="7"/>
      <c r="P174" s="7">
        <f>N174</f>
        <v>11.55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213</v>
      </c>
      <c r="B175" s="6"/>
      <c r="C175" s="6"/>
      <c r="D175" s="7">
        <v>5</v>
      </c>
      <c r="E175" s="7"/>
      <c r="F175" s="7">
        <f t="shared" si="20"/>
        <v>5</v>
      </c>
      <c r="G175" s="7">
        <v>4</v>
      </c>
      <c r="H175" s="7"/>
      <c r="I175" s="7"/>
      <c r="J175" s="7">
        <f>G175</f>
        <v>4</v>
      </c>
      <c r="K175" s="7"/>
      <c r="L175" s="7"/>
      <c r="M175" s="7"/>
      <c r="N175" s="7">
        <v>3</v>
      </c>
      <c r="O175" s="7"/>
      <c r="P175" s="7">
        <f>N175</f>
        <v>3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214</v>
      </c>
      <c r="B176" s="6"/>
      <c r="C176" s="6"/>
      <c r="D176" s="7"/>
      <c r="E176" s="7">
        <v>3.5</v>
      </c>
      <c r="F176" s="7">
        <f>E176</f>
        <v>3.5</v>
      </c>
      <c r="G176" s="7"/>
      <c r="H176" s="7">
        <v>3.5</v>
      </c>
      <c r="I176" s="7"/>
      <c r="J176" s="7">
        <f>H176</f>
        <v>3.5</v>
      </c>
      <c r="K176" s="7"/>
      <c r="L176" s="7"/>
      <c r="M176" s="7"/>
      <c r="N176" s="7"/>
      <c r="O176" s="7">
        <v>3.5</v>
      </c>
      <c r="P176" s="7"/>
      <c r="IB176" s="53"/>
      <c r="IC176" s="53"/>
      <c r="ID176" s="53"/>
      <c r="IE176" s="53"/>
      <c r="IF176" s="53"/>
      <c r="IG176" s="53"/>
    </row>
    <row r="177" spans="1:241" s="25" customFormat="1" ht="32.25" customHeight="1">
      <c r="A177" s="8" t="s">
        <v>231</v>
      </c>
      <c r="B177" s="6"/>
      <c r="C177" s="6"/>
      <c r="D177" s="7"/>
      <c r="E177" s="7">
        <v>25</v>
      </c>
      <c r="F177" s="7">
        <f>E177</f>
        <v>25</v>
      </c>
      <c r="G177" s="7"/>
      <c r="H177" s="7">
        <v>15</v>
      </c>
      <c r="I177" s="7"/>
      <c r="J177" s="7">
        <f>H177</f>
        <v>15</v>
      </c>
      <c r="K177" s="7"/>
      <c r="L177" s="7"/>
      <c r="M177" s="7"/>
      <c r="N177" s="7"/>
      <c r="O177" s="7">
        <v>10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26.25" customHeight="1">
      <c r="A178" s="8" t="s">
        <v>419</v>
      </c>
      <c r="B178" s="6"/>
      <c r="C178" s="6"/>
      <c r="D178" s="7"/>
      <c r="E178" s="7"/>
      <c r="F178" s="7"/>
      <c r="G178" s="7"/>
      <c r="H178" s="7">
        <v>6112</v>
      </c>
      <c r="I178" s="7"/>
      <c r="J178" s="7">
        <f>H178</f>
        <v>6112</v>
      </c>
      <c r="K178" s="7"/>
      <c r="L178" s="7"/>
      <c r="M178" s="7"/>
      <c r="N178" s="7"/>
      <c r="O178" s="7"/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421</v>
      </c>
      <c r="B179" s="6"/>
      <c r="C179" s="6"/>
      <c r="D179" s="7"/>
      <c r="E179" s="7"/>
      <c r="F179" s="7"/>
      <c r="G179" s="7"/>
      <c r="H179" s="7">
        <v>320</v>
      </c>
      <c r="I179" s="7"/>
      <c r="J179" s="7">
        <f>H179</f>
        <v>320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11.25">
      <c r="A180" s="5" t="s">
        <v>5</v>
      </c>
      <c r="B180" s="37"/>
      <c r="C180" s="37"/>
      <c r="D180" s="30"/>
      <c r="E180" s="30"/>
      <c r="F180" s="30"/>
      <c r="G180" s="30"/>
      <c r="H180" s="30"/>
      <c r="I180" s="30"/>
      <c r="J180" s="7"/>
      <c r="K180" s="7"/>
      <c r="L180" s="7"/>
      <c r="M180" s="7"/>
      <c r="N180" s="30"/>
      <c r="O180" s="30"/>
      <c r="P180" s="7"/>
      <c r="IB180" s="53"/>
      <c r="IC180" s="53"/>
      <c r="ID180" s="53"/>
      <c r="IE180" s="53"/>
      <c r="IF180" s="53"/>
      <c r="IG180" s="53"/>
    </row>
    <row r="181" spans="1:241" s="25" customFormat="1" ht="28.5" customHeight="1">
      <c r="A181" s="8" t="s">
        <v>90</v>
      </c>
      <c r="B181" s="6"/>
      <c r="C181" s="6"/>
      <c r="D181" s="7">
        <v>135</v>
      </c>
      <c r="E181" s="7"/>
      <c r="F181" s="7">
        <f>D181</f>
        <v>135</v>
      </c>
      <c r="G181" s="7">
        <f>F181</f>
        <v>135</v>
      </c>
      <c r="H181" s="7"/>
      <c r="I181" s="7"/>
      <c r="J181" s="7">
        <f aca="true" t="shared" si="21" ref="J181:J189">G181</f>
        <v>135</v>
      </c>
      <c r="K181" s="7"/>
      <c r="L181" s="7"/>
      <c r="M181" s="7"/>
      <c r="N181" s="7">
        <f>J181</f>
        <v>135</v>
      </c>
      <c r="O181" s="7"/>
      <c r="P181" s="7">
        <f aca="true" t="shared" si="22" ref="P181:P189">N181</f>
        <v>135</v>
      </c>
      <c r="IB181" s="53"/>
      <c r="IC181" s="53"/>
      <c r="ID181" s="53"/>
      <c r="IE181" s="53"/>
      <c r="IF181" s="53"/>
      <c r="IG181" s="53"/>
    </row>
    <row r="182" spans="1:241" s="25" customFormat="1" ht="22.5">
      <c r="A182" s="8" t="s">
        <v>91</v>
      </c>
      <c r="B182" s="6"/>
      <c r="C182" s="6"/>
      <c r="D182" s="7">
        <v>920</v>
      </c>
      <c r="E182" s="7"/>
      <c r="F182" s="7">
        <f aca="true" t="shared" si="23" ref="F182:F192">D182</f>
        <v>920</v>
      </c>
      <c r="G182" s="7">
        <v>920</v>
      </c>
      <c r="H182" s="7"/>
      <c r="I182" s="7"/>
      <c r="J182" s="7">
        <f t="shared" si="21"/>
        <v>920</v>
      </c>
      <c r="K182" s="7"/>
      <c r="L182" s="7"/>
      <c r="M182" s="7"/>
      <c r="N182" s="7">
        <v>920</v>
      </c>
      <c r="O182" s="7"/>
      <c r="P182" s="7">
        <f t="shared" si="22"/>
        <v>920</v>
      </c>
      <c r="IB182" s="53"/>
      <c r="IC182" s="53"/>
      <c r="ID182" s="53"/>
      <c r="IE182" s="53"/>
      <c r="IF182" s="53"/>
      <c r="IG182" s="53"/>
    </row>
    <row r="183" spans="1:241" s="25" customFormat="1" ht="26.25" customHeight="1">
      <c r="A183" s="8" t="s">
        <v>92</v>
      </c>
      <c r="B183" s="6"/>
      <c r="C183" s="6"/>
      <c r="D183" s="7">
        <v>800</v>
      </c>
      <c r="E183" s="7"/>
      <c r="F183" s="7">
        <f t="shared" si="23"/>
        <v>800</v>
      </c>
      <c r="G183" s="7">
        <v>800</v>
      </c>
      <c r="H183" s="7"/>
      <c r="I183" s="7"/>
      <c r="J183" s="7">
        <f t="shared" si="21"/>
        <v>800</v>
      </c>
      <c r="K183" s="7"/>
      <c r="L183" s="7"/>
      <c r="M183" s="7"/>
      <c r="N183" s="7">
        <v>800</v>
      </c>
      <c r="O183" s="7"/>
      <c r="P183" s="7">
        <f t="shared" si="22"/>
        <v>800</v>
      </c>
      <c r="IB183" s="53"/>
      <c r="IC183" s="53"/>
      <c r="ID183" s="53"/>
      <c r="IE183" s="53"/>
      <c r="IF183" s="53"/>
      <c r="IG183" s="53"/>
    </row>
    <row r="184" spans="1:241" s="25" customFormat="1" ht="33" customHeight="1">
      <c r="A184" s="8" t="s">
        <v>208</v>
      </c>
      <c r="B184" s="6"/>
      <c r="C184" s="6"/>
      <c r="D184" s="7"/>
      <c r="E184" s="7">
        <v>200</v>
      </c>
      <c r="F184" s="7">
        <f>E184</f>
        <v>200</v>
      </c>
      <c r="G184" s="7"/>
      <c r="H184" s="7">
        <v>200</v>
      </c>
      <c r="I184" s="7"/>
      <c r="J184" s="7">
        <f>H184</f>
        <v>200</v>
      </c>
      <c r="K184" s="7"/>
      <c r="L184" s="7"/>
      <c r="M184" s="7"/>
      <c r="N184" s="7"/>
      <c r="O184" s="7">
        <v>200</v>
      </c>
      <c r="P184" s="7">
        <f>O184</f>
        <v>200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341</v>
      </c>
      <c r="B185" s="6"/>
      <c r="C185" s="6"/>
      <c r="D185" s="7">
        <v>1000</v>
      </c>
      <c r="E185" s="7"/>
      <c r="F185" s="7">
        <f>D185</f>
        <v>1000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IB185" s="53"/>
      <c r="IC185" s="53"/>
      <c r="ID185" s="53"/>
      <c r="IE185" s="53"/>
      <c r="IF185" s="53"/>
      <c r="IG185" s="53"/>
    </row>
    <row r="186" spans="1:241" s="25" customFormat="1" ht="22.5">
      <c r="A186" s="8" t="s">
        <v>102</v>
      </c>
      <c r="B186" s="6"/>
      <c r="C186" s="6"/>
      <c r="D186" s="7">
        <v>300</v>
      </c>
      <c r="E186" s="7"/>
      <c r="F186" s="7">
        <f t="shared" si="23"/>
        <v>300</v>
      </c>
      <c r="G186" s="7">
        <v>300</v>
      </c>
      <c r="H186" s="7"/>
      <c r="I186" s="7"/>
      <c r="J186" s="7">
        <f t="shared" si="21"/>
        <v>300</v>
      </c>
      <c r="K186" s="7"/>
      <c r="L186" s="7"/>
      <c r="M186" s="7"/>
      <c r="N186" s="7">
        <v>300</v>
      </c>
      <c r="O186" s="7"/>
      <c r="P186" s="7">
        <f t="shared" si="22"/>
        <v>300</v>
      </c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93</v>
      </c>
      <c r="B187" s="6"/>
      <c r="C187" s="6"/>
      <c r="D187" s="7">
        <v>76.26</v>
      </c>
      <c r="E187" s="7"/>
      <c r="F187" s="7">
        <f t="shared" si="23"/>
        <v>76.26</v>
      </c>
      <c r="G187" s="7">
        <v>76.26</v>
      </c>
      <c r="H187" s="7"/>
      <c r="I187" s="7"/>
      <c r="J187" s="7">
        <f t="shared" si="21"/>
        <v>76.26</v>
      </c>
      <c r="K187" s="7"/>
      <c r="L187" s="7"/>
      <c r="M187" s="7"/>
      <c r="N187" s="7">
        <f>J187</f>
        <v>76.26</v>
      </c>
      <c r="O187" s="7"/>
      <c r="P187" s="7">
        <f t="shared" si="22"/>
        <v>76.26</v>
      </c>
      <c r="IB187" s="53"/>
      <c r="IC187" s="53"/>
      <c r="ID187" s="53"/>
      <c r="IE187" s="53"/>
      <c r="IF187" s="53"/>
      <c r="IG187" s="53"/>
    </row>
    <row r="188" spans="1:241" s="25" customFormat="1" ht="24" customHeight="1">
      <c r="A188" s="8" t="s">
        <v>229</v>
      </c>
      <c r="B188" s="6"/>
      <c r="C188" s="6"/>
      <c r="D188" s="7">
        <v>5</v>
      </c>
      <c r="E188" s="7"/>
      <c r="F188" s="7">
        <f t="shared" si="23"/>
        <v>5</v>
      </c>
      <c r="G188" s="7">
        <f>F188</f>
        <v>5</v>
      </c>
      <c r="H188" s="7"/>
      <c r="I188" s="7"/>
      <c r="J188" s="7">
        <f t="shared" si="21"/>
        <v>5</v>
      </c>
      <c r="K188" s="7"/>
      <c r="L188" s="7"/>
      <c r="M188" s="7"/>
      <c r="N188" s="7">
        <f>J188</f>
        <v>5</v>
      </c>
      <c r="O188" s="7"/>
      <c r="P188" s="7">
        <f t="shared" si="22"/>
        <v>5</v>
      </c>
      <c r="IB188" s="53"/>
      <c r="IC188" s="53"/>
      <c r="ID188" s="53"/>
      <c r="IE188" s="53"/>
      <c r="IF188" s="53"/>
      <c r="IG188" s="53"/>
    </row>
    <row r="189" spans="1:241" s="25" customFormat="1" ht="21.75" customHeight="1">
      <c r="A189" s="8" t="s">
        <v>136</v>
      </c>
      <c r="B189" s="6"/>
      <c r="C189" s="6"/>
      <c r="D189" s="7">
        <v>2</v>
      </c>
      <c r="E189" s="7"/>
      <c r="F189" s="7">
        <f t="shared" si="23"/>
        <v>2</v>
      </c>
      <c r="G189" s="7">
        <v>2</v>
      </c>
      <c r="H189" s="7"/>
      <c r="I189" s="7"/>
      <c r="J189" s="7">
        <f t="shared" si="21"/>
        <v>2</v>
      </c>
      <c r="K189" s="7"/>
      <c r="L189" s="7"/>
      <c r="M189" s="7"/>
      <c r="N189" s="7">
        <v>2</v>
      </c>
      <c r="O189" s="7"/>
      <c r="P189" s="7">
        <f t="shared" si="22"/>
        <v>2</v>
      </c>
      <c r="IB189" s="53"/>
      <c r="IC189" s="53"/>
      <c r="ID189" s="53"/>
      <c r="IE189" s="53"/>
      <c r="IF189" s="53"/>
      <c r="IG189" s="53"/>
    </row>
    <row r="190" spans="1:241" s="25" customFormat="1" ht="28.5" customHeight="1">
      <c r="A190" s="8" t="s">
        <v>148</v>
      </c>
      <c r="B190" s="6"/>
      <c r="C190" s="6"/>
      <c r="D190" s="7">
        <v>11.549</v>
      </c>
      <c r="E190" s="7"/>
      <c r="F190" s="7">
        <f t="shared" si="23"/>
        <v>11.549</v>
      </c>
      <c r="G190" s="7">
        <v>11.549</v>
      </c>
      <c r="H190" s="7"/>
      <c r="I190" s="7"/>
      <c r="J190" s="7">
        <v>11.55</v>
      </c>
      <c r="K190" s="7"/>
      <c r="L190" s="7"/>
      <c r="M190" s="7"/>
      <c r="N190" s="7">
        <v>11.549</v>
      </c>
      <c r="O190" s="7"/>
      <c r="P190" s="7">
        <v>11.55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215</v>
      </c>
      <c r="B191" s="6"/>
      <c r="C191" s="6"/>
      <c r="D191" s="7">
        <v>5</v>
      </c>
      <c r="E191" s="7"/>
      <c r="F191" s="7">
        <f t="shared" si="23"/>
        <v>5</v>
      </c>
      <c r="G191" s="7">
        <v>10</v>
      </c>
      <c r="H191" s="7"/>
      <c r="I191" s="7"/>
      <c r="J191" s="7">
        <f>G191</f>
        <v>10</v>
      </c>
      <c r="K191" s="7"/>
      <c r="L191" s="7"/>
      <c r="M191" s="7"/>
      <c r="N191" s="7">
        <v>15</v>
      </c>
      <c r="O191" s="7"/>
      <c r="P191" s="7">
        <f>N191</f>
        <v>15</v>
      </c>
      <c r="IB191" s="53"/>
      <c r="IC191" s="53"/>
      <c r="ID191" s="53"/>
      <c r="IE191" s="53"/>
      <c r="IF191" s="53"/>
      <c r="IG191" s="53"/>
    </row>
    <row r="192" spans="1:241" s="25" customFormat="1" ht="34.5" customHeight="1">
      <c r="A192" s="8" t="s">
        <v>216</v>
      </c>
      <c r="B192" s="6"/>
      <c r="C192" s="6"/>
      <c r="D192" s="7"/>
      <c r="E192" s="7">
        <v>3.5</v>
      </c>
      <c r="F192" s="7">
        <f t="shared" si="23"/>
        <v>0</v>
      </c>
      <c r="G192" s="7"/>
      <c r="H192" s="7">
        <v>3.5</v>
      </c>
      <c r="I192" s="7"/>
      <c r="J192" s="7">
        <f>G192</f>
        <v>0</v>
      </c>
      <c r="K192" s="7"/>
      <c r="L192" s="7"/>
      <c r="M192" s="7"/>
      <c r="N192" s="7"/>
      <c r="O192" s="7">
        <v>3.5</v>
      </c>
      <c r="P192" s="7">
        <f>N192</f>
        <v>0</v>
      </c>
      <c r="IB192" s="53"/>
      <c r="IC192" s="53"/>
      <c r="ID192" s="53"/>
      <c r="IE192" s="53"/>
      <c r="IF192" s="53"/>
      <c r="IG192" s="53"/>
    </row>
    <row r="193" spans="1:241" s="25" customFormat="1" ht="33" customHeight="1">
      <c r="A193" s="8" t="s">
        <v>232</v>
      </c>
      <c r="B193" s="6"/>
      <c r="C193" s="6"/>
      <c r="D193" s="7"/>
      <c r="E193" s="7">
        <v>10</v>
      </c>
      <c r="F193" s="7"/>
      <c r="G193" s="7"/>
      <c r="H193" s="7">
        <v>5</v>
      </c>
      <c r="I193" s="7"/>
      <c r="J193" s="7"/>
      <c r="K193" s="7"/>
      <c r="L193" s="7"/>
      <c r="M193" s="7"/>
      <c r="N193" s="7"/>
      <c r="O193" s="7">
        <v>10</v>
      </c>
      <c r="P193" s="7"/>
      <c r="IB193" s="53"/>
      <c r="IC193" s="53"/>
      <c r="ID193" s="53"/>
      <c r="IE193" s="53"/>
      <c r="IF193" s="53"/>
      <c r="IG193" s="53"/>
    </row>
    <row r="194" spans="1:241" s="25" customFormat="1" ht="11.25">
      <c r="A194" s="5" t="s">
        <v>7</v>
      </c>
      <c r="B194" s="37"/>
      <c r="C194" s="37"/>
      <c r="D194" s="30"/>
      <c r="E194" s="30"/>
      <c r="F194" s="7"/>
      <c r="G194" s="30"/>
      <c r="H194" s="30"/>
      <c r="I194" s="30"/>
      <c r="J194" s="7"/>
      <c r="K194" s="7"/>
      <c r="L194" s="7"/>
      <c r="M194" s="7"/>
      <c r="N194" s="30"/>
      <c r="O194" s="30"/>
      <c r="P194" s="7"/>
      <c r="IB194" s="53"/>
      <c r="IC194" s="53"/>
      <c r="ID194" s="53"/>
      <c r="IE194" s="53"/>
      <c r="IF194" s="53"/>
      <c r="IG194" s="53"/>
    </row>
    <row r="195" spans="1:241" s="25" customFormat="1" ht="33.75">
      <c r="A195" s="8" t="s">
        <v>94</v>
      </c>
      <c r="B195" s="37"/>
      <c r="C195" s="37"/>
      <c r="D195" s="7">
        <v>46611.41</v>
      </c>
      <c r="E195" s="30"/>
      <c r="F195" s="7">
        <f>D195</f>
        <v>46611.41</v>
      </c>
      <c r="G195" s="7">
        <v>48277.615</v>
      </c>
      <c r="H195" s="30"/>
      <c r="I195" s="30"/>
      <c r="J195" s="7">
        <f aca="true" t="shared" si="24" ref="J195:J204">G195</f>
        <v>48277.615</v>
      </c>
      <c r="K195" s="7"/>
      <c r="L195" s="7"/>
      <c r="M195" s="7"/>
      <c r="N195" s="7">
        <v>50079.48</v>
      </c>
      <c r="O195" s="30"/>
      <c r="P195" s="7">
        <f aca="true" t="shared" si="25" ref="P195:P206">N195</f>
        <v>50079.48</v>
      </c>
      <c r="IB195" s="53"/>
      <c r="IC195" s="53"/>
      <c r="ID195" s="53"/>
      <c r="IE195" s="53"/>
      <c r="IF195" s="53"/>
      <c r="IG195" s="53"/>
    </row>
    <row r="196" spans="1:241" s="25" customFormat="1" ht="22.5">
      <c r="A196" s="8" t="s">
        <v>95</v>
      </c>
      <c r="B196" s="6"/>
      <c r="C196" s="6"/>
      <c r="D196" s="7">
        <v>1850.5</v>
      </c>
      <c r="E196" s="7"/>
      <c r="F196" s="7">
        <f>D196</f>
        <v>1850.5</v>
      </c>
      <c r="G196" s="7">
        <v>1910.35</v>
      </c>
      <c r="H196" s="7"/>
      <c r="I196" s="7"/>
      <c r="J196" s="7">
        <f t="shared" si="24"/>
        <v>1910.35</v>
      </c>
      <c r="K196" s="7"/>
      <c r="L196" s="7"/>
      <c r="M196" s="7"/>
      <c r="N196" s="7">
        <v>1950.3</v>
      </c>
      <c r="O196" s="7"/>
      <c r="P196" s="7">
        <f t="shared" si="25"/>
        <v>1950.3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96</v>
      </c>
      <c r="B197" s="6"/>
      <c r="C197" s="6"/>
      <c r="D197" s="7">
        <v>943.75</v>
      </c>
      <c r="E197" s="7"/>
      <c r="F197" s="7">
        <f aca="true" t="shared" si="26" ref="F197:F206">D197</f>
        <v>943.75</v>
      </c>
      <c r="G197" s="7">
        <v>975</v>
      </c>
      <c r="H197" s="7"/>
      <c r="I197" s="7"/>
      <c r="J197" s="7">
        <f t="shared" si="24"/>
        <v>975</v>
      </c>
      <c r="K197" s="7"/>
      <c r="L197" s="7"/>
      <c r="M197" s="7"/>
      <c r="N197" s="7">
        <v>1018.75</v>
      </c>
      <c r="O197" s="7"/>
      <c r="P197" s="7">
        <f t="shared" si="25"/>
        <v>1018.75</v>
      </c>
      <c r="IB197" s="53"/>
      <c r="IC197" s="53"/>
      <c r="ID197" s="53"/>
      <c r="IE197" s="53"/>
      <c r="IF197" s="53"/>
      <c r="IG197" s="53"/>
    </row>
    <row r="198" spans="1:241" s="25" customFormat="1" ht="27" customHeight="1">
      <c r="A198" s="8" t="s">
        <v>209</v>
      </c>
      <c r="B198" s="6"/>
      <c r="C198" s="6"/>
      <c r="D198" s="7"/>
      <c r="E198" s="7">
        <v>700</v>
      </c>
      <c r="F198" s="7">
        <f>E198</f>
        <v>700</v>
      </c>
      <c r="G198" s="7"/>
      <c r="H198" s="7">
        <v>800</v>
      </c>
      <c r="I198" s="7"/>
      <c r="J198" s="7">
        <f>H198</f>
        <v>800</v>
      </c>
      <c r="K198" s="7"/>
      <c r="L198" s="7"/>
      <c r="M198" s="7"/>
      <c r="N198" s="7"/>
      <c r="O198" s="7">
        <v>850</v>
      </c>
      <c r="P198" s="7">
        <f>O198</f>
        <v>850</v>
      </c>
      <c r="IB198" s="53"/>
      <c r="IC198" s="53"/>
      <c r="ID198" s="53"/>
      <c r="IE198" s="53"/>
      <c r="IF198" s="53"/>
      <c r="IG198" s="53"/>
    </row>
    <row r="199" spans="1:241" s="25" customFormat="1" ht="22.5" customHeight="1">
      <c r="A199" s="8" t="s">
        <v>420</v>
      </c>
      <c r="B199" s="6"/>
      <c r="C199" s="6"/>
      <c r="D199" s="7"/>
      <c r="E199" s="7"/>
      <c r="F199" s="7"/>
      <c r="G199" s="7"/>
      <c r="H199" s="7">
        <v>65.45</v>
      </c>
      <c r="I199" s="7"/>
      <c r="J199" s="7"/>
      <c r="K199" s="7"/>
      <c r="L199" s="7"/>
      <c r="M199" s="7"/>
      <c r="N199" s="7"/>
      <c r="O199" s="7"/>
      <c r="P199" s="7"/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342</v>
      </c>
      <c r="B200" s="6"/>
      <c r="C200" s="6"/>
      <c r="D200" s="7">
        <v>500</v>
      </c>
      <c r="E200" s="7"/>
      <c r="F200" s="7"/>
      <c r="G200" s="7"/>
      <c r="H200" s="7">
        <v>1562.5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2.5">
      <c r="A201" s="8" t="s">
        <v>97</v>
      </c>
      <c r="B201" s="6"/>
      <c r="C201" s="6"/>
      <c r="D201" s="7">
        <v>5866.6666666</v>
      </c>
      <c r="E201" s="7"/>
      <c r="F201" s="7">
        <f t="shared" si="26"/>
        <v>5866.6666666</v>
      </c>
      <c r="G201" s="7">
        <v>6433.333333</v>
      </c>
      <c r="H201" s="7"/>
      <c r="I201" s="7"/>
      <c r="J201" s="7">
        <f t="shared" si="24"/>
        <v>6433.333333</v>
      </c>
      <c r="K201" s="7"/>
      <c r="L201" s="7"/>
      <c r="M201" s="7"/>
      <c r="N201" s="7">
        <v>6966.666666</v>
      </c>
      <c r="O201" s="7"/>
      <c r="P201" s="7">
        <f t="shared" si="25"/>
        <v>6966.666666</v>
      </c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98</v>
      </c>
      <c r="B202" s="6"/>
      <c r="C202" s="6"/>
      <c r="D202" s="7">
        <v>89260.4248623</v>
      </c>
      <c r="E202" s="7"/>
      <c r="F202" s="7">
        <f t="shared" si="26"/>
        <v>89260.4248623</v>
      </c>
      <c r="G202" s="7">
        <v>93377.9176501</v>
      </c>
      <c r="H202" s="7"/>
      <c r="I202" s="7"/>
      <c r="J202" s="7">
        <f t="shared" si="24"/>
        <v>93377.9176501</v>
      </c>
      <c r="K202" s="7"/>
      <c r="L202" s="7"/>
      <c r="M202" s="7"/>
      <c r="N202" s="7">
        <v>98806.7138735</v>
      </c>
      <c r="O202" s="7"/>
      <c r="P202" s="7">
        <f t="shared" si="25"/>
        <v>98806.7138735</v>
      </c>
      <c r="IB202" s="53"/>
      <c r="IC202" s="53"/>
      <c r="ID202" s="53"/>
      <c r="IE202" s="53"/>
      <c r="IF202" s="53"/>
      <c r="IG202" s="53"/>
    </row>
    <row r="203" spans="1:241" s="25" customFormat="1" ht="29.25" customHeight="1">
      <c r="A203" s="8" t="s">
        <v>230</v>
      </c>
      <c r="B203" s="6"/>
      <c r="C203" s="6"/>
      <c r="D203" s="7">
        <v>38000</v>
      </c>
      <c r="E203" s="7"/>
      <c r="F203" s="7">
        <f t="shared" si="26"/>
        <v>38000</v>
      </c>
      <c r="G203" s="7">
        <v>38000</v>
      </c>
      <c r="H203" s="7"/>
      <c r="I203" s="7"/>
      <c r="J203" s="7">
        <f t="shared" si="24"/>
        <v>38000</v>
      </c>
      <c r="K203" s="7"/>
      <c r="L203" s="7"/>
      <c r="M203" s="7"/>
      <c r="N203" s="7">
        <v>38000</v>
      </c>
      <c r="O203" s="7"/>
      <c r="P203" s="7">
        <f t="shared" si="25"/>
        <v>38000</v>
      </c>
      <c r="IB203" s="53"/>
      <c r="IC203" s="53"/>
      <c r="ID203" s="53"/>
      <c r="IE203" s="53"/>
      <c r="IF203" s="53"/>
      <c r="IG203" s="53"/>
    </row>
    <row r="204" spans="1:241" s="25" customFormat="1" ht="27" customHeight="1">
      <c r="A204" s="8" t="s">
        <v>137</v>
      </c>
      <c r="B204" s="6"/>
      <c r="C204" s="6"/>
      <c r="D204" s="7">
        <v>3988</v>
      </c>
      <c r="E204" s="7"/>
      <c r="F204" s="7">
        <f t="shared" si="26"/>
        <v>3988</v>
      </c>
      <c r="G204" s="7">
        <v>4000</v>
      </c>
      <c r="H204" s="7"/>
      <c r="I204" s="7"/>
      <c r="J204" s="7">
        <f t="shared" si="24"/>
        <v>4000</v>
      </c>
      <c r="K204" s="7"/>
      <c r="L204" s="7"/>
      <c r="M204" s="7"/>
      <c r="N204" s="7">
        <v>4100</v>
      </c>
      <c r="O204" s="7"/>
      <c r="P204" s="7">
        <f t="shared" si="25"/>
        <v>4100</v>
      </c>
      <c r="IB204" s="53"/>
      <c r="IC204" s="53"/>
      <c r="ID204" s="53"/>
      <c r="IE204" s="53"/>
      <c r="IF204" s="53"/>
      <c r="IG204" s="53"/>
    </row>
    <row r="205" spans="1:241" s="25" customFormat="1" ht="33.75" customHeight="1">
      <c r="A205" s="8" t="s">
        <v>149</v>
      </c>
      <c r="B205" s="6"/>
      <c r="C205" s="6"/>
      <c r="D205" s="7">
        <v>12122.2616676</v>
      </c>
      <c r="E205" s="7"/>
      <c r="F205" s="7">
        <f t="shared" si="26"/>
        <v>12122.2616676</v>
      </c>
      <c r="G205" s="7">
        <v>17317.5166681</v>
      </c>
      <c r="H205" s="7"/>
      <c r="I205" s="7"/>
      <c r="J205" s="7">
        <f>G205</f>
        <v>17317.5166681</v>
      </c>
      <c r="K205" s="7"/>
      <c r="L205" s="7"/>
      <c r="M205" s="7"/>
      <c r="N205" s="7">
        <v>22512.7716685</v>
      </c>
      <c r="O205" s="7"/>
      <c r="P205" s="7">
        <f t="shared" si="25"/>
        <v>22512.7716685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217</v>
      </c>
      <c r="B206" s="6"/>
      <c r="C206" s="6"/>
      <c r="D206" s="7">
        <v>200000</v>
      </c>
      <c r="E206" s="7"/>
      <c r="F206" s="7">
        <f t="shared" si="26"/>
        <v>200000</v>
      </c>
      <c r="G206" s="7">
        <v>120000</v>
      </c>
      <c r="H206" s="7"/>
      <c r="I206" s="7"/>
      <c r="J206" s="7">
        <f>G206</f>
        <v>120000</v>
      </c>
      <c r="K206" s="7"/>
      <c r="L206" s="7"/>
      <c r="M206" s="7"/>
      <c r="N206" s="7">
        <v>100000</v>
      </c>
      <c r="O206" s="7"/>
      <c r="P206" s="7">
        <f t="shared" si="25"/>
        <v>100000</v>
      </c>
      <c r="IB206" s="53"/>
      <c r="IC206" s="53"/>
      <c r="ID206" s="53"/>
      <c r="IE206" s="53"/>
      <c r="IF206" s="53"/>
      <c r="IG206" s="53"/>
    </row>
    <row r="207" spans="1:241" s="25" customFormat="1" ht="36" customHeight="1">
      <c r="A207" s="8" t="s">
        <v>237</v>
      </c>
      <c r="B207" s="6"/>
      <c r="C207" s="6"/>
      <c r="D207" s="7"/>
      <c r="E207" s="7">
        <v>1428571.42857</v>
      </c>
      <c r="F207" s="7"/>
      <c r="G207" s="7"/>
      <c r="H207" s="7">
        <v>1428571.42857</v>
      </c>
      <c r="I207" s="7"/>
      <c r="J207" s="7"/>
      <c r="K207" s="7"/>
      <c r="L207" s="7"/>
      <c r="M207" s="7"/>
      <c r="N207" s="7"/>
      <c r="O207" s="7">
        <v>1428571.42857</v>
      </c>
      <c r="P207" s="7"/>
      <c r="IB207" s="53"/>
      <c r="IC207" s="53"/>
      <c r="ID207" s="53"/>
      <c r="IE207" s="53"/>
      <c r="IF207" s="53"/>
      <c r="IG207" s="53"/>
    </row>
    <row r="208" spans="1:241" s="25" customFormat="1" ht="42" customHeight="1">
      <c r="A208" s="8" t="s">
        <v>233</v>
      </c>
      <c r="B208" s="6"/>
      <c r="C208" s="6"/>
      <c r="D208" s="7"/>
      <c r="E208" s="7">
        <v>1800000</v>
      </c>
      <c r="F208" s="7"/>
      <c r="G208" s="7"/>
      <c r="H208" s="7">
        <v>3600000</v>
      </c>
      <c r="I208" s="7"/>
      <c r="J208" s="7"/>
      <c r="K208" s="7"/>
      <c r="L208" s="7"/>
      <c r="M208" s="7"/>
      <c r="N208" s="7"/>
      <c r="O208" s="7">
        <v>1800000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11.25">
      <c r="A209" s="5" t="s">
        <v>6</v>
      </c>
      <c r="B209" s="37"/>
      <c r="C209" s="37"/>
      <c r="D209" s="30"/>
      <c r="E209" s="30"/>
      <c r="F209" s="7"/>
      <c r="G209" s="30"/>
      <c r="H209" s="30"/>
      <c r="I209" s="30"/>
      <c r="J209" s="7"/>
      <c r="K209" s="7"/>
      <c r="L209" s="7"/>
      <c r="M209" s="7"/>
      <c r="N209" s="30"/>
      <c r="O209" s="30"/>
      <c r="P209" s="7"/>
      <c r="IB209" s="53"/>
      <c r="IC209" s="53"/>
      <c r="ID209" s="53"/>
      <c r="IE209" s="53"/>
      <c r="IF209" s="53"/>
      <c r="IG209" s="53"/>
    </row>
    <row r="210" spans="1:241" s="25" customFormat="1" ht="39" customHeight="1">
      <c r="A210" s="8" t="s">
        <v>99</v>
      </c>
      <c r="B210" s="6"/>
      <c r="C210" s="6"/>
      <c r="D210" s="7">
        <f>D181/D168*100</f>
        <v>100</v>
      </c>
      <c r="E210" s="7"/>
      <c r="F210" s="7">
        <f aca="true" t="shared" si="27" ref="F210:G212">F181/F168*100</f>
        <v>100</v>
      </c>
      <c r="G210" s="7">
        <f t="shared" si="27"/>
        <v>100</v>
      </c>
      <c r="H210" s="7"/>
      <c r="I210" s="7"/>
      <c r="J210" s="7">
        <f aca="true" t="shared" si="28" ref="J210:N212">J181/J168*100</f>
        <v>100</v>
      </c>
      <c r="K210" s="7" t="e">
        <f t="shared" si="28"/>
        <v>#DIV/0!</v>
      </c>
      <c r="L210" s="7" t="e">
        <f t="shared" si="28"/>
        <v>#DIV/0!</v>
      </c>
      <c r="M210" s="7" t="e">
        <f t="shared" si="28"/>
        <v>#DIV/0!</v>
      </c>
      <c r="N210" s="7">
        <f t="shared" si="28"/>
        <v>100</v>
      </c>
      <c r="O210" s="7"/>
      <c r="P210" s="7">
        <f>P181/P168*100</f>
        <v>100</v>
      </c>
      <c r="IB210" s="53"/>
      <c r="IC210" s="53"/>
      <c r="ID210" s="53"/>
      <c r="IE210" s="53"/>
      <c r="IF210" s="53"/>
      <c r="IG210" s="53"/>
    </row>
    <row r="211" spans="1:241" s="25" customFormat="1" ht="41.25" customHeight="1">
      <c r="A211" s="8" t="s">
        <v>100</v>
      </c>
      <c r="B211" s="6"/>
      <c r="C211" s="6"/>
      <c r="D211" s="7">
        <f>D182/D169*100</f>
        <v>18.969072164948454</v>
      </c>
      <c r="E211" s="7"/>
      <c r="F211" s="7">
        <f t="shared" si="27"/>
        <v>18.969072164948454</v>
      </c>
      <c r="G211" s="7">
        <f t="shared" si="27"/>
        <v>18.969072164948454</v>
      </c>
      <c r="H211" s="7"/>
      <c r="I211" s="7"/>
      <c r="J211" s="7">
        <f t="shared" si="28"/>
        <v>18.969072164948454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18.969072164948454</v>
      </c>
      <c r="O211" s="7"/>
      <c r="P211" s="7">
        <f>P182/P169*100</f>
        <v>18.969072164948454</v>
      </c>
      <c r="IB211" s="53"/>
      <c r="IC211" s="53"/>
      <c r="ID211" s="53"/>
      <c r="IE211" s="53"/>
      <c r="IF211" s="53"/>
      <c r="IG211" s="53"/>
    </row>
    <row r="212" spans="1:241" s="25" customFormat="1" ht="35.25" customHeight="1">
      <c r="A212" s="8" t="s">
        <v>101</v>
      </c>
      <c r="B212" s="6"/>
      <c r="C212" s="6"/>
      <c r="D212" s="7">
        <f>D183/D170*100</f>
        <v>9.744214372716199</v>
      </c>
      <c r="E212" s="7"/>
      <c r="F212" s="7">
        <f t="shared" si="27"/>
        <v>9.744214372716199</v>
      </c>
      <c r="G212" s="7">
        <f t="shared" si="27"/>
        <v>9.744214372716199</v>
      </c>
      <c r="H212" s="7"/>
      <c r="I212" s="7"/>
      <c r="J212" s="7">
        <f t="shared" si="28"/>
        <v>9.744214372716199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9.744214372716199</v>
      </c>
      <c r="O212" s="7"/>
      <c r="P212" s="7">
        <f>P183/P170*100</f>
        <v>9.744214372716199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34" t="s">
        <v>387</v>
      </c>
      <c r="B213" s="20"/>
      <c r="C213" s="20"/>
      <c r="D213" s="43"/>
      <c r="E213" s="57">
        <f>SUM(E215)</f>
        <v>138333</v>
      </c>
      <c r="F213" s="57">
        <f>SUM(E213)</f>
        <v>138333</v>
      </c>
      <c r="G213" s="45"/>
      <c r="H213" s="45">
        <f>H215</f>
        <v>700000</v>
      </c>
      <c r="I213" s="45"/>
      <c r="J213" s="45">
        <f>H213</f>
        <v>700000</v>
      </c>
      <c r="K213" s="45"/>
      <c r="L213" s="45"/>
      <c r="M213" s="45"/>
      <c r="N213" s="45"/>
      <c r="O213" s="45"/>
      <c r="P213" s="45"/>
      <c r="IB213" s="53"/>
      <c r="IC213" s="53"/>
      <c r="ID213" s="53"/>
      <c r="IE213" s="53"/>
      <c r="IF213" s="53"/>
      <c r="IG213" s="53"/>
    </row>
    <row r="214" spans="1:241" s="25" customFormat="1" ht="9.75" customHeight="1">
      <c r="A214" s="13" t="s">
        <v>4</v>
      </c>
      <c r="B214" s="20"/>
      <c r="C214" s="20"/>
      <c r="D214" s="43"/>
      <c r="E214" s="44"/>
      <c r="F214" s="44"/>
      <c r="G214" s="44"/>
      <c r="H214" s="44"/>
      <c r="I214" s="44"/>
      <c r="J214" s="44">
        <f aca="true" t="shared" si="29" ref="J214:J219">H214</f>
        <v>0</v>
      </c>
      <c r="K214" s="44"/>
      <c r="L214" s="44"/>
      <c r="M214" s="44"/>
      <c r="N214" s="44"/>
      <c r="O214" s="44"/>
      <c r="P214" s="44"/>
      <c r="IB214" s="53"/>
      <c r="IC214" s="53"/>
      <c r="ID214" s="53"/>
      <c r="IE214" s="53"/>
      <c r="IF214" s="53"/>
      <c r="IG214" s="53"/>
    </row>
    <row r="215" spans="1:241" s="25" customFormat="1" ht="18.75" customHeight="1">
      <c r="A215" s="16" t="s">
        <v>198</v>
      </c>
      <c r="B215" s="46"/>
      <c r="C215" s="46"/>
      <c r="D215" s="47"/>
      <c r="E215" s="48">
        <v>138333</v>
      </c>
      <c r="F215" s="48">
        <f>SUM(E215)</f>
        <v>138333</v>
      </c>
      <c r="G215" s="26"/>
      <c r="H215" s="48">
        <v>700000</v>
      </c>
      <c r="I215" s="26"/>
      <c r="J215" s="44">
        <f t="shared" si="29"/>
        <v>700000</v>
      </c>
      <c r="K215" s="48"/>
      <c r="L215" s="48"/>
      <c r="M215" s="48"/>
      <c r="N215" s="48"/>
      <c r="O215" s="48"/>
      <c r="P215" s="48"/>
      <c r="IB215" s="53"/>
      <c r="IC215" s="53"/>
      <c r="ID215" s="53"/>
      <c r="IE215" s="53"/>
      <c r="IF215" s="53"/>
      <c r="IG215" s="53"/>
    </row>
    <row r="216" spans="1:241" s="25" customFormat="1" ht="15" customHeight="1">
      <c r="A216" s="5" t="s">
        <v>5</v>
      </c>
      <c r="B216" s="20"/>
      <c r="C216" s="20"/>
      <c r="D216" s="49"/>
      <c r="E216" s="44"/>
      <c r="F216" s="48">
        <f>SUM(E216)</f>
        <v>0</v>
      </c>
      <c r="G216" s="50"/>
      <c r="H216" s="44"/>
      <c r="I216" s="50"/>
      <c r="J216" s="44">
        <f t="shared" si="29"/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27.75" customHeight="1">
      <c r="A217" s="8" t="s">
        <v>347</v>
      </c>
      <c r="B217" s="20"/>
      <c r="C217" s="20"/>
      <c r="D217" s="49"/>
      <c r="E217" s="44">
        <v>260</v>
      </c>
      <c r="F217" s="48">
        <f>SUM(E217)</f>
        <v>260</v>
      </c>
      <c r="G217" s="50"/>
      <c r="H217" s="44">
        <v>780</v>
      </c>
      <c r="I217" s="50"/>
      <c r="J217" s="44">
        <f t="shared" si="29"/>
        <v>780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12.75" customHeight="1">
      <c r="A218" s="19" t="s">
        <v>7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9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4.75" customHeight="1">
      <c r="A219" s="8" t="s">
        <v>348</v>
      </c>
      <c r="B219" s="6"/>
      <c r="C219" s="6"/>
      <c r="D219" s="7"/>
      <c r="E219" s="7">
        <f>SUM(E215)/E217</f>
        <v>532.05</v>
      </c>
      <c r="F219" s="48">
        <f>SUM(E219)</f>
        <v>532.05</v>
      </c>
      <c r="G219" s="7"/>
      <c r="H219" s="7">
        <f>H215/H217</f>
        <v>897.4358974358975</v>
      </c>
      <c r="I219" s="7"/>
      <c r="J219" s="44">
        <f t="shared" si="29"/>
        <v>897.4358974358975</v>
      </c>
      <c r="K219" s="7"/>
      <c r="L219" s="7"/>
      <c r="M219" s="7"/>
      <c r="N219" s="7"/>
      <c r="O219" s="7"/>
      <c r="P219" s="7"/>
      <c r="IB219" s="53"/>
      <c r="IC219" s="53"/>
      <c r="ID219" s="53"/>
      <c r="IE219" s="53"/>
      <c r="IF219" s="53"/>
      <c r="IG219" s="53"/>
    </row>
    <row r="220" spans="1:241" s="38" customFormat="1" ht="45">
      <c r="A220" s="34" t="s">
        <v>388</v>
      </c>
      <c r="B220" s="35"/>
      <c r="C220" s="35"/>
      <c r="D220" s="36">
        <f>D222+D223+D224+D226</f>
        <v>20696700</v>
      </c>
      <c r="E220" s="36">
        <f>E227</f>
        <v>1000000</v>
      </c>
      <c r="F220" s="36">
        <f>D220+E220</f>
        <v>21696700</v>
      </c>
      <c r="G220" s="36">
        <f>G222+G223+G224+G226+120000</f>
        <v>21211500</v>
      </c>
      <c r="H220" s="36">
        <f>H227</f>
        <v>1500000</v>
      </c>
      <c r="I220" s="36"/>
      <c r="J220" s="36">
        <f>G220+H220</f>
        <v>22711500</v>
      </c>
      <c r="K220" s="36" t="e">
        <f>(K222*K235)+(K230*K236)+(K231*K237)+(#REF!*#REF!)+11.5</f>
        <v>#REF!</v>
      </c>
      <c r="L220" s="36" t="e">
        <f>(L222*L235)+(L230*L236)+(L231*L237)+(#REF!*#REF!)+11.5</f>
        <v>#REF!</v>
      </c>
      <c r="M220" s="36" t="e">
        <f>(M222*M235)+(M230*M236)+(M231*M237)+(#REF!*#REF!)+11.5</f>
        <v>#REF!</v>
      </c>
      <c r="N220" s="36">
        <f>N222+N223+N224+N226+125000</f>
        <v>21329000</v>
      </c>
      <c r="O220" s="36">
        <f>O227</f>
        <v>2000000</v>
      </c>
      <c r="P220" s="36">
        <f>N220+O220</f>
        <v>23329000</v>
      </c>
      <c r="IB220" s="39"/>
      <c r="IC220" s="39"/>
      <c r="ID220" s="39"/>
      <c r="IE220" s="39"/>
      <c r="IF220" s="39"/>
      <c r="IG220" s="39"/>
    </row>
    <row r="221" spans="1:241" s="25" customFormat="1" ht="11.25">
      <c r="A221" s="5" t="s">
        <v>4</v>
      </c>
      <c r="B221" s="37"/>
      <c r="C221" s="37"/>
      <c r="D221" s="30"/>
      <c r="E221" s="30"/>
      <c r="F221" s="30"/>
      <c r="G221" s="30"/>
      <c r="H221" s="30"/>
      <c r="I221" s="30"/>
      <c r="J221" s="7"/>
      <c r="K221" s="7"/>
      <c r="L221" s="7"/>
      <c r="M221" s="7"/>
      <c r="N221" s="30"/>
      <c r="O221" s="30"/>
      <c r="P221" s="7"/>
      <c r="IB221" s="53"/>
      <c r="IC221" s="53"/>
      <c r="ID221" s="53"/>
      <c r="IE221" s="53"/>
      <c r="IF221" s="53"/>
      <c r="IG221" s="53"/>
    </row>
    <row r="222" spans="1:241" s="25" customFormat="1" ht="22.5">
      <c r="A222" s="8" t="s">
        <v>220</v>
      </c>
      <c r="B222" s="6"/>
      <c r="C222" s="6"/>
      <c r="D222" s="7">
        <f>15203900+116000</f>
        <v>15319900</v>
      </c>
      <c r="E222" s="7"/>
      <c r="F222" s="7">
        <f>D222+E222</f>
        <v>15319900</v>
      </c>
      <c r="G222" s="7">
        <f>15303500+98000</f>
        <v>15401500</v>
      </c>
      <c r="H222" s="7"/>
      <c r="I222" s="7"/>
      <c r="J222" s="7">
        <f>G222+H222</f>
        <v>15401500</v>
      </c>
      <c r="K222" s="7"/>
      <c r="L222" s="7"/>
      <c r="M222" s="7"/>
      <c r="N222" s="7">
        <v>15404000</v>
      </c>
      <c r="O222" s="7"/>
      <c r="P222" s="7">
        <f>N222+O222</f>
        <v>15404000</v>
      </c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218</v>
      </c>
      <c r="B223" s="6"/>
      <c r="C223" s="6"/>
      <c r="D223" s="7">
        <v>4800200</v>
      </c>
      <c r="E223" s="7"/>
      <c r="F223" s="7">
        <f aca="true" t="shared" si="30" ref="F223:F243">D223+E223</f>
        <v>4800200</v>
      </c>
      <c r="G223" s="7">
        <f>G230*G236</f>
        <v>5100000</v>
      </c>
      <c r="H223" s="7"/>
      <c r="I223" s="7"/>
      <c r="J223" s="7">
        <f aca="true" t="shared" si="31" ref="J223:J243">G223+H223</f>
        <v>5100000</v>
      </c>
      <c r="K223" s="7"/>
      <c r="L223" s="7"/>
      <c r="M223" s="7"/>
      <c r="N223" s="7">
        <f>N230*N236</f>
        <v>5200000</v>
      </c>
      <c r="O223" s="7"/>
      <c r="P223" s="7">
        <f aca="true" t="shared" si="32" ref="P223:P243">N223+O223</f>
        <v>5200000</v>
      </c>
      <c r="IB223" s="53"/>
      <c r="IC223" s="53"/>
      <c r="ID223" s="53"/>
      <c r="IE223" s="53"/>
      <c r="IF223" s="53"/>
      <c r="IG223" s="53"/>
    </row>
    <row r="224" spans="1:241" s="25" customFormat="1" ht="31.5" customHeight="1">
      <c r="A224" s="8" t="s">
        <v>219</v>
      </c>
      <c r="B224" s="6"/>
      <c r="C224" s="6"/>
      <c r="D224" s="7">
        <v>401600</v>
      </c>
      <c r="E224" s="7"/>
      <c r="F224" s="7">
        <f t="shared" si="30"/>
        <v>401600</v>
      </c>
      <c r="G224" s="7">
        <f>G231*G237</f>
        <v>410000</v>
      </c>
      <c r="H224" s="7"/>
      <c r="I224" s="7"/>
      <c r="J224" s="7">
        <f t="shared" si="31"/>
        <v>410000</v>
      </c>
      <c r="K224" s="7"/>
      <c r="L224" s="7"/>
      <c r="M224" s="7"/>
      <c r="N224" s="7">
        <f>N231*N237</f>
        <v>415000</v>
      </c>
      <c r="O224" s="7"/>
      <c r="P224" s="7">
        <f t="shared" si="32"/>
        <v>415000</v>
      </c>
      <c r="IB224" s="53"/>
      <c r="IC224" s="53"/>
      <c r="ID224" s="53"/>
      <c r="IE224" s="53"/>
      <c r="IF224" s="53"/>
      <c r="IG224" s="53"/>
    </row>
    <row r="225" spans="1:241" s="25" customFormat="1" ht="22.5" hidden="1">
      <c r="A225" s="8" t="s">
        <v>173</v>
      </c>
      <c r="B225" s="6"/>
      <c r="C225" s="6"/>
      <c r="D225" s="7"/>
      <c r="E225" s="7"/>
      <c r="F225" s="7">
        <f t="shared" si="30"/>
        <v>0</v>
      </c>
      <c r="G225" s="7"/>
      <c r="H225" s="7">
        <v>1</v>
      </c>
      <c r="I225" s="7"/>
      <c r="J225" s="7">
        <f t="shared" si="31"/>
        <v>1</v>
      </c>
      <c r="K225" s="7"/>
      <c r="L225" s="7"/>
      <c r="M225" s="7"/>
      <c r="N225" s="7"/>
      <c r="O225" s="7"/>
      <c r="P225" s="7">
        <f t="shared" si="32"/>
        <v>0</v>
      </c>
      <c r="IB225" s="53"/>
      <c r="IC225" s="53"/>
      <c r="ID225" s="53"/>
      <c r="IE225" s="53"/>
      <c r="IF225" s="53"/>
      <c r="IG225" s="53"/>
    </row>
    <row r="226" spans="1:241" s="25" customFormat="1" ht="30.75" customHeight="1">
      <c r="A226" s="8" t="s">
        <v>221</v>
      </c>
      <c r="B226" s="6"/>
      <c r="C226" s="6"/>
      <c r="D226" s="7">
        <f>SUM(D233)*D238</f>
        <v>175000</v>
      </c>
      <c r="E226" s="7"/>
      <c r="F226" s="7">
        <f>D226+E226</f>
        <v>175000</v>
      </c>
      <c r="G226" s="7">
        <f>SUM(G233)*G238</f>
        <v>180000</v>
      </c>
      <c r="H226" s="7"/>
      <c r="I226" s="7"/>
      <c r="J226" s="7">
        <f>G226+H226</f>
        <v>180000</v>
      </c>
      <c r="K226" s="7"/>
      <c r="L226" s="7"/>
      <c r="M226" s="7"/>
      <c r="N226" s="7">
        <f>SUM(N233)*N238</f>
        <v>185000</v>
      </c>
      <c r="O226" s="7"/>
      <c r="P226" s="7">
        <f>N226+O226</f>
        <v>185000</v>
      </c>
      <c r="IB226" s="53"/>
      <c r="IC226" s="53"/>
      <c r="ID226" s="53"/>
      <c r="IE226" s="53"/>
      <c r="IF226" s="53"/>
      <c r="IG226" s="53"/>
    </row>
    <row r="227" spans="1:241" s="25" customFormat="1" ht="33.75">
      <c r="A227" s="8" t="s">
        <v>222</v>
      </c>
      <c r="B227" s="6"/>
      <c r="C227" s="6"/>
      <c r="D227" s="7"/>
      <c r="E227" s="7">
        <v>1000000</v>
      </c>
      <c r="F227" s="7">
        <f t="shared" si="30"/>
        <v>1000000</v>
      </c>
      <c r="G227" s="7"/>
      <c r="H227" s="7">
        <v>1500000</v>
      </c>
      <c r="I227" s="7"/>
      <c r="J227" s="7">
        <f t="shared" si="31"/>
        <v>1500000</v>
      </c>
      <c r="K227" s="7"/>
      <c r="L227" s="7"/>
      <c r="M227" s="7"/>
      <c r="N227" s="7"/>
      <c r="O227" s="7">
        <v>2000000</v>
      </c>
      <c r="P227" s="7">
        <f t="shared" si="32"/>
        <v>2000000</v>
      </c>
      <c r="IB227" s="53"/>
      <c r="IC227" s="53"/>
      <c r="ID227" s="53"/>
      <c r="IE227" s="53"/>
      <c r="IF227" s="53"/>
      <c r="IG227" s="53"/>
    </row>
    <row r="228" spans="1:241" s="25" customFormat="1" ht="11.25">
      <c r="A228" s="5" t="s">
        <v>5</v>
      </c>
      <c r="B228" s="37"/>
      <c r="C228" s="37"/>
      <c r="D228" s="30"/>
      <c r="E228" s="30"/>
      <c r="F228" s="7">
        <f t="shared" si="30"/>
        <v>0</v>
      </c>
      <c r="G228" s="30"/>
      <c r="H228" s="30"/>
      <c r="I228" s="30"/>
      <c r="J228" s="7">
        <f t="shared" si="31"/>
        <v>0</v>
      </c>
      <c r="K228" s="7"/>
      <c r="L228" s="7"/>
      <c r="M228" s="7"/>
      <c r="N228" s="30"/>
      <c r="O228" s="30"/>
      <c r="P228" s="7">
        <f t="shared" si="32"/>
        <v>0</v>
      </c>
      <c r="IB228" s="53"/>
      <c r="IC228" s="53"/>
      <c r="ID228" s="53"/>
      <c r="IE228" s="53"/>
      <c r="IF228" s="53"/>
      <c r="IG228" s="53"/>
    </row>
    <row r="229" spans="1:241" s="25" customFormat="1" ht="22.5">
      <c r="A229" s="8" t="s">
        <v>223</v>
      </c>
      <c r="B229" s="6"/>
      <c r="C229" s="6"/>
      <c r="D229" s="7">
        <v>13</v>
      </c>
      <c r="E229" s="7"/>
      <c r="F229" s="7">
        <f t="shared" si="30"/>
        <v>13</v>
      </c>
      <c r="G229" s="7">
        <v>13</v>
      </c>
      <c r="H229" s="7"/>
      <c r="I229" s="7"/>
      <c r="J229" s="7">
        <f t="shared" si="31"/>
        <v>13</v>
      </c>
      <c r="K229" s="7"/>
      <c r="L229" s="7"/>
      <c r="M229" s="7"/>
      <c r="N229" s="7">
        <v>13</v>
      </c>
      <c r="O229" s="7"/>
      <c r="P229" s="7">
        <f t="shared" si="32"/>
        <v>13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185</v>
      </c>
      <c r="B230" s="6"/>
      <c r="C230" s="6"/>
      <c r="D230" s="7">
        <v>1600</v>
      </c>
      <c r="E230" s="7"/>
      <c r="F230" s="7">
        <f t="shared" si="30"/>
        <v>1600</v>
      </c>
      <c r="G230" s="7">
        <v>1600</v>
      </c>
      <c r="H230" s="7"/>
      <c r="I230" s="7"/>
      <c r="J230" s="7">
        <f t="shared" si="31"/>
        <v>1600</v>
      </c>
      <c r="K230" s="7"/>
      <c r="L230" s="7"/>
      <c r="M230" s="7"/>
      <c r="N230" s="7">
        <v>1600</v>
      </c>
      <c r="O230" s="7"/>
      <c r="P230" s="7">
        <f t="shared" si="32"/>
        <v>1600</v>
      </c>
      <c r="IB230" s="53"/>
      <c r="IC230" s="53"/>
      <c r="ID230" s="53"/>
      <c r="IE230" s="53"/>
      <c r="IF230" s="53"/>
      <c r="IG230" s="53"/>
    </row>
    <row r="231" spans="1:241" s="25" customFormat="1" ht="21.75" customHeight="1">
      <c r="A231" s="8" t="s">
        <v>104</v>
      </c>
      <c r="B231" s="6"/>
      <c r="C231" s="6"/>
      <c r="D231" s="7">
        <v>2</v>
      </c>
      <c r="E231" s="7"/>
      <c r="F231" s="7">
        <f t="shared" si="30"/>
        <v>2</v>
      </c>
      <c r="G231" s="7">
        <v>2</v>
      </c>
      <c r="H231" s="7"/>
      <c r="I231" s="7"/>
      <c r="J231" s="7">
        <f t="shared" si="31"/>
        <v>2</v>
      </c>
      <c r="K231" s="7"/>
      <c r="L231" s="7"/>
      <c r="M231" s="7"/>
      <c r="N231" s="7">
        <v>2</v>
      </c>
      <c r="O231" s="7"/>
      <c r="P231" s="7">
        <f t="shared" si="32"/>
        <v>2</v>
      </c>
      <c r="IB231" s="53"/>
      <c r="IC231" s="53"/>
      <c r="ID231" s="53"/>
      <c r="IE231" s="53"/>
      <c r="IF231" s="53"/>
      <c r="IG231" s="53"/>
    </row>
    <row r="232" spans="1:241" s="25" customFormat="1" ht="30.75" customHeight="1">
      <c r="A232" s="8" t="s">
        <v>173</v>
      </c>
      <c r="B232" s="6"/>
      <c r="C232" s="6"/>
      <c r="D232" s="7"/>
      <c r="E232" s="7">
        <v>1</v>
      </c>
      <c r="F232" s="7">
        <f t="shared" si="30"/>
        <v>1</v>
      </c>
      <c r="G232" s="7"/>
      <c r="H232" s="7">
        <v>1</v>
      </c>
      <c r="I232" s="7"/>
      <c r="J232" s="7">
        <f t="shared" si="31"/>
        <v>1</v>
      </c>
      <c r="K232" s="7"/>
      <c r="L232" s="7"/>
      <c r="M232" s="7"/>
      <c r="N232" s="7"/>
      <c r="O232" s="7">
        <v>1</v>
      </c>
      <c r="P232" s="7">
        <f t="shared" si="32"/>
        <v>1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349</v>
      </c>
      <c r="B233" s="6"/>
      <c r="C233" s="6"/>
      <c r="D233" s="7">
        <v>80</v>
      </c>
      <c r="E233" s="7"/>
      <c r="F233" s="7">
        <v>80</v>
      </c>
      <c r="G233" s="7">
        <v>80</v>
      </c>
      <c r="H233" s="7"/>
      <c r="I233" s="7"/>
      <c r="J233" s="7">
        <v>80</v>
      </c>
      <c r="K233" s="7"/>
      <c r="L233" s="7"/>
      <c r="M233" s="7"/>
      <c r="N233" s="7">
        <v>80</v>
      </c>
      <c r="O233" s="7"/>
      <c r="P233" s="7">
        <v>80</v>
      </c>
      <c r="IB233" s="53"/>
      <c r="IC233" s="53"/>
      <c r="ID233" s="53"/>
      <c r="IE233" s="53"/>
      <c r="IF233" s="53"/>
      <c r="IG233" s="53"/>
    </row>
    <row r="234" spans="1:241" s="25" customFormat="1" ht="11.25">
      <c r="A234" s="5" t="s">
        <v>7</v>
      </c>
      <c r="B234" s="37"/>
      <c r="C234" s="37"/>
      <c r="D234" s="30"/>
      <c r="E234" s="30"/>
      <c r="F234" s="7">
        <f t="shared" si="30"/>
        <v>0</v>
      </c>
      <c r="G234" s="30"/>
      <c r="H234" s="30"/>
      <c r="I234" s="30"/>
      <c r="J234" s="7">
        <f t="shared" si="31"/>
        <v>0</v>
      </c>
      <c r="K234" s="7"/>
      <c r="L234" s="7"/>
      <c r="M234" s="7"/>
      <c r="N234" s="30"/>
      <c r="O234" s="30"/>
      <c r="P234" s="7">
        <f t="shared" si="32"/>
        <v>0</v>
      </c>
      <c r="IB234" s="53"/>
      <c r="IC234" s="53"/>
      <c r="ID234" s="53"/>
      <c r="IE234" s="53"/>
      <c r="IF234" s="53"/>
      <c r="IG234" s="53"/>
    </row>
    <row r="235" spans="1:241" s="25" customFormat="1" ht="22.5">
      <c r="A235" s="8" t="s">
        <v>224</v>
      </c>
      <c r="B235" s="6"/>
      <c r="C235" s="6"/>
      <c r="D235" s="7">
        <f>(11555000+3000)/13</f>
        <v>889076.9230769231</v>
      </c>
      <c r="E235" s="7"/>
      <c r="F235" s="7">
        <f t="shared" si="30"/>
        <v>889076.9230769231</v>
      </c>
      <c r="G235" s="7">
        <f>(12000000+3500)/13</f>
        <v>923346.1538461539</v>
      </c>
      <c r="H235" s="7"/>
      <c r="I235" s="7"/>
      <c r="J235" s="7">
        <f t="shared" si="31"/>
        <v>923346.1538461539</v>
      </c>
      <c r="K235" s="7"/>
      <c r="L235" s="7"/>
      <c r="M235" s="7"/>
      <c r="N235" s="7">
        <f>(12200000+4000)/13</f>
        <v>938769.2307692308</v>
      </c>
      <c r="O235" s="7"/>
      <c r="P235" s="7">
        <f t="shared" si="32"/>
        <v>938769.2307692308</v>
      </c>
      <c r="IB235" s="53"/>
      <c r="IC235" s="53"/>
      <c r="ID235" s="53"/>
      <c r="IE235" s="53"/>
      <c r="IF235" s="53"/>
      <c r="IG235" s="53"/>
    </row>
    <row r="236" spans="1:241" s="25" customFormat="1" ht="24.75" customHeight="1">
      <c r="A236" s="8" t="s">
        <v>105</v>
      </c>
      <c r="B236" s="6"/>
      <c r="C236" s="6"/>
      <c r="D236" s="7">
        <v>3062.5</v>
      </c>
      <c r="E236" s="7"/>
      <c r="F236" s="7">
        <f t="shared" si="30"/>
        <v>3062.5</v>
      </c>
      <c r="G236" s="7">
        <v>3187.5</v>
      </c>
      <c r="H236" s="7"/>
      <c r="I236" s="7"/>
      <c r="J236" s="7">
        <f t="shared" si="31"/>
        <v>3187.5</v>
      </c>
      <c r="K236" s="7"/>
      <c r="L236" s="7"/>
      <c r="M236" s="7"/>
      <c r="N236" s="7">
        <v>3250</v>
      </c>
      <c r="O236" s="7"/>
      <c r="P236" s="7">
        <f t="shared" si="32"/>
        <v>3250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106</v>
      </c>
      <c r="B237" s="6"/>
      <c r="C237" s="6"/>
      <c r="D237" s="7">
        <v>202000</v>
      </c>
      <c r="E237" s="7"/>
      <c r="F237" s="7">
        <f t="shared" si="30"/>
        <v>202000</v>
      </c>
      <c r="G237" s="7">
        <v>205000</v>
      </c>
      <c r="H237" s="7"/>
      <c r="I237" s="7"/>
      <c r="J237" s="7">
        <f t="shared" si="31"/>
        <v>205000</v>
      </c>
      <c r="K237" s="7"/>
      <c r="L237" s="7"/>
      <c r="M237" s="7"/>
      <c r="N237" s="7">
        <v>207500</v>
      </c>
      <c r="O237" s="7"/>
      <c r="P237" s="7">
        <f t="shared" si="32"/>
        <v>207500</v>
      </c>
      <c r="IB237" s="53"/>
      <c r="IC237" s="53"/>
      <c r="ID237" s="53"/>
      <c r="IE237" s="53"/>
      <c r="IF237" s="53"/>
      <c r="IG237" s="53"/>
    </row>
    <row r="238" spans="1:241" s="25" customFormat="1" ht="27.75" customHeight="1">
      <c r="A238" s="8" t="s">
        <v>192</v>
      </c>
      <c r="B238" s="6"/>
      <c r="C238" s="6"/>
      <c r="D238" s="7">
        <v>2187.5</v>
      </c>
      <c r="E238" s="7"/>
      <c r="F238" s="7">
        <f t="shared" si="30"/>
        <v>2187.5</v>
      </c>
      <c r="G238" s="7">
        <v>2250</v>
      </c>
      <c r="H238" s="7"/>
      <c r="I238" s="7"/>
      <c r="J238" s="7">
        <f t="shared" si="31"/>
        <v>2250</v>
      </c>
      <c r="K238" s="7"/>
      <c r="L238" s="7"/>
      <c r="M238" s="7"/>
      <c r="N238" s="7">
        <v>2312.5</v>
      </c>
      <c r="O238" s="7"/>
      <c r="P238" s="7">
        <f t="shared" si="32"/>
        <v>2312.5</v>
      </c>
      <c r="IB238" s="53"/>
      <c r="IC238" s="53"/>
      <c r="ID238" s="53"/>
      <c r="IE238" s="53"/>
      <c r="IF238" s="53"/>
      <c r="IG238" s="53"/>
    </row>
    <row r="239" spans="1:241" s="138" customFormat="1" ht="22.5">
      <c r="A239" s="135" t="s">
        <v>174</v>
      </c>
      <c r="B239" s="136"/>
      <c r="C239" s="136"/>
      <c r="D239" s="137"/>
      <c r="E239" s="137">
        <v>1000000</v>
      </c>
      <c r="F239" s="137">
        <f t="shared" si="30"/>
        <v>1000000</v>
      </c>
      <c r="G239" s="137"/>
      <c r="H239" s="137">
        <v>1500000</v>
      </c>
      <c r="I239" s="137"/>
      <c r="J239" s="137">
        <f t="shared" si="31"/>
        <v>1500000</v>
      </c>
      <c r="K239" s="137"/>
      <c r="L239" s="137"/>
      <c r="M239" s="137"/>
      <c r="N239" s="137"/>
      <c r="O239" s="137">
        <v>2000000</v>
      </c>
      <c r="P239" s="137">
        <f t="shared" si="32"/>
        <v>2000000</v>
      </c>
      <c r="IB239" s="139"/>
      <c r="IC239" s="139"/>
      <c r="ID239" s="139"/>
      <c r="IE239" s="139"/>
      <c r="IF239" s="139"/>
      <c r="IG239" s="139"/>
    </row>
    <row r="240" spans="1:241" s="25" customFormat="1" ht="12" customHeight="1">
      <c r="A240" s="5" t="s">
        <v>6</v>
      </c>
      <c r="B240" s="6"/>
      <c r="C240" s="6"/>
      <c r="D240" s="7"/>
      <c r="E240" s="7"/>
      <c r="F240" s="7">
        <f t="shared" si="30"/>
        <v>0</v>
      </c>
      <c r="G240" s="7"/>
      <c r="H240" s="7"/>
      <c r="I240" s="7"/>
      <c r="J240" s="7">
        <f t="shared" si="31"/>
        <v>0</v>
      </c>
      <c r="K240" s="7"/>
      <c r="L240" s="7"/>
      <c r="M240" s="7"/>
      <c r="N240" s="7"/>
      <c r="O240" s="7"/>
      <c r="P240" s="7">
        <f t="shared" si="32"/>
        <v>0</v>
      </c>
      <c r="IB240" s="53"/>
      <c r="IC240" s="53"/>
      <c r="ID240" s="53"/>
      <c r="IE240" s="53"/>
      <c r="IF240" s="53"/>
      <c r="IG240" s="53"/>
    </row>
    <row r="241" spans="1:241" s="25" customFormat="1" ht="33.75">
      <c r="A241" s="8" t="s">
        <v>108</v>
      </c>
      <c r="B241" s="6"/>
      <c r="C241" s="6"/>
      <c r="D241" s="7">
        <v>100</v>
      </c>
      <c r="E241" s="7"/>
      <c r="F241" s="7">
        <f t="shared" si="30"/>
        <v>100</v>
      </c>
      <c r="G241" s="7">
        <f>G229/G222*100</f>
        <v>8.440736291919618E-05</v>
      </c>
      <c r="H241" s="7"/>
      <c r="I241" s="7"/>
      <c r="J241" s="7">
        <f t="shared" si="31"/>
        <v>8.440736291919618E-05</v>
      </c>
      <c r="K241" s="7" t="e">
        <f>K229/K222*100</f>
        <v>#DIV/0!</v>
      </c>
      <c r="L241" s="7" t="e">
        <f>L229/L222*100</f>
        <v>#DIV/0!</v>
      </c>
      <c r="M241" s="7" t="e">
        <f>M229/M222*100</f>
        <v>#DIV/0!</v>
      </c>
      <c r="N241" s="7">
        <f>N229/N222*100</f>
        <v>8.439366398338094E-05</v>
      </c>
      <c r="O241" s="7"/>
      <c r="P241" s="7">
        <f t="shared" si="32"/>
        <v>8.439366398338094E-05</v>
      </c>
      <c r="IB241" s="53"/>
      <c r="IC241" s="53"/>
      <c r="ID241" s="53"/>
      <c r="IE241" s="53"/>
      <c r="IF241" s="53"/>
      <c r="IG241" s="53"/>
    </row>
    <row r="242" spans="1:241" s="25" customFormat="1" ht="29.25" customHeight="1">
      <c r="A242" s="8" t="s">
        <v>107</v>
      </c>
      <c r="B242" s="6"/>
      <c r="C242" s="6"/>
      <c r="D242" s="7"/>
      <c r="E242" s="7"/>
      <c r="F242" s="7">
        <f t="shared" si="30"/>
        <v>0</v>
      </c>
      <c r="G242" s="7">
        <f>G236/D236*100</f>
        <v>104.08163265306123</v>
      </c>
      <c r="H242" s="7"/>
      <c r="I242" s="7"/>
      <c r="J242" s="7">
        <f t="shared" si="31"/>
        <v>104.08163265306123</v>
      </c>
      <c r="K242" s="7"/>
      <c r="L242" s="7"/>
      <c r="M242" s="7"/>
      <c r="N242" s="7">
        <f>N236/G236*100</f>
        <v>101.96078431372548</v>
      </c>
      <c r="O242" s="7"/>
      <c r="P242" s="7">
        <f t="shared" si="32"/>
        <v>101.96078431372548</v>
      </c>
      <c r="IB242" s="53"/>
      <c r="IC242" s="53"/>
      <c r="ID242" s="53"/>
      <c r="IE242" s="53"/>
      <c r="IF242" s="53"/>
      <c r="IG242" s="53"/>
    </row>
    <row r="243" spans="1:241" s="25" customFormat="1" ht="38.25" customHeight="1">
      <c r="A243" s="8" t="s">
        <v>109</v>
      </c>
      <c r="B243" s="6"/>
      <c r="C243" s="6"/>
      <c r="D243" s="7"/>
      <c r="E243" s="7"/>
      <c r="F243" s="7">
        <f t="shared" si="30"/>
        <v>0</v>
      </c>
      <c r="G243" s="7">
        <f>G237/D237*100</f>
        <v>101.48514851485149</v>
      </c>
      <c r="H243" s="7"/>
      <c r="I243" s="7"/>
      <c r="J243" s="7">
        <f t="shared" si="31"/>
        <v>101.48514851485149</v>
      </c>
      <c r="K243" s="7"/>
      <c r="L243" s="7"/>
      <c r="M243" s="7"/>
      <c r="N243" s="7">
        <f>N237/G237*100</f>
        <v>101.21951219512195</v>
      </c>
      <c r="O243" s="7"/>
      <c r="P243" s="7">
        <f t="shared" si="32"/>
        <v>101.21951219512195</v>
      </c>
      <c r="IB243" s="53"/>
      <c r="IC243" s="53"/>
      <c r="ID243" s="53"/>
      <c r="IE243" s="53"/>
      <c r="IF243" s="53"/>
      <c r="IG243" s="53"/>
    </row>
    <row r="244" spans="1:241" s="38" customFormat="1" ht="22.5">
      <c r="A244" s="34" t="s">
        <v>389</v>
      </c>
      <c r="B244" s="35"/>
      <c r="C244" s="35"/>
      <c r="D244" s="36">
        <f>D246+D247+D248+D249</f>
        <v>5421400</v>
      </c>
      <c r="E244" s="36">
        <f>(E251*E256)+(E252*E257)+(E254*E259)</f>
        <v>0</v>
      </c>
      <c r="F244" s="36">
        <f aca="true" t="shared" si="33" ref="F244:F249">D244+E244</f>
        <v>5421400</v>
      </c>
      <c r="G244" s="36">
        <f>G246+G247+G248+G249</f>
        <v>5500000</v>
      </c>
      <c r="H244" s="36">
        <f>(H251*H256)+(H252*H257)+(H254*H259)</f>
        <v>0</v>
      </c>
      <c r="I244" s="36">
        <f>(I251*I256)+(I252*I257)+(I254*I259)</f>
        <v>0</v>
      </c>
      <c r="J244" s="36">
        <f aca="true" t="shared" si="34" ref="J244:J249">G244+H244</f>
        <v>5500000</v>
      </c>
      <c r="K244" s="36">
        <f>(K251*K256)+(K252*K257)+(K254*K259)</f>
        <v>0</v>
      </c>
      <c r="L244" s="36">
        <f>(L251*L256)+(L252*L257)+(L254*L259)</f>
        <v>0</v>
      </c>
      <c r="M244" s="36">
        <f>(M251*M256)+(M252*M257)+(M254*M259)</f>
        <v>0</v>
      </c>
      <c r="N244" s="36">
        <f>N246+N247+N248+N249</f>
        <v>5660000</v>
      </c>
      <c r="O244" s="36">
        <f>(O251*O256)+(O252*O257)+(O254*O259)</f>
        <v>0</v>
      </c>
      <c r="P244" s="36">
        <f aca="true" t="shared" si="35" ref="P244:P249">N244+O244</f>
        <v>5660000</v>
      </c>
      <c r="Q244" s="36">
        <f>(Q251*Q256)+(Q252*Q257)+(Q254*Q259)</f>
        <v>0</v>
      </c>
      <c r="IB244" s="39"/>
      <c r="IC244" s="39"/>
      <c r="ID244" s="39"/>
      <c r="IE244" s="39"/>
      <c r="IF244" s="39"/>
      <c r="IG244" s="39"/>
    </row>
    <row r="245" spans="1:241" s="38" customFormat="1" ht="11.25">
      <c r="A245" s="5" t="s">
        <v>4</v>
      </c>
      <c r="B245" s="35"/>
      <c r="C245" s="35"/>
      <c r="D245" s="36"/>
      <c r="E245" s="36"/>
      <c r="F245" s="7">
        <f t="shared" si="33"/>
        <v>0</v>
      </c>
      <c r="G245" s="7"/>
      <c r="H245" s="7"/>
      <c r="I245" s="7"/>
      <c r="J245" s="7">
        <f t="shared" si="34"/>
        <v>0</v>
      </c>
      <c r="K245" s="7"/>
      <c r="L245" s="7"/>
      <c r="M245" s="7"/>
      <c r="N245" s="7"/>
      <c r="O245" s="7"/>
      <c r="P245" s="7">
        <f t="shared" si="35"/>
        <v>0</v>
      </c>
      <c r="Q245" s="42"/>
      <c r="IB245" s="39"/>
      <c r="IC245" s="39"/>
      <c r="ID245" s="39"/>
      <c r="IE245" s="39"/>
      <c r="IF245" s="39"/>
      <c r="IG245" s="39"/>
    </row>
    <row r="246" spans="1:241" s="38" customFormat="1" ht="33.75">
      <c r="A246" s="8" t="s">
        <v>238</v>
      </c>
      <c r="B246" s="35"/>
      <c r="C246" s="35"/>
      <c r="D246" s="7">
        <v>2971400</v>
      </c>
      <c r="E246" s="36"/>
      <c r="F246" s="7">
        <f t="shared" si="33"/>
        <v>2971400</v>
      </c>
      <c r="G246" s="7">
        <v>3000000</v>
      </c>
      <c r="H246" s="7"/>
      <c r="I246" s="7"/>
      <c r="J246" s="7">
        <f t="shared" si="34"/>
        <v>3000000</v>
      </c>
      <c r="K246" s="7"/>
      <c r="L246" s="7"/>
      <c r="M246" s="7"/>
      <c r="N246" s="7">
        <v>3100000</v>
      </c>
      <c r="O246" s="7"/>
      <c r="P246" s="7">
        <f t="shared" si="35"/>
        <v>3100000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11.25">
      <c r="A247" s="8" t="s">
        <v>239</v>
      </c>
      <c r="B247" s="35"/>
      <c r="C247" s="35"/>
      <c r="D247" s="7">
        <v>200000</v>
      </c>
      <c r="E247" s="36"/>
      <c r="F247" s="7">
        <f t="shared" si="33"/>
        <v>200000</v>
      </c>
      <c r="G247" s="7">
        <v>200000</v>
      </c>
      <c r="H247" s="7"/>
      <c r="I247" s="7"/>
      <c r="J247" s="7">
        <f t="shared" si="34"/>
        <v>200000</v>
      </c>
      <c r="K247" s="7"/>
      <c r="L247" s="7"/>
      <c r="M247" s="7"/>
      <c r="N247" s="7">
        <v>200000</v>
      </c>
      <c r="O247" s="7"/>
      <c r="P247" s="7">
        <f t="shared" si="35"/>
        <v>200000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240</v>
      </c>
      <c r="B248" s="35"/>
      <c r="C248" s="35"/>
      <c r="D248" s="7">
        <v>350000</v>
      </c>
      <c r="E248" s="36"/>
      <c r="F248" s="7">
        <f t="shared" si="33"/>
        <v>350000</v>
      </c>
      <c r="G248" s="7">
        <v>400000</v>
      </c>
      <c r="H248" s="7"/>
      <c r="I248" s="7"/>
      <c r="J248" s="7">
        <f t="shared" si="34"/>
        <v>400000</v>
      </c>
      <c r="K248" s="7"/>
      <c r="L248" s="7"/>
      <c r="M248" s="7"/>
      <c r="N248" s="7">
        <v>460000</v>
      </c>
      <c r="O248" s="7"/>
      <c r="P248" s="7">
        <f t="shared" si="35"/>
        <v>460000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241</v>
      </c>
      <c r="B249" s="35"/>
      <c r="C249" s="35"/>
      <c r="D249" s="7">
        <v>1900000</v>
      </c>
      <c r="E249" s="7"/>
      <c r="F249" s="7">
        <f t="shared" si="33"/>
        <v>1900000</v>
      </c>
      <c r="G249" s="7">
        <v>1900000</v>
      </c>
      <c r="H249" s="7"/>
      <c r="I249" s="7"/>
      <c r="J249" s="7">
        <f t="shared" si="34"/>
        <v>1900000</v>
      </c>
      <c r="K249" s="7"/>
      <c r="L249" s="7"/>
      <c r="M249" s="7"/>
      <c r="N249" s="7">
        <v>1900000</v>
      </c>
      <c r="O249" s="7"/>
      <c r="P249" s="7">
        <f t="shared" si="35"/>
        <v>1900000</v>
      </c>
      <c r="Q249" s="42"/>
      <c r="IB249" s="39"/>
      <c r="IC249" s="39"/>
      <c r="ID249" s="39"/>
      <c r="IE249" s="39"/>
      <c r="IF249" s="39"/>
      <c r="IG249" s="39"/>
    </row>
    <row r="250" spans="1:241" s="25" customFormat="1" ht="11.25">
      <c r="A250" s="5" t="s">
        <v>5</v>
      </c>
      <c r="B250" s="37"/>
      <c r="C250" s="37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IB250" s="53"/>
      <c r="IC250" s="53"/>
      <c r="ID250" s="53"/>
      <c r="IE250" s="53"/>
      <c r="IF250" s="53"/>
      <c r="IG250" s="53"/>
    </row>
    <row r="251" spans="1:241" s="25" customFormat="1" ht="35.25" customHeight="1">
      <c r="A251" s="8" t="s">
        <v>242</v>
      </c>
      <c r="B251" s="6"/>
      <c r="C251" s="6"/>
      <c r="D251" s="7">
        <v>155760</v>
      </c>
      <c r="E251" s="7"/>
      <c r="F251" s="7">
        <f>D251+E251</f>
        <v>155760</v>
      </c>
      <c r="G251" s="7">
        <f>F251</f>
        <v>155760</v>
      </c>
      <c r="H251" s="7"/>
      <c r="I251" s="7"/>
      <c r="J251" s="7">
        <f>G251+H251</f>
        <v>155760</v>
      </c>
      <c r="K251" s="7"/>
      <c r="L251" s="7"/>
      <c r="M251" s="7"/>
      <c r="N251" s="7">
        <f>G251</f>
        <v>155760</v>
      </c>
      <c r="O251" s="7"/>
      <c r="P251" s="7">
        <f>N251+O251</f>
        <v>155760</v>
      </c>
      <c r="IB251" s="53"/>
      <c r="IC251" s="53"/>
      <c r="ID251" s="53"/>
      <c r="IE251" s="53"/>
      <c r="IF251" s="53"/>
      <c r="IG251" s="53"/>
    </row>
    <row r="252" spans="1:241" s="25" customFormat="1" ht="22.5">
      <c r="A252" s="8" t="s">
        <v>111</v>
      </c>
      <c r="B252" s="6"/>
      <c r="C252" s="6"/>
      <c r="D252" s="7">
        <v>243</v>
      </c>
      <c r="E252" s="7"/>
      <c r="F252" s="7">
        <f aca="true" t="shared" si="36" ref="F252:F265">D252+E252</f>
        <v>243</v>
      </c>
      <c r="G252" s="7">
        <v>250</v>
      </c>
      <c r="H252" s="7"/>
      <c r="I252" s="7"/>
      <c r="J252" s="7">
        <f aca="true" t="shared" si="37" ref="J252:J265">G252+H252</f>
        <v>250</v>
      </c>
      <c r="K252" s="7"/>
      <c r="L252" s="7"/>
      <c r="M252" s="7"/>
      <c r="N252" s="7">
        <v>260</v>
      </c>
      <c r="O252" s="7"/>
      <c r="P252" s="7">
        <f aca="true" t="shared" si="38" ref="P252:P265">N252+O252</f>
        <v>260</v>
      </c>
      <c r="IB252" s="53"/>
      <c r="IC252" s="53"/>
      <c r="ID252" s="53"/>
      <c r="IE252" s="53"/>
      <c r="IF252" s="53"/>
      <c r="IG252" s="53"/>
    </row>
    <row r="253" spans="1:241" s="25" customFormat="1" ht="33.75">
      <c r="A253" s="8" t="s">
        <v>247</v>
      </c>
      <c r="B253" s="6"/>
      <c r="C253" s="6"/>
      <c r="D253" s="7">
        <v>11036.4</v>
      </c>
      <c r="E253" s="7"/>
      <c r="F253" s="7">
        <f t="shared" si="36"/>
        <v>11036.4</v>
      </c>
      <c r="G253" s="7">
        <f>E253+F253</f>
        <v>11036.4</v>
      </c>
      <c r="H253" s="7"/>
      <c r="I253" s="7">
        <f>G253+H253</f>
        <v>11036.4</v>
      </c>
      <c r="J253" s="7">
        <f>H253+I253</f>
        <v>11036.4</v>
      </c>
      <c r="K253" s="7">
        <f>I253+J253</f>
        <v>22072.8</v>
      </c>
      <c r="L253" s="7">
        <f>J253+K253</f>
        <v>33109.2</v>
      </c>
      <c r="M253" s="7">
        <f>K253+L253</f>
        <v>55182</v>
      </c>
      <c r="N253" s="7">
        <v>11036.4</v>
      </c>
      <c r="O253" s="7"/>
      <c r="P253" s="7">
        <f t="shared" si="38"/>
        <v>11036.4</v>
      </c>
      <c r="IB253" s="53"/>
      <c r="IC253" s="53"/>
      <c r="ID253" s="53"/>
      <c r="IE253" s="53"/>
      <c r="IF253" s="53"/>
      <c r="IG253" s="53"/>
    </row>
    <row r="254" spans="1:241" s="25" customFormat="1" ht="33" customHeight="1">
      <c r="A254" s="8" t="s">
        <v>244</v>
      </c>
      <c r="B254" s="6"/>
      <c r="C254" s="6"/>
      <c r="D254" s="7">
        <v>51.4</v>
      </c>
      <c r="E254" s="7"/>
      <c r="F254" s="7">
        <f t="shared" si="36"/>
        <v>51.4</v>
      </c>
      <c r="G254" s="7">
        <v>48</v>
      </c>
      <c r="H254" s="7"/>
      <c r="I254" s="7"/>
      <c r="J254" s="7">
        <f t="shared" si="37"/>
        <v>48</v>
      </c>
      <c r="K254" s="7"/>
      <c r="L254" s="7"/>
      <c r="M254" s="7"/>
      <c r="N254" s="7">
        <v>45</v>
      </c>
      <c r="O254" s="7"/>
      <c r="P254" s="7">
        <f t="shared" si="38"/>
        <v>45</v>
      </c>
      <c r="IB254" s="53"/>
      <c r="IC254" s="53"/>
      <c r="ID254" s="53"/>
      <c r="IE254" s="53"/>
      <c r="IF254" s="53"/>
      <c r="IG254" s="53"/>
    </row>
    <row r="255" spans="1:241" s="25" customFormat="1" ht="11.25">
      <c r="A255" s="5" t="s">
        <v>7</v>
      </c>
      <c r="B255" s="37"/>
      <c r="C255" s="37"/>
      <c r="D255" s="30"/>
      <c r="E255" s="30"/>
      <c r="F255" s="7">
        <f t="shared" si="36"/>
        <v>0</v>
      </c>
      <c r="G255" s="30"/>
      <c r="H255" s="30"/>
      <c r="I255" s="30"/>
      <c r="J255" s="7">
        <f t="shared" si="37"/>
        <v>0</v>
      </c>
      <c r="K255" s="7"/>
      <c r="L255" s="7"/>
      <c r="M255" s="7"/>
      <c r="N255" s="30"/>
      <c r="O255" s="30"/>
      <c r="P255" s="7">
        <f t="shared" si="38"/>
        <v>0</v>
      </c>
      <c r="IB255" s="53"/>
      <c r="IC255" s="53"/>
      <c r="ID255" s="53"/>
      <c r="IE255" s="53"/>
      <c r="IF255" s="53"/>
      <c r="IG255" s="53"/>
    </row>
    <row r="256" spans="1:241" s="25" customFormat="1" ht="48.75" customHeight="1">
      <c r="A256" s="8" t="s">
        <v>243</v>
      </c>
      <c r="B256" s="6"/>
      <c r="C256" s="6"/>
      <c r="D256" s="7">
        <f>D246/D251</f>
        <v>19.07678479712378</v>
      </c>
      <c r="E256" s="7"/>
      <c r="F256" s="7">
        <f t="shared" si="36"/>
        <v>19.07678479712378</v>
      </c>
      <c r="G256" s="7">
        <f>G246/G251</f>
        <v>19.26040061633282</v>
      </c>
      <c r="H256" s="7"/>
      <c r="I256" s="7"/>
      <c r="J256" s="7">
        <f t="shared" si="37"/>
        <v>19.26040061633282</v>
      </c>
      <c r="K256" s="7"/>
      <c r="L256" s="7"/>
      <c r="M256" s="7"/>
      <c r="N256" s="7">
        <f>N246/N251</f>
        <v>19.90241397021058</v>
      </c>
      <c r="O256" s="7"/>
      <c r="P256" s="7">
        <f t="shared" si="38"/>
        <v>19.90241397021058</v>
      </c>
      <c r="IB256" s="53"/>
      <c r="IC256" s="53"/>
      <c r="ID256" s="53"/>
      <c r="IE256" s="53"/>
      <c r="IF256" s="53"/>
      <c r="IG256" s="53"/>
    </row>
    <row r="257" spans="1:241" s="25" customFormat="1" ht="19.5" customHeight="1">
      <c r="A257" s="8" t="s">
        <v>112</v>
      </c>
      <c r="B257" s="6"/>
      <c r="C257" s="6"/>
      <c r="D257" s="7">
        <f>D247/D252</f>
        <v>823.0452674897119</v>
      </c>
      <c r="E257" s="7"/>
      <c r="F257" s="7">
        <f t="shared" si="36"/>
        <v>823.0452674897119</v>
      </c>
      <c r="G257" s="7">
        <f>G247/G252</f>
        <v>800</v>
      </c>
      <c r="H257" s="7"/>
      <c r="I257" s="7"/>
      <c r="J257" s="7">
        <f t="shared" si="37"/>
        <v>800</v>
      </c>
      <c r="K257" s="7"/>
      <c r="L257" s="7"/>
      <c r="M257" s="7"/>
      <c r="N257" s="7">
        <f>N247/N252</f>
        <v>769.2307692307693</v>
      </c>
      <c r="O257" s="7"/>
      <c r="P257" s="7">
        <f t="shared" si="38"/>
        <v>769.2307692307693</v>
      </c>
      <c r="IB257" s="53"/>
      <c r="IC257" s="53"/>
      <c r="ID257" s="53"/>
      <c r="IE257" s="53"/>
      <c r="IF257" s="53"/>
      <c r="IG257" s="53"/>
    </row>
    <row r="258" spans="1:241" s="25" customFormat="1" ht="28.5" customHeight="1">
      <c r="A258" s="8" t="s">
        <v>246</v>
      </c>
      <c r="B258" s="6"/>
      <c r="C258" s="6"/>
      <c r="D258" s="7">
        <f>D248/D253</f>
        <v>31.71323982458048</v>
      </c>
      <c r="E258" s="7"/>
      <c r="F258" s="7">
        <f t="shared" si="36"/>
        <v>31.71323982458048</v>
      </c>
      <c r="G258" s="7">
        <f>G248/G253</f>
        <v>36.24370265666341</v>
      </c>
      <c r="H258" s="7"/>
      <c r="I258" s="7"/>
      <c r="J258" s="7">
        <f t="shared" si="37"/>
        <v>36.24370265666341</v>
      </c>
      <c r="K258" s="7"/>
      <c r="L258" s="7"/>
      <c r="M258" s="7"/>
      <c r="N258" s="7">
        <f>N248/N253</f>
        <v>41.680258055162916</v>
      </c>
      <c r="O258" s="7"/>
      <c r="P258" s="7">
        <f t="shared" si="38"/>
        <v>41.680258055162916</v>
      </c>
      <c r="IB258" s="53"/>
      <c r="IC258" s="53"/>
      <c r="ID258" s="53"/>
      <c r="IE258" s="53"/>
      <c r="IF258" s="53"/>
      <c r="IG258" s="53"/>
    </row>
    <row r="259" spans="1:241" s="25" customFormat="1" ht="28.5" customHeight="1">
      <c r="A259" s="8" t="s">
        <v>245</v>
      </c>
      <c r="B259" s="6"/>
      <c r="C259" s="6"/>
      <c r="D259" s="7">
        <f>D249/D254</f>
        <v>36964.980544747086</v>
      </c>
      <c r="E259" s="7"/>
      <c r="F259" s="7">
        <f t="shared" si="36"/>
        <v>36964.980544747086</v>
      </c>
      <c r="G259" s="7">
        <f>G249/G254</f>
        <v>39583.333333333336</v>
      </c>
      <c r="H259" s="7"/>
      <c r="I259" s="7"/>
      <c r="J259" s="7">
        <f t="shared" si="37"/>
        <v>39583.333333333336</v>
      </c>
      <c r="K259" s="7"/>
      <c r="L259" s="7"/>
      <c r="M259" s="7"/>
      <c r="N259" s="7">
        <f>N249/N254</f>
        <v>42222.22222222222</v>
      </c>
      <c r="O259" s="7"/>
      <c r="P259" s="7">
        <f t="shared" si="38"/>
        <v>42222.22222222222</v>
      </c>
      <c r="IB259" s="53"/>
      <c r="IC259" s="53"/>
      <c r="ID259" s="53"/>
      <c r="IE259" s="53"/>
      <c r="IF259" s="53"/>
      <c r="IG259" s="53"/>
    </row>
    <row r="260" spans="1:241" s="25" customFormat="1" ht="45">
      <c r="A260" s="8" t="s">
        <v>225</v>
      </c>
      <c r="B260" s="6"/>
      <c r="C260" s="6"/>
      <c r="D260" s="7"/>
      <c r="E260" s="7"/>
      <c r="F260" s="7">
        <f t="shared" si="36"/>
        <v>0</v>
      </c>
      <c r="G260" s="7">
        <v>145.4502</v>
      </c>
      <c r="H260" s="7"/>
      <c r="I260" s="7"/>
      <c r="J260" s="7">
        <f t="shared" si="37"/>
        <v>145.4502</v>
      </c>
      <c r="K260" s="7"/>
      <c r="L260" s="7"/>
      <c r="M260" s="7"/>
      <c r="N260" s="7">
        <v>145.461241023</v>
      </c>
      <c r="O260" s="7"/>
      <c r="P260" s="7">
        <f t="shared" si="38"/>
        <v>145.461241023</v>
      </c>
      <c r="IB260" s="53"/>
      <c r="IC260" s="53"/>
      <c r="ID260" s="53"/>
      <c r="IE260" s="53"/>
      <c r="IF260" s="53"/>
      <c r="IG260" s="53"/>
    </row>
    <row r="261" spans="1:241" s="25" customFormat="1" ht="11.25">
      <c r="A261" s="5" t="s">
        <v>6</v>
      </c>
      <c r="B261" s="6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IB261" s="53"/>
      <c r="IC261" s="53"/>
      <c r="ID261" s="53"/>
      <c r="IE261" s="53"/>
      <c r="IF261" s="53"/>
      <c r="IG261" s="53"/>
    </row>
    <row r="262" spans="1:241" s="25" customFormat="1" ht="36" customHeight="1">
      <c r="A262" s="8" t="s">
        <v>113</v>
      </c>
      <c r="B262" s="6"/>
      <c r="C262" s="6"/>
      <c r="D262" s="7"/>
      <c r="E262" s="7"/>
      <c r="F262" s="7">
        <f t="shared" si="36"/>
        <v>0</v>
      </c>
      <c r="G262" s="7">
        <f>G256/D256*100</f>
        <v>100.96250925489669</v>
      </c>
      <c r="H262" s="7"/>
      <c r="I262" s="7"/>
      <c r="J262" s="7">
        <f t="shared" si="37"/>
        <v>100.96250925489669</v>
      </c>
      <c r="K262" s="7"/>
      <c r="L262" s="7"/>
      <c r="M262" s="7"/>
      <c r="N262" s="7">
        <f>N256/G256*100</f>
        <v>103.33333333333334</v>
      </c>
      <c r="O262" s="7"/>
      <c r="P262" s="7">
        <f t="shared" si="38"/>
        <v>103.33333333333334</v>
      </c>
      <c r="IB262" s="53"/>
      <c r="IC262" s="53"/>
      <c r="ID262" s="53"/>
      <c r="IE262" s="53"/>
      <c r="IF262" s="53"/>
      <c r="IG262" s="53"/>
    </row>
    <row r="263" spans="1:241" s="25" customFormat="1" ht="36" customHeight="1">
      <c r="A263" s="8" t="s">
        <v>226</v>
      </c>
      <c r="B263" s="6"/>
      <c r="C263" s="6"/>
      <c r="D263" s="7"/>
      <c r="E263" s="7"/>
      <c r="F263" s="7">
        <f t="shared" si="36"/>
        <v>0</v>
      </c>
      <c r="G263" s="7">
        <f>G258/D258*100</f>
        <v>114.2857142857143</v>
      </c>
      <c r="H263" s="7"/>
      <c r="I263" s="7"/>
      <c r="J263" s="7">
        <f t="shared" si="37"/>
        <v>114.2857142857143</v>
      </c>
      <c r="K263" s="7"/>
      <c r="L263" s="7"/>
      <c r="M263" s="7"/>
      <c r="N263" s="7">
        <f>N257/G257*100</f>
        <v>96.15384615384616</v>
      </c>
      <c r="O263" s="7"/>
      <c r="P263" s="7">
        <f t="shared" si="38"/>
        <v>96.15384615384616</v>
      </c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248</v>
      </c>
      <c r="B264" s="6"/>
      <c r="C264" s="6"/>
      <c r="D264" s="7"/>
      <c r="E264" s="7"/>
      <c r="F264" s="7">
        <f t="shared" si="36"/>
        <v>0</v>
      </c>
      <c r="G264" s="7">
        <f>G259/D259*100</f>
        <v>107.08333333333333</v>
      </c>
      <c r="H264" s="7"/>
      <c r="I264" s="7"/>
      <c r="J264" s="7">
        <f t="shared" si="37"/>
        <v>107.08333333333333</v>
      </c>
      <c r="K264" s="7"/>
      <c r="L264" s="7"/>
      <c r="M264" s="7"/>
      <c r="N264" s="7">
        <f>N258/G258*100</f>
        <v>114.99999999999999</v>
      </c>
      <c r="O264" s="7"/>
      <c r="P264" s="7">
        <f t="shared" si="38"/>
        <v>114.99999999999999</v>
      </c>
      <c r="IB264" s="53"/>
      <c r="IC264" s="53"/>
      <c r="ID264" s="53"/>
      <c r="IE264" s="53"/>
      <c r="IF264" s="53"/>
      <c r="IG264" s="53"/>
    </row>
    <row r="265" spans="1:241" s="25" customFormat="1" ht="33.75">
      <c r="A265" s="8" t="s">
        <v>249</v>
      </c>
      <c r="B265" s="6"/>
      <c r="C265" s="6"/>
      <c r="D265" s="7"/>
      <c r="E265" s="7"/>
      <c r="F265" s="7">
        <f t="shared" si="36"/>
        <v>0</v>
      </c>
      <c r="G265" s="7">
        <f>G259/D259*100</f>
        <v>107.08333333333333</v>
      </c>
      <c r="H265" s="7"/>
      <c r="I265" s="7"/>
      <c r="J265" s="7">
        <f t="shared" si="37"/>
        <v>107.08333333333333</v>
      </c>
      <c r="K265" s="7"/>
      <c r="L265" s="7"/>
      <c r="M265" s="7"/>
      <c r="N265" s="7">
        <f>N259/G259*100</f>
        <v>106.66666666666664</v>
      </c>
      <c r="O265" s="7"/>
      <c r="P265" s="7">
        <f t="shared" si="38"/>
        <v>106.66666666666664</v>
      </c>
      <c r="IB265" s="53"/>
      <c r="IC265" s="53"/>
      <c r="ID265" s="53"/>
      <c r="IE265" s="53"/>
      <c r="IF265" s="53"/>
      <c r="IG265" s="53"/>
    </row>
    <row r="266" spans="1:241" s="38" customFormat="1" ht="22.5">
      <c r="A266" s="34" t="s">
        <v>390</v>
      </c>
      <c r="B266" s="35"/>
      <c r="C266" s="35"/>
      <c r="D266" s="36">
        <f>(D267*D271)+(D268*D272)+(D269*D274)-1.78+25000</f>
        <v>20099999.999959998</v>
      </c>
      <c r="E266" s="36">
        <f>(E267*E271)+(E268*E272)+(E269*E274)</f>
        <v>0</v>
      </c>
      <c r="F266" s="36">
        <f>D266</f>
        <v>20099999.999959998</v>
      </c>
      <c r="G266" s="36">
        <f>(G267*G271)+(G268*G272)+(G269*G274)+2928700</f>
        <v>23183699.999900002</v>
      </c>
      <c r="H266" s="36">
        <f>(H267*H271)+(H268*H272)+(H269*H274)</f>
        <v>0</v>
      </c>
      <c r="I266" s="36">
        <v>0</v>
      </c>
      <c r="J266" s="36">
        <f>G266+H266</f>
        <v>23183699.999900002</v>
      </c>
      <c r="K266" s="36">
        <f>(K267*K271)+(K268*K272)+(K269*K274)</f>
        <v>0</v>
      </c>
      <c r="L266" s="36">
        <f>(L267*L271)+(L268*L272)+(L269*L274)</f>
        <v>0</v>
      </c>
      <c r="M266" s="36">
        <f>(M267*M271)+(M268*M272)+(M269*M274)</f>
        <v>0</v>
      </c>
      <c r="N266" s="36">
        <f>(N267*N271)+(N268*N272)+(N269*N274)</f>
        <v>21574999.99998</v>
      </c>
      <c r="O266" s="36">
        <f>(O267*O271)+(O268*O272)+(O269*O274)</f>
        <v>0</v>
      </c>
      <c r="P266" s="36">
        <f>N266+O266</f>
        <v>21574999.99998</v>
      </c>
      <c r="Q266" s="36">
        <f>(Q267*Q271)+(Q268*Q272)+(Q269*Q274)</f>
        <v>0</v>
      </c>
      <c r="IB266" s="39"/>
      <c r="IC266" s="39"/>
      <c r="ID266" s="39"/>
      <c r="IE266" s="39"/>
      <c r="IF266" s="39"/>
      <c r="IG266" s="39"/>
    </row>
    <row r="267" spans="1:241" s="25" customFormat="1" ht="22.5">
      <c r="A267" s="8" t="s">
        <v>114</v>
      </c>
      <c r="B267" s="6"/>
      <c r="C267" s="6"/>
      <c r="D267" s="7">
        <v>33</v>
      </c>
      <c r="E267" s="7"/>
      <c r="F267" s="7">
        <f>D267+E267</f>
        <v>33</v>
      </c>
      <c r="G267" s="7">
        <v>30</v>
      </c>
      <c r="H267" s="7"/>
      <c r="I267" s="7"/>
      <c r="J267" s="7">
        <f>G267+H267</f>
        <v>30</v>
      </c>
      <c r="K267" s="7"/>
      <c r="L267" s="7"/>
      <c r="M267" s="7"/>
      <c r="N267" s="7">
        <v>28</v>
      </c>
      <c r="O267" s="7"/>
      <c r="P267" s="7">
        <f>N267+O267</f>
        <v>28</v>
      </c>
      <c r="IB267" s="53"/>
      <c r="IC267" s="53"/>
      <c r="ID267" s="53"/>
      <c r="IE267" s="53"/>
      <c r="IF267" s="53"/>
      <c r="IG267" s="53"/>
    </row>
    <row r="268" spans="1:241" s="25" customFormat="1" ht="22.5" customHeight="1">
      <c r="A268" s="8" t="s">
        <v>115</v>
      </c>
      <c r="B268" s="6"/>
      <c r="C268" s="6"/>
      <c r="D268" s="7">
        <v>6</v>
      </c>
      <c r="E268" s="7"/>
      <c r="F268" s="7">
        <f aca="true" t="shared" si="39" ref="F268:F278">D268+E268</f>
        <v>6</v>
      </c>
      <c r="G268" s="7">
        <f>D268</f>
        <v>6</v>
      </c>
      <c r="H268" s="7"/>
      <c r="I268" s="7"/>
      <c r="J268" s="7">
        <f aca="true" t="shared" si="40" ref="J268:J278">G268+H268</f>
        <v>6</v>
      </c>
      <c r="K268" s="7"/>
      <c r="L268" s="7"/>
      <c r="M268" s="7"/>
      <c r="N268" s="7">
        <v>6</v>
      </c>
      <c r="O268" s="7"/>
      <c r="P268" s="7">
        <f aca="true" t="shared" si="41" ref="P268:P278">N268+O268</f>
        <v>6</v>
      </c>
      <c r="IB268" s="53"/>
      <c r="IC268" s="53"/>
      <c r="ID268" s="53"/>
      <c r="IE268" s="53"/>
      <c r="IF268" s="53"/>
      <c r="IG268" s="53"/>
    </row>
    <row r="269" spans="1:241" s="25" customFormat="1" ht="22.5" customHeight="1">
      <c r="A269" s="8" t="s">
        <v>161</v>
      </c>
      <c r="B269" s="6"/>
      <c r="C269" s="6"/>
      <c r="D269" s="7">
        <v>77</v>
      </c>
      <c r="E269" s="7"/>
      <c r="F269" s="7">
        <f t="shared" si="39"/>
        <v>77</v>
      </c>
      <c r="G269" s="7">
        <v>80</v>
      </c>
      <c r="H269" s="7"/>
      <c r="I269" s="7"/>
      <c r="J269" s="7">
        <f t="shared" si="40"/>
        <v>80</v>
      </c>
      <c r="K269" s="7"/>
      <c r="L269" s="7"/>
      <c r="M269" s="7"/>
      <c r="N269" s="7">
        <v>90</v>
      </c>
      <c r="O269" s="7"/>
      <c r="P269" s="7">
        <f t="shared" si="41"/>
        <v>90</v>
      </c>
      <c r="IB269" s="53"/>
      <c r="IC269" s="53"/>
      <c r="ID269" s="53"/>
      <c r="IE269" s="53"/>
      <c r="IF269" s="53"/>
      <c r="IG269" s="53"/>
    </row>
    <row r="270" spans="1:241" s="25" customFormat="1" ht="12" customHeight="1">
      <c r="A270" s="5" t="s">
        <v>7</v>
      </c>
      <c r="B270" s="37"/>
      <c r="C270" s="37"/>
      <c r="D270" s="30"/>
      <c r="E270" s="30"/>
      <c r="F270" s="7"/>
      <c r="G270" s="30"/>
      <c r="H270" s="30"/>
      <c r="I270" s="7"/>
      <c r="J270" s="7"/>
      <c r="K270" s="7"/>
      <c r="L270" s="7"/>
      <c r="M270" s="7"/>
      <c r="N270" s="30"/>
      <c r="O270" s="30"/>
      <c r="P270" s="7"/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116</v>
      </c>
      <c r="B271" s="6"/>
      <c r="C271" s="6"/>
      <c r="D271" s="7">
        <v>506060.66</v>
      </c>
      <c r="E271" s="7"/>
      <c r="F271" s="7">
        <f t="shared" si="39"/>
        <v>506060.66</v>
      </c>
      <c r="G271" s="7">
        <v>593333.33333</v>
      </c>
      <c r="H271" s="7"/>
      <c r="I271" s="7"/>
      <c r="J271" s="7">
        <f t="shared" si="40"/>
        <v>593333.33333</v>
      </c>
      <c r="K271" s="7"/>
      <c r="L271" s="7"/>
      <c r="M271" s="7"/>
      <c r="N271" s="7">
        <v>675000</v>
      </c>
      <c r="O271" s="7"/>
      <c r="P271" s="7">
        <f t="shared" si="41"/>
        <v>675000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117</v>
      </c>
      <c r="B272" s="6"/>
      <c r="C272" s="6"/>
      <c r="D272" s="7">
        <v>529166.66666</v>
      </c>
      <c r="E272" s="7"/>
      <c r="F272" s="7">
        <f t="shared" si="39"/>
        <v>529166.66666</v>
      </c>
      <c r="G272" s="7">
        <v>367500</v>
      </c>
      <c r="H272" s="7"/>
      <c r="I272" s="7"/>
      <c r="J272" s="7">
        <f t="shared" si="40"/>
        <v>367500</v>
      </c>
      <c r="K272" s="7"/>
      <c r="L272" s="7"/>
      <c r="M272" s="7"/>
      <c r="N272" s="7">
        <v>395833.33333</v>
      </c>
      <c r="O272" s="7"/>
      <c r="P272" s="7">
        <f t="shared" si="41"/>
        <v>395833.33333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6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32.25" customHeight="1">
      <c r="A274" s="8" t="s">
        <v>186</v>
      </c>
      <c r="B274" s="6"/>
      <c r="C274" s="6"/>
      <c r="D274" s="7">
        <f>200000/77</f>
        <v>2597.4025974025976</v>
      </c>
      <c r="E274" s="7"/>
      <c r="F274" s="7">
        <f t="shared" si="39"/>
        <v>2597.4025974025976</v>
      </c>
      <c r="G274" s="7">
        <v>3125</v>
      </c>
      <c r="H274" s="7"/>
      <c r="I274" s="7"/>
      <c r="J274" s="7">
        <f t="shared" si="40"/>
        <v>3125</v>
      </c>
      <c r="K274" s="7"/>
      <c r="L274" s="7"/>
      <c r="M274" s="7"/>
      <c r="N274" s="7">
        <f>300000/90</f>
        <v>3333.3333333333335</v>
      </c>
      <c r="O274" s="7"/>
      <c r="P274" s="7">
        <f t="shared" si="41"/>
        <v>3333.3333333333335</v>
      </c>
      <c r="IB274" s="53"/>
      <c r="IC274" s="53"/>
      <c r="ID274" s="53"/>
      <c r="IE274" s="53"/>
      <c r="IF274" s="53"/>
      <c r="IG274" s="53"/>
    </row>
    <row r="275" spans="1:241" s="25" customFormat="1" ht="11.25">
      <c r="A275" s="5" t="s">
        <v>6</v>
      </c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IB275" s="53"/>
      <c r="IC275" s="53"/>
      <c r="ID275" s="53"/>
      <c r="IE275" s="53"/>
      <c r="IF275" s="53"/>
      <c r="IG275" s="53"/>
    </row>
    <row r="276" spans="1:241" s="25" customFormat="1" ht="33.75">
      <c r="A276" s="8" t="s">
        <v>118</v>
      </c>
      <c r="B276" s="6"/>
      <c r="C276" s="6"/>
      <c r="D276" s="7"/>
      <c r="E276" s="7"/>
      <c r="F276" s="7">
        <f t="shared" si="39"/>
        <v>0</v>
      </c>
      <c r="G276" s="7">
        <f>G271/F271*100</f>
        <v>117.2454964845519</v>
      </c>
      <c r="H276" s="7"/>
      <c r="I276" s="7"/>
      <c r="J276" s="7">
        <f t="shared" si="40"/>
        <v>117.2454964845519</v>
      </c>
      <c r="K276" s="7"/>
      <c r="L276" s="7"/>
      <c r="M276" s="7"/>
      <c r="N276" s="7">
        <f>N271/J271*100</f>
        <v>113.76404494445933</v>
      </c>
      <c r="O276" s="7"/>
      <c r="P276" s="7">
        <f t="shared" si="41"/>
        <v>113.76404494445933</v>
      </c>
      <c r="IB276" s="53"/>
      <c r="IC276" s="53"/>
      <c r="ID276" s="53"/>
      <c r="IE276" s="53"/>
      <c r="IF276" s="53"/>
      <c r="IG276" s="53"/>
    </row>
    <row r="277" spans="1:241" s="25" customFormat="1" ht="33.75">
      <c r="A277" s="8" t="s">
        <v>119</v>
      </c>
      <c r="B277" s="6"/>
      <c r="C277" s="6"/>
      <c r="D277" s="7"/>
      <c r="E277" s="7"/>
      <c r="F277" s="7">
        <f t="shared" si="39"/>
        <v>0</v>
      </c>
      <c r="G277" s="7">
        <f>G272/D272*100</f>
        <v>69.44881889851274</v>
      </c>
      <c r="H277" s="7"/>
      <c r="I277" s="7"/>
      <c r="J277" s="7">
        <f t="shared" si="40"/>
        <v>69.44881889851274</v>
      </c>
      <c r="K277" s="7"/>
      <c r="L277" s="7"/>
      <c r="M277" s="7"/>
      <c r="N277" s="7">
        <f>N272/G272*100</f>
        <v>107.7097505659864</v>
      </c>
      <c r="O277" s="7"/>
      <c r="P277" s="7">
        <f t="shared" si="41"/>
        <v>107.7097505659864</v>
      </c>
      <c r="IB277" s="53"/>
      <c r="IC277" s="53"/>
      <c r="ID277" s="53"/>
      <c r="IE277" s="53"/>
      <c r="IF277" s="53"/>
      <c r="IG277" s="53"/>
    </row>
    <row r="278" spans="1:241" s="25" customFormat="1" ht="27" customHeight="1">
      <c r="A278" s="8" t="s">
        <v>227</v>
      </c>
      <c r="B278" s="6"/>
      <c r="C278" s="6"/>
      <c r="D278" s="7"/>
      <c r="E278" s="7"/>
      <c r="F278" s="7">
        <f t="shared" si="39"/>
        <v>0</v>
      </c>
      <c r="G278" s="7">
        <f>G274/D274*100</f>
        <v>120.3125</v>
      </c>
      <c r="H278" s="7"/>
      <c r="I278" s="7"/>
      <c r="J278" s="7">
        <f t="shared" si="40"/>
        <v>120.3125</v>
      </c>
      <c r="K278" s="7"/>
      <c r="L278" s="7"/>
      <c r="M278" s="7"/>
      <c r="N278" s="7">
        <f>N274/G274*100</f>
        <v>106.66666666666667</v>
      </c>
      <c r="O278" s="7"/>
      <c r="P278" s="7">
        <f t="shared" si="41"/>
        <v>106.66666666666667</v>
      </c>
      <c r="IB278" s="53"/>
      <c r="IC278" s="53"/>
      <c r="ID278" s="53"/>
      <c r="IE278" s="53"/>
      <c r="IF278" s="53"/>
      <c r="IG278" s="53"/>
    </row>
    <row r="279" spans="1:241" s="38" customFormat="1" ht="24" customHeight="1">
      <c r="A279" s="34" t="s">
        <v>391</v>
      </c>
      <c r="B279" s="35"/>
      <c r="C279" s="35"/>
      <c r="D279" s="36">
        <v>1000000</v>
      </c>
      <c r="E279" s="36"/>
      <c r="F279" s="36">
        <f>D279</f>
        <v>1000000</v>
      </c>
      <c r="G279" s="36">
        <v>1200000</v>
      </c>
      <c r="H279" s="36"/>
      <c r="I279" s="36"/>
      <c r="J279" s="36">
        <f>G279</f>
        <v>1200000</v>
      </c>
      <c r="K279" s="36">
        <f>(K281*K283)</f>
        <v>0</v>
      </c>
      <c r="L279" s="36">
        <f>(L281*L283)</f>
        <v>0</v>
      </c>
      <c r="M279" s="36">
        <f>(M281*M283)</f>
        <v>0</v>
      </c>
      <c r="N279" s="36">
        <v>1400000</v>
      </c>
      <c r="O279" s="36">
        <f>(O281*O283)</f>
        <v>0</v>
      </c>
      <c r="P279" s="36">
        <f>N279</f>
        <v>1400000</v>
      </c>
      <c r="IB279" s="39"/>
      <c r="IC279" s="39"/>
      <c r="ID279" s="39"/>
      <c r="IE279" s="39"/>
      <c r="IF279" s="39"/>
      <c r="IG279" s="39"/>
    </row>
    <row r="280" spans="1:241" s="25" customFormat="1" ht="11.25">
      <c r="A280" s="5" t="s">
        <v>5</v>
      </c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250</v>
      </c>
      <c r="B281" s="6"/>
      <c r="C281" s="6"/>
      <c r="D281" s="7">
        <v>750</v>
      </c>
      <c r="E281" s="7"/>
      <c r="F281" s="7">
        <f>D281</f>
        <v>750</v>
      </c>
      <c r="G281" s="7">
        <v>700</v>
      </c>
      <c r="H281" s="7"/>
      <c r="I281" s="7"/>
      <c r="J281" s="7">
        <f>G281</f>
        <v>700</v>
      </c>
      <c r="K281" s="7"/>
      <c r="L281" s="7"/>
      <c r="M281" s="7"/>
      <c r="N281" s="7">
        <v>650</v>
      </c>
      <c r="O281" s="7"/>
      <c r="P281" s="7">
        <f>N281</f>
        <v>650</v>
      </c>
      <c r="IB281" s="53"/>
      <c r="IC281" s="53"/>
      <c r="ID281" s="53"/>
      <c r="IE281" s="53"/>
      <c r="IF281" s="53"/>
      <c r="IG281" s="53"/>
    </row>
    <row r="282" spans="1:241" s="25" customFormat="1" ht="11.25">
      <c r="A282" s="5" t="s">
        <v>7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22.5" customHeight="1">
      <c r="A283" s="8" t="s">
        <v>251</v>
      </c>
      <c r="B283" s="6"/>
      <c r="C283" s="6"/>
      <c r="D283" s="7">
        <f>D279/D281</f>
        <v>1333.3333333333333</v>
      </c>
      <c r="E283" s="7"/>
      <c r="F283" s="7">
        <f>D283</f>
        <v>1333.3333333333333</v>
      </c>
      <c r="G283" s="7">
        <f>G279/G281</f>
        <v>1714.2857142857142</v>
      </c>
      <c r="H283" s="7"/>
      <c r="I283" s="7"/>
      <c r="J283" s="7">
        <f>G283</f>
        <v>1714.2857142857142</v>
      </c>
      <c r="K283" s="7"/>
      <c r="L283" s="7"/>
      <c r="M283" s="7"/>
      <c r="N283" s="7">
        <f>1400000/750</f>
        <v>1866.6666666666667</v>
      </c>
      <c r="O283" s="7"/>
      <c r="P283" s="7">
        <f>N283</f>
        <v>1866.6666666666667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6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4" customHeight="1">
      <c r="A285" s="8" t="s">
        <v>179</v>
      </c>
      <c r="B285" s="6"/>
      <c r="C285" s="6"/>
      <c r="D285" s="7"/>
      <c r="E285" s="7"/>
      <c r="F285" s="7"/>
      <c r="G285" s="7">
        <f>G281/D281*100</f>
        <v>93.33333333333333</v>
      </c>
      <c r="H285" s="7"/>
      <c r="I285" s="7"/>
      <c r="J285" s="7">
        <f>G285</f>
        <v>93.33333333333333</v>
      </c>
      <c r="K285" s="7"/>
      <c r="L285" s="7"/>
      <c r="M285" s="7"/>
      <c r="N285" s="7">
        <f>N281/G281*100</f>
        <v>92.85714285714286</v>
      </c>
      <c r="O285" s="7"/>
      <c r="P285" s="7">
        <f>N285</f>
        <v>92.85714285714286</v>
      </c>
      <c r="IB285" s="53"/>
      <c r="IC285" s="53"/>
      <c r="ID285" s="53"/>
      <c r="IE285" s="53"/>
      <c r="IF285" s="53"/>
      <c r="IG285" s="53"/>
    </row>
    <row r="286" spans="1:241" s="25" customFormat="1" ht="31.5" customHeight="1">
      <c r="A286" s="8" t="s">
        <v>180</v>
      </c>
      <c r="B286" s="6"/>
      <c r="C286" s="6"/>
      <c r="D286" s="7"/>
      <c r="E286" s="7"/>
      <c r="F286" s="7"/>
      <c r="G286" s="7">
        <f>G283/D283*100</f>
        <v>128.57142857142858</v>
      </c>
      <c r="H286" s="7"/>
      <c r="I286" s="7"/>
      <c r="J286" s="7">
        <f>G286</f>
        <v>128.57142857142858</v>
      </c>
      <c r="K286" s="7"/>
      <c r="L286" s="7"/>
      <c r="M286" s="7"/>
      <c r="N286" s="7">
        <f>N283/G283*100</f>
        <v>108.8888888888889</v>
      </c>
      <c r="O286" s="7"/>
      <c r="P286" s="7">
        <f>N286</f>
        <v>108.8888888888889</v>
      </c>
      <c r="IB286" s="53"/>
      <c r="IC286" s="53"/>
      <c r="ID286" s="53"/>
      <c r="IE286" s="53"/>
      <c r="IF286" s="53"/>
      <c r="IG286" s="53"/>
    </row>
    <row r="287" spans="1:241" s="38" customFormat="1" ht="22.5" customHeight="1">
      <c r="A287" s="34" t="s">
        <v>392</v>
      </c>
      <c r="B287" s="35"/>
      <c r="C287" s="35"/>
      <c r="D287" s="36"/>
      <c r="E287" s="36">
        <v>11780000</v>
      </c>
      <c r="F287" s="36">
        <f>E287</f>
        <v>11780000</v>
      </c>
      <c r="G287" s="36">
        <f>G289*G291</f>
        <v>0</v>
      </c>
      <c r="H287" s="36">
        <v>12000000</v>
      </c>
      <c r="I287" s="36">
        <f>I289*I291</f>
        <v>0</v>
      </c>
      <c r="J287" s="36">
        <f>G287+H287</f>
        <v>12000000</v>
      </c>
      <c r="K287" s="36">
        <f>K289*K291</f>
        <v>0</v>
      </c>
      <c r="L287" s="36">
        <f>L289*L291</f>
        <v>0</v>
      </c>
      <c r="M287" s="36">
        <f>M289*M291</f>
        <v>0</v>
      </c>
      <c r="N287" s="36">
        <f>N289*N291</f>
        <v>0</v>
      </c>
      <c r="O287" s="36">
        <v>12100000</v>
      </c>
      <c r="P287" s="36">
        <f>N287+O287</f>
        <v>12100000</v>
      </c>
      <c r="IB287" s="39"/>
      <c r="IC287" s="39"/>
      <c r="ID287" s="39"/>
      <c r="IE287" s="39"/>
      <c r="IF287" s="39"/>
      <c r="IG287" s="39"/>
    </row>
    <row r="288" spans="1:241" s="25" customFormat="1" ht="11.25">
      <c r="A288" s="5" t="s">
        <v>5</v>
      </c>
      <c r="B288" s="37"/>
      <c r="C288" s="37"/>
      <c r="D288" s="30"/>
      <c r="E288" s="30"/>
      <c r="F288" s="7"/>
      <c r="G288" s="30"/>
      <c r="H288" s="30"/>
      <c r="I288" s="30"/>
      <c r="J288" s="7"/>
      <c r="K288" s="7"/>
      <c r="L288" s="7"/>
      <c r="M288" s="7"/>
      <c r="N288" s="30"/>
      <c r="O288" s="30"/>
      <c r="P288" s="7"/>
      <c r="IB288" s="53"/>
      <c r="IC288" s="53"/>
      <c r="ID288" s="53"/>
      <c r="IE288" s="53"/>
      <c r="IF288" s="53"/>
      <c r="IG288" s="53"/>
    </row>
    <row r="289" spans="1:241" s="25" customFormat="1" ht="21.75" customHeight="1">
      <c r="A289" s="8" t="s">
        <v>120</v>
      </c>
      <c r="B289" s="6"/>
      <c r="C289" s="6"/>
      <c r="D289" s="7"/>
      <c r="E289" s="7">
        <v>20</v>
      </c>
      <c r="F289" s="7">
        <f>E289</f>
        <v>20</v>
      </c>
      <c r="G289" s="7"/>
      <c r="H289" s="7">
        <v>18</v>
      </c>
      <c r="I289" s="7"/>
      <c r="J289" s="7">
        <f>G289+H289</f>
        <v>18</v>
      </c>
      <c r="K289" s="7"/>
      <c r="L289" s="7"/>
      <c r="M289" s="7"/>
      <c r="N289" s="7"/>
      <c r="O289" s="7">
        <v>15</v>
      </c>
      <c r="P289" s="7">
        <f>O289</f>
        <v>15</v>
      </c>
      <c r="IB289" s="53"/>
      <c r="IC289" s="53"/>
      <c r="ID289" s="53"/>
      <c r="IE289" s="53"/>
      <c r="IF289" s="53"/>
      <c r="IG289" s="53"/>
    </row>
    <row r="290" spans="1:241" s="25" customFormat="1" ht="11.25">
      <c r="A290" s="5" t="s">
        <v>7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3.25" customHeight="1">
      <c r="A291" s="8" t="s">
        <v>121</v>
      </c>
      <c r="B291" s="6"/>
      <c r="C291" s="6"/>
      <c r="D291" s="7"/>
      <c r="E291" s="7">
        <f>E287/E289</f>
        <v>589000</v>
      </c>
      <c r="F291" s="7">
        <f>E291</f>
        <v>589000</v>
      </c>
      <c r="G291" s="7"/>
      <c r="H291" s="7">
        <f>H287/H289</f>
        <v>666666.6666666666</v>
      </c>
      <c r="I291" s="7"/>
      <c r="J291" s="7">
        <f>G291+H291</f>
        <v>666666.6666666666</v>
      </c>
      <c r="K291" s="7"/>
      <c r="L291" s="7"/>
      <c r="M291" s="7"/>
      <c r="N291" s="7"/>
      <c r="O291" s="7">
        <f>O287/O289</f>
        <v>806666.6666666666</v>
      </c>
      <c r="P291" s="7">
        <f>O291</f>
        <v>806666.6666666666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6</v>
      </c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IB292" s="53"/>
      <c r="IC292" s="53"/>
      <c r="ID292" s="53"/>
      <c r="IE292" s="53"/>
      <c r="IF292" s="53"/>
      <c r="IG292" s="53"/>
    </row>
    <row r="293" spans="1:241" s="25" customFormat="1" ht="35.25" customHeight="1">
      <c r="A293" s="8" t="s">
        <v>122</v>
      </c>
      <c r="B293" s="6"/>
      <c r="C293" s="6"/>
      <c r="D293" s="7"/>
      <c r="E293" s="7">
        <v>0</v>
      </c>
      <c r="F293" s="7">
        <v>0</v>
      </c>
      <c r="G293" s="7"/>
      <c r="H293" s="7">
        <f>H291/E291*100</f>
        <v>113.18619128466327</v>
      </c>
      <c r="I293" s="7"/>
      <c r="J293" s="7">
        <f>G293+H293</f>
        <v>113.18619128466327</v>
      </c>
      <c r="K293" s="7"/>
      <c r="L293" s="7"/>
      <c r="M293" s="7"/>
      <c r="N293" s="7"/>
      <c r="O293" s="7">
        <f>O291/H291*100</f>
        <v>121</v>
      </c>
      <c r="P293" s="7">
        <f>O293</f>
        <v>121</v>
      </c>
      <c r="IB293" s="53"/>
      <c r="IC293" s="53"/>
      <c r="ID293" s="53"/>
      <c r="IE293" s="53"/>
      <c r="IF293" s="53"/>
      <c r="IG293" s="53"/>
    </row>
    <row r="294" spans="1:16" ht="15" customHeight="1">
      <c r="A294" s="37" t="s">
        <v>363</v>
      </c>
      <c r="B294" s="37"/>
      <c r="C294" s="37"/>
      <c r="D294" s="30"/>
      <c r="E294" s="30">
        <f>E296+E310+E325</f>
        <v>67727703</v>
      </c>
      <c r="F294" s="30">
        <f aca="true" t="shared" si="42" ref="F294:P294">F296+F310+F325</f>
        <v>67727703</v>
      </c>
      <c r="G294" s="30">
        <f t="shared" si="42"/>
        <v>0</v>
      </c>
      <c r="H294" s="30">
        <f t="shared" si="42"/>
        <v>68742599.9975</v>
      </c>
      <c r="I294" s="30">
        <f t="shared" si="42"/>
        <v>742600</v>
      </c>
      <c r="J294" s="30">
        <f t="shared" si="42"/>
        <v>68742599.9975</v>
      </c>
      <c r="K294" s="30">
        <f t="shared" si="42"/>
        <v>10668.66666388889</v>
      </c>
      <c r="L294" s="30">
        <f t="shared" si="42"/>
        <v>2</v>
      </c>
      <c r="M294" s="30">
        <f t="shared" si="42"/>
        <v>2</v>
      </c>
      <c r="N294" s="30">
        <f t="shared" si="42"/>
        <v>0</v>
      </c>
      <c r="O294" s="30">
        <f t="shared" si="42"/>
        <v>70000000.002</v>
      </c>
      <c r="P294" s="30">
        <f t="shared" si="42"/>
        <v>70000000.002</v>
      </c>
    </row>
    <row r="295" spans="1:16" ht="45" customHeight="1">
      <c r="A295" s="34" t="s">
        <v>123</v>
      </c>
      <c r="B295" s="6"/>
      <c r="C295" s="6"/>
      <c r="D295" s="7"/>
      <c r="E295" s="36"/>
      <c r="F295" s="36"/>
      <c r="G295" s="7"/>
      <c r="H295" s="36"/>
      <c r="I295" s="36"/>
      <c r="J295" s="36"/>
      <c r="K295" s="7" t="e">
        <f>H295/E295*100</f>
        <v>#DIV/0!</v>
      </c>
      <c r="L295" s="36"/>
      <c r="M295" s="36"/>
      <c r="N295" s="7"/>
      <c r="O295" s="36"/>
      <c r="P295" s="36"/>
    </row>
    <row r="296" spans="1:16" ht="22.5" customHeight="1">
      <c r="A296" s="34" t="s">
        <v>128</v>
      </c>
      <c r="B296" s="6"/>
      <c r="C296" s="6"/>
      <c r="D296" s="7"/>
      <c r="E296" s="36">
        <f>E297</f>
        <v>46927700</v>
      </c>
      <c r="F296" s="36">
        <f>D296+E296</f>
        <v>46927700</v>
      </c>
      <c r="G296" s="36"/>
      <c r="H296" s="36">
        <f>H297</f>
        <v>47999999.997499995</v>
      </c>
      <c r="I296" s="36"/>
      <c r="J296" s="36">
        <f>G296+H296</f>
        <v>47999999.997499995</v>
      </c>
      <c r="K296" s="36">
        <f>K297+K311+K318</f>
        <v>10667.66666388889</v>
      </c>
      <c r="L296" s="36">
        <f>L297+L311+L318</f>
        <v>1</v>
      </c>
      <c r="M296" s="36">
        <f>M297+M311+M318</f>
        <v>1</v>
      </c>
      <c r="N296" s="36"/>
      <c r="O296" s="36">
        <f>O297</f>
        <v>50000000.002</v>
      </c>
      <c r="P296" s="36">
        <f>N296+O296</f>
        <v>50000000.002</v>
      </c>
    </row>
    <row r="297" spans="1:235" s="39" customFormat="1" ht="22.5">
      <c r="A297" s="34" t="s">
        <v>393</v>
      </c>
      <c r="B297" s="35"/>
      <c r="C297" s="35"/>
      <c r="D297" s="36"/>
      <c r="E297" s="145">
        <f>(E301*E303)+E307+E308+E309</f>
        <v>46927700</v>
      </c>
      <c r="F297" s="36">
        <f>E297</f>
        <v>46927700</v>
      </c>
      <c r="G297" s="36"/>
      <c r="H297" s="36">
        <f>H301*H303+0.01</f>
        <v>47999999.997499995</v>
      </c>
      <c r="I297" s="36"/>
      <c r="J297" s="36">
        <f>H297</f>
        <v>47999999.997499995</v>
      </c>
      <c r="K297" s="36">
        <f>K301*K303</f>
        <v>10666.66666388889</v>
      </c>
      <c r="L297" s="36">
        <f>L301*L303</f>
        <v>0</v>
      </c>
      <c r="M297" s="36">
        <f>M301*M303</f>
        <v>0</v>
      </c>
      <c r="N297" s="36"/>
      <c r="O297" s="36">
        <f>O301*O303+0.01</f>
        <v>50000000.002</v>
      </c>
      <c r="P297" s="36">
        <f>N297+O297</f>
        <v>50000000.002</v>
      </c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  <c r="EW297" s="38"/>
      <c r="EX297" s="38"/>
      <c r="EY297" s="38"/>
      <c r="EZ297" s="38"/>
      <c r="FA297" s="38"/>
      <c r="FB297" s="38"/>
      <c r="FC297" s="38"/>
      <c r="FD297" s="38"/>
      <c r="FE297" s="38"/>
      <c r="FF297" s="38"/>
      <c r="FG297" s="38"/>
      <c r="FH297" s="38"/>
      <c r="FI297" s="38"/>
      <c r="FJ297" s="38"/>
      <c r="FK297" s="38"/>
      <c r="FL297" s="38"/>
      <c r="FM297" s="38"/>
      <c r="FN297" s="38"/>
      <c r="FO297" s="38"/>
      <c r="FP297" s="38"/>
      <c r="FQ297" s="38"/>
      <c r="FR297" s="38"/>
      <c r="FS297" s="38"/>
      <c r="FT297" s="38"/>
      <c r="FU297" s="38"/>
      <c r="FV297" s="38"/>
      <c r="FW297" s="38"/>
      <c r="FX297" s="38"/>
      <c r="FY297" s="38"/>
      <c r="FZ297" s="38"/>
      <c r="GA297" s="38"/>
      <c r="GB297" s="38"/>
      <c r="GC297" s="38"/>
      <c r="GD297" s="38"/>
      <c r="GE297" s="38"/>
      <c r="GF297" s="38"/>
      <c r="GG297" s="38"/>
      <c r="GH297" s="38"/>
      <c r="GI297" s="38"/>
      <c r="GJ297" s="38"/>
      <c r="GK297" s="38"/>
      <c r="GL297" s="38"/>
      <c r="GM297" s="38"/>
      <c r="GN297" s="38"/>
      <c r="GO297" s="38"/>
      <c r="GP297" s="38"/>
      <c r="GQ297" s="38"/>
      <c r="GR297" s="38"/>
      <c r="GS297" s="38"/>
      <c r="GT297" s="38"/>
      <c r="GU297" s="38"/>
      <c r="GV297" s="38"/>
      <c r="GW297" s="38"/>
      <c r="GX297" s="38"/>
      <c r="GY297" s="38"/>
      <c r="GZ297" s="38"/>
      <c r="HA297" s="38"/>
      <c r="HB297" s="38"/>
      <c r="HC297" s="38"/>
      <c r="HD297" s="38"/>
      <c r="HE297" s="38"/>
      <c r="HF297" s="38"/>
      <c r="HG297" s="38"/>
      <c r="HH297" s="38"/>
      <c r="HI297" s="38"/>
      <c r="HJ297" s="38"/>
      <c r="HK297" s="38"/>
      <c r="HL297" s="38"/>
      <c r="HM297" s="38"/>
      <c r="HN297" s="38"/>
      <c r="HO297" s="38"/>
      <c r="HP297" s="38"/>
      <c r="HQ297" s="38"/>
      <c r="HR297" s="38"/>
      <c r="HS297" s="38"/>
      <c r="HT297" s="38"/>
      <c r="HU297" s="38"/>
      <c r="HV297" s="38"/>
      <c r="HW297" s="38"/>
      <c r="HX297" s="38"/>
      <c r="HY297" s="38"/>
      <c r="HZ297" s="38"/>
      <c r="IA297" s="38"/>
    </row>
    <row r="298" spans="1:16" ht="11.25">
      <c r="A298" s="5" t="s">
        <v>4</v>
      </c>
      <c r="B298" s="37"/>
      <c r="C298" s="37"/>
      <c r="D298" s="7"/>
      <c r="E298" s="36"/>
      <c r="F298" s="36"/>
      <c r="G298" s="7"/>
      <c r="H298" s="36"/>
      <c r="I298" s="36"/>
      <c r="J298" s="36"/>
      <c r="K298" s="7"/>
      <c r="L298" s="36"/>
      <c r="M298" s="36"/>
      <c r="N298" s="7"/>
      <c r="O298" s="36"/>
      <c r="P298" s="36"/>
    </row>
    <row r="299" spans="1:16" ht="22.5">
      <c r="A299" s="8" t="s">
        <v>124</v>
      </c>
      <c r="B299" s="6"/>
      <c r="C299" s="6"/>
      <c r="D299" s="7"/>
      <c r="E299" s="7">
        <v>1072</v>
      </c>
      <c r="F299" s="7">
        <f>E299</f>
        <v>1072</v>
      </c>
      <c r="G299" s="7"/>
      <c r="H299" s="7">
        <v>892</v>
      </c>
      <c r="I299" s="7"/>
      <c r="J299" s="7">
        <f>H299</f>
        <v>892</v>
      </c>
      <c r="K299" s="7"/>
      <c r="L299" s="36"/>
      <c r="M299" s="36"/>
      <c r="N299" s="7"/>
      <c r="O299" s="7">
        <v>617</v>
      </c>
      <c r="P299" s="7">
        <f>O299</f>
        <v>617</v>
      </c>
    </row>
    <row r="300" spans="1:16" ht="11.25">
      <c r="A300" s="5" t="s">
        <v>5</v>
      </c>
      <c r="B300" s="37"/>
      <c r="C300" s="37"/>
      <c r="D300" s="7"/>
      <c r="E300" s="30"/>
      <c r="F300" s="30"/>
      <c r="G300" s="7"/>
      <c r="H300" s="30"/>
      <c r="I300" s="30"/>
      <c r="J300" s="30"/>
      <c r="K300" s="7" t="e">
        <f>H300/E300*100</f>
        <v>#DIV/0!</v>
      </c>
      <c r="L300" s="30"/>
      <c r="M300" s="30"/>
      <c r="N300" s="7"/>
      <c r="O300" s="30"/>
      <c r="P300" s="30"/>
    </row>
    <row r="301" spans="1:16" ht="22.5">
      <c r="A301" s="8" t="s">
        <v>125</v>
      </c>
      <c r="B301" s="6"/>
      <c r="C301" s="6"/>
      <c r="D301" s="7"/>
      <c r="E301" s="7">
        <v>180</v>
      </c>
      <c r="F301" s="7">
        <f>E301</f>
        <v>180</v>
      </c>
      <c r="G301" s="7"/>
      <c r="H301" s="7">
        <v>275</v>
      </c>
      <c r="I301" s="7"/>
      <c r="J301" s="7">
        <f>H301</f>
        <v>275</v>
      </c>
      <c r="K301" s="7">
        <f>H301/E301*100</f>
        <v>152.77777777777777</v>
      </c>
      <c r="L301" s="7"/>
      <c r="M301" s="7"/>
      <c r="N301" s="7"/>
      <c r="O301" s="7">
        <v>240</v>
      </c>
      <c r="P301" s="7">
        <f>O301</f>
        <v>240</v>
      </c>
    </row>
    <row r="302" spans="1:16" ht="11.25">
      <c r="A302" s="5" t="s">
        <v>7</v>
      </c>
      <c r="B302" s="37"/>
      <c r="C302" s="37"/>
      <c r="D302" s="7"/>
      <c r="E302" s="30"/>
      <c r="F302" s="30"/>
      <c r="G302" s="7"/>
      <c r="H302" s="30"/>
      <c r="I302" s="30"/>
      <c r="J302" s="30"/>
      <c r="K302" s="7" t="e">
        <f>H302/E302*100</f>
        <v>#DIV/0!</v>
      </c>
      <c r="L302" s="30"/>
      <c r="M302" s="30"/>
      <c r="N302" s="7"/>
      <c r="O302" s="30"/>
      <c r="P302" s="30"/>
    </row>
    <row r="303" spans="1:16" ht="24" customHeight="1">
      <c r="A303" s="8" t="s">
        <v>126</v>
      </c>
      <c r="B303" s="6"/>
      <c r="C303" s="6"/>
      <c r="D303" s="7"/>
      <c r="E303" s="7">
        <v>250000</v>
      </c>
      <c r="F303" s="7">
        <f>E303</f>
        <v>250000</v>
      </c>
      <c r="G303" s="7"/>
      <c r="H303" s="7">
        <v>174545.4545</v>
      </c>
      <c r="I303" s="7"/>
      <c r="J303" s="7">
        <f>H303</f>
        <v>174545.4545</v>
      </c>
      <c r="K303" s="7">
        <f>H303/E303*100</f>
        <v>69.8181818</v>
      </c>
      <c r="L303" s="7"/>
      <c r="M303" s="7"/>
      <c r="N303" s="7"/>
      <c r="O303" s="7">
        <v>208333.3333</v>
      </c>
      <c r="P303" s="7">
        <f>O303</f>
        <v>208333.3333</v>
      </c>
    </row>
    <row r="304" spans="1:16" ht="11.25">
      <c r="A304" s="5" t="s">
        <v>6</v>
      </c>
      <c r="B304" s="37"/>
      <c r="C304" s="3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50.25" customHeight="1">
      <c r="A305" s="8" t="s">
        <v>127</v>
      </c>
      <c r="B305" s="6"/>
      <c r="C305" s="6"/>
      <c r="D305" s="7"/>
      <c r="E305" s="7">
        <f>E301/E299*100</f>
        <v>16.791044776119403</v>
      </c>
      <c r="F305" s="7">
        <f>D305+E305</f>
        <v>16.791044776119403</v>
      </c>
      <c r="G305" s="7"/>
      <c r="H305" s="7">
        <f>H301/H299*100</f>
        <v>30.829596412556054</v>
      </c>
      <c r="I305" s="7"/>
      <c r="J305" s="7">
        <f>J301/J299*100</f>
        <v>30.829596412556054</v>
      </c>
      <c r="K305" s="7" t="e">
        <f>K301/K299*100</f>
        <v>#DIV/0!</v>
      </c>
      <c r="L305" s="7" t="e">
        <f>L301/L299*100</f>
        <v>#DIV/0!</v>
      </c>
      <c r="M305" s="7" t="e">
        <f>M301/M299*100</f>
        <v>#DIV/0!</v>
      </c>
      <c r="N305" s="7"/>
      <c r="O305" s="7">
        <f>O301/O299*100</f>
        <v>38.897893030794165</v>
      </c>
      <c r="P305" s="7">
        <f>P301/P299*100</f>
        <v>38.897893030794165</v>
      </c>
    </row>
    <row r="306" spans="1:16" ht="11.25">
      <c r="A306" s="5" t="s">
        <v>5</v>
      </c>
      <c r="B306" s="35"/>
      <c r="C306" s="35"/>
      <c r="D306" s="7"/>
      <c r="E306" s="36"/>
      <c r="F306" s="36"/>
      <c r="G306" s="7"/>
      <c r="H306" s="36"/>
      <c r="I306" s="36"/>
      <c r="J306" s="36"/>
      <c r="K306" s="36"/>
      <c r="L306" s="36"/>
      <c r="M306" s="36"/>
      <c r="N306" s="7"/>
      <c r="O306" s="36"/>
      <c r="P306" s="36"/>
    </row>
    <row r="307" spans="1:16" ht="33.75">
      <c r="A307" s="8" t="s">
        <v>281</v>
      </c>
      <c r="B307" s="37"/>
      <c r="C307" s="37"/>
      <c r="D307" s="30"/>
      <c r="E307" s="7">
        <v>160000</v>
      </c>
      <c r="F307" s="7">
        <v>160000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1.25">
      <c r="A308" s="8" t="s">
        <v>364</v>
      </c>
      <c r="B308" s="37"/>
      <c r="C308" s="37"/>
      <c r="D308" s="30"/>
      <c r="E308" s="7">
        <v>1522000</v>
      </c>
      <c r="F308" s="7">
        <f>E308</f>
        <v>1522000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22.5">
      <c r="A309" s="8" t="s">
        <v>375</v>
      </c>
      <c r="B309" s="37"/>
      <c r="C309" s="37"/>
      <c r="D309" s="30"/>
      <c r="E309" s="7">
        <v>245700</v>
      </c>
      <c r="F309" s="7">
        <f>E309</f>
        <v>245700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235" s="39" customFormat="1" ht="36" customHeight="1">
      <c r="A310" s="34" t="s">
        <v>345</v>
      </c>
      <c r="B310" s="35"/>
      <c r="C310" s="35"/>
      <c r="D310" s="36"/>
      <c r="E310" s="36">
        <f aca="true" t="shared" si="43" ref="E310:P310">SUM(E311)+E318</f>
        <v>20000000</v>
      </c>
      <c r="F310" s="36">
        <f t="shared" si="43"/>
        <v>20000000</v>
      </c>
      <c r="G310" s="36">
        <f t="shared" si="43"/>
        <v>0</v>
      </c>
      <c r="H310" s="36">
        <f t="shared" si="43"/>
        <v>20000000</v>
      </c>
      <c r="I310" s="36">
        <f t="shared" si="43"/>
        <v>0</v>
      </c>
      <c r="J310" s="36">
        <f t="shared" si="43"/>
        <v>20000000</v>
      </c>
      <c r="K310" s="36">
        <f t="shared" si="43"/>
        <v>1</v>
      </c>
      <c r="L310" s="36">
        <f t="shared" si="43"/>
        <v>1</v>
      </c>
      <c r="M310" s="36">
        <f t="shared" si="43"/>
        <v>1</v>
      </c>
      <c r="N310" s="36">
        <f t="shared" si="43"/>
        <v>0</v>
      </c>
      <c r="O310" s="36">
        <f t="shared" si="43"/>
        <v>20000000</v>
      </c>
      <c r="P310" s="36">
        <f t="shared" si="43"/>
        <v>20000000</v>
      </c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8"/>
      <c r="DM310" s="38"/>
      <c r="DN310" s="38"/>
      <c r="DO310" s="38"/>
      <c r="DP310" s="38"/>
      <c r="DQ310" s="38"/>
      <c r="DR310" s="38"/>
      <c r="DS310" s="38"/>
      <c r="DT310" s="38"/>
      <c r="DU310" s="38"/>
      <c r="DV310" s="38"/>
      <c r="DW310" s="38"/>
      <c r="DX310" s="38"/>
      <c r="DY310" s="38"/>
      <c r="DZ310" s="38"/>
      <c r="EA310" s="38"/>
      <c r="EB310" s="38"/>
      <c r="EC310" s="38"/>
      <c r="ED310" s="38"/>
      <c r="EE310" s="38"/>
      <c r="EF310" s="38"/>
      <c r="EG310" s="38"/>
      <c r="EH310" s="38"/>
      <c r="EI310" s="38"/>
      <c r="EJ310" s="38"/>
      <c r="EK310" s="38"/>
      <c r="EL310" s="38"/>
      <c r="EM310" s="38"/>
      <c r="EN310" s="38"/>
      <c r="EO310" s="38"/>
      <c r="EP310" s="38"/>
      <c r="EQ310" s="38"/>
      <c r="ER310" s="38"/>
      <c r="ES310" s="38"/>
      <c r="ET310" s="38"/>
      <c r="EU310" s="38"/>
      <c r="EV310" s="38"/>
      <c r="EW310" s="38"/>
      <c r="EX310" s="38"/>
      <c r="EY310" s="38"/>
      <c r="EZ310" s="38"/>
      <c r="FA310" s="38"/>
      <c r="FB310" s="38"/>
      <c r="FC310" s="38"/>
      <c r="FD310" s="38"/>
      <c r="FE310" s="38"/>
      <c r="FF310" s="38"/>
      <c r="FG310" s="38"/>
      <c r="FH310" s="38"/>
      <c r="FI310" s="38"/>
      <c r="FJ310" s="38"/>
      <c r="FK310" s="38"/>
      <c r="FL310" s="38"/>
      <c r="FM310" s="38"/>
      <c r="FN310" s="38"/>
      <c r="FO310" s="38"/>
      <c r="FP310" s="38"/>
      <c r="FQ310" s="38"/>
      <c r="FR310" s="38"/>
      <c r="FS310" s="38"/>
      <c r="FT310" s="38"/>
      <c r="FU310" s="38"/>
      <c r="FV310" s="38"/>
      <c r="FW310" s="38"/>
      <c r="FX310" s="38"/>
      <c r="FY310" s="38"/>
      <c r="FZ310" s="38"/>
      <c r="GA310" s="38"/>
      <c r="GB310" s="38"/>
      <c r="GC310" s="38"/>
      <c r="GD310" s="38"/>
      <c r="GE310" s="38"/>
      <c r="GF310" s="38"/>
      <c r="GG310" s="38"/>
      <c r="GH310" s="38"/>
      <c r="GI310" s="38"/>
      <c r="GJ310" s="38"/>
      <c r="GK310" s="38"/>
      <c r="GL310" s="38"/>
      <c r="GM310" s="38"/>
      <c r="GN310" s="38"/>
      <c r="GO310" s="38"/>
      <c r="GP310" s="38"/>
      <c r="GQ310" s="38"/>
      <c r="GR310" s="38"/>
      <c r="GS310" s="38"/>
      <c r="GT310" s="38"/>
      <c r="GU310" s="38"/>
      <c r="GV310" s="38"/>
      <c r="GW310" s="38"/>
      <c r="GX310" s="38"/>
      <c r="GY310" s="38"/>
      <c r="GZ310" s="38"/>
      <c r="HA310" s="38"/>
      <c r="HB310" s="38"/>
      <c r="HC310" s="38"/>
      <c r="HD310" s="38"/>
      <c r="HE310" s="38"/>
      <c r="HF310" s="38"/>
      <c r="HG310" s="38"/>
      <c r="HH310" s="38"/>
      <c r="HI310" s="38"/>
      <c r="HJ310" s="38"/>
      <c r="HK310" s="38"/>
      <c r="HL310" s="38"/>
      <c r="HM310" s="38"/>
      <c r="HN310" s="38"/>
      <c r="HO310" s="38"/>
      <c r="HP310" s="38"/>
      <c r="HQ310" s="38"/>
      <c r="HR310" s="38"/>
      <c r="HS310" s="38"/>
      <c r="HT310" s="38"/>
      <c r="HU310" s="38"/>
      <c r="HV310" s="38"/>
      <c r="HW310" s="38"/>
      <c r="HX310" s="38"/>
      <c r="HY310" s="38"/>
      <c r="HZ310" s="38"/>
      <c r="IA310" s="38"/>
    </row>
    <row r="311" spans="1:235" s="39" customFormat="1" ht="41.25" customHeight="1">
      <c r="A311" s="34" t="s">
        <v>394</v>
      </c>
      <c r="B311" s="35"/>
      <c r="C311" s="35"/>
      <c r="D311" s="36"/>
      <c r="E311" s="36">
        <f>E315*E317</f>
        <v>14999999.999999998</v>
      </c>
      <c r="F311" s="36">
        <f>F315*F317</f>
        <v>14999999.999999998</v>
      </c>
      <c r="G311" s="36"/>
      <c r="H311" s="36">
        <f>H315*H317</f>
        <v>14000000</v>
      </c>
      <c r="I311" s="36"/>
      <c r="J311" s="36">
        <f>H311</f>
        <v>14000000</v>
      </c>
      <c r="K311" s="36">
        <f>K315*K317+1</f>
        <v>1</v>
      </c>
      <c r="L311" s="36">
        <f>L315*L317+1</f>
        <v>1</v>
      </c>
      <c r="M311" s="36">
        <f>M315*M317+1</f>
        <v>1</v>
      </c>
      <c r="N311" s="36"/>
      <c r="O311" s="36">
        <f>O313</f>
        <v>13000000</v>
      </c>
      <c r="P311" s="36">
        <f>O311</f>
        <v>13000000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  <c r="ED311" s="38"/>
      <c r="EE311" s="38"/>
      <c r="EF311" s="38"/>
      <c r="EG311" s="38"/>
      <c r="EH311" s="38"/>
      <c r="EI311" s="38"/>
      <c r="EJ311" s="38"/>
      <c r="EK311" s="38"/>
      <c r="EL311" s="38"/>
      <c r="EM311" s="38"/>
      <c r="EN311" s="38"/>
      <c r="EO311" s="38"/>
      <c r="EP311" s="38"/>
      <c r="EQ311" s="38"/>
      <c r="ER311" s="38"/>
      <c r="ES311" s="38"/>
      <c r="ET311" s="38"/>
      <c r="EU311" s="38"/>
      <c r="EV311" s="38"/>
      <c r="EW311" s="38"/>
      <c r="EX311" s="38"/>
      <c r="EY311" s="38"/>
      <c r="EZ311" s="38"/>
      <c r="FA311" s="38"/>
      <c r="FB311" s="38"/>
      <c r="FC311" s="38"/>
      <c r="FD311" s="38"/>
      <c r="FE311" s="38"/>
      <c r="FF311" s="38"/>
      <c r="FG311" s="38"/>
      <c r="FH311" s="38"/>
      <c r="FI311" s="38"/>
      <c r="FJ311" s="38"/>
      <c r="FK311" s="38"/>
      <c r="FL311" s="38"/>
      <c r="FM311" s="38"/>
      <c r="FN311" s="38"/>
      <c r="FO311" s="38"/>
      <c r="FP311" s="38"/>
      <c r="FQ311" s="38"/>
      <c r="FR311" s="38"/>
      <c r="FS311" s="38"/>
      <c r="FT311" s="38"/>
      <c r="FU311" s="38"/>
      <c r="FV311" s="38"/>
      <c r="FW311" s="38"/>
      <c r="FX311" s="38"/>
      <c r="FY311" s="38"/>
      <c r="FZ311" s="38"/>
      <c r="GA311" s="38"/>
      <c r="GB311" s="38"/>
      <c r="GC311" s="38"/>
      <c r="GD311" s="38"/>
      <c r="GE311" s="38"/>
      <c r="GF311" s="38"/>
      <c r="GG311" s="38"/>
      <c r="GH311" s="38"/>
      <c r="GI311" s="38"/>
      <c r="GJ311" s="38"/>
      <c r="GK311" s="38"/>
      <c r="GL311" s="38"/>
      <c r="GM311" s="38"/>
      <c r="GN311" s="38"/>
      <c r="GO311" s="38"/>
      <c r="GP311" s="38"/>
      <c r="GQ311" s="38"/>
      <c r="GR311" s="38"/>
      <c r="GS311" s="38"/>
      <c r="GT311" s="38"/>
      <c r="GU311" s="38"/>
      <c r="GV311" s="38"/>
      <c r="GW311" s="38"/>
      <c r="GX311" s="38"/>
      <c r="GY311" s="38"/>
      <c r="GZ311" s="38"/>
      <c r="HA311" s="38"/>
      <c r="HB311" s="38"/>
      <c r="HC311" s="38"/>
      <c r="HD311" s="38"/>
      <c r="HE311" s="38"/>
      <c r="HF311" s="38"/>
      <c r="HG311" s="38"/>
      <c r="HH311" s="38"/>
      <c r="HI311" s="38"/>
      <c r="HJ311" s="38"/>
      <c r="HK311" s="38"/>
      <c r="HL311" s="38"/>
      <c r="HM311" s="38"/>
      <c r="HN311" s="38"/>
      <c r="HO311" s="38"/>
      <c r="HP311" s="38"/>
      <c r="HQ311" s="38"/>
      <c r="HR311" s="38"/>
      <c r="HS311" s="38"/>
      <c r="HT311" s="38"/>
      <c r="HU311" s="38"/>
      <c r="HV311" s="38"/>
      <c r="HW311" s="38"/>
      <c r="HX311" s="38"/>
      <c r="HY311" s="38"/>
      <c r="HZ311" s="38"/>
      <c r="IA311" s="38"/>
    </row>
    <row r="312" spans="1:16" ht="11.25">
      <c r="A312" s="5" t="s">
        <v>4</v>
      </c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2.5">
      <c r="A313" s="8" t="s">
        <v>194</v>
      </c>
      <c r="B313" s="6"/>
      <c r="C313" s="6"/>
      <c r="D313" s="7"/>
      <c r="E313" s="7">
        <f>E315*E317</f>
        <v>14999999.999999998</v>
      </c>
      <c r="F313" s="7">
        <f>E313</f>
        <v>14999999.999999998</v>
      </c>
      <c r="G313" s="7"/>
      <c r="H313" s="7">
        <f>H315*H317</f>
        <v>14000000</v>
      </c>
      <c r="I313" s="7"/>
      <c r="J313" s="7">
        <f>H313</f>
        <v>14000000</v>
      </c>
      <c r="K313" s="7"/>
      <c r="L313" s="7"/>
      <c r="M313" s="7"/>
      <c r="N313" s="7"/>
      <c r="O313" s="7">
        <f>O315*O317</f>
        <v>13000000</v>
      </c>
      <c r="P313" s="7">
        <f>O313</f>
        <v>13000000</v>
      </c>
    </row>
    <row r="314" spans="1:16" ht="11.25">
      <c r="A314" s="5" t="s">
        <v>5</v>
      </c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2.5">
      <c r="A315" s="8" t="s">
        <v>193</v>
      </c>
      <c r="B315" s="6"/>
      <c r="C315" s="6"/>
      <c r="D315" s="7"/>
      <c r="E315" s="7">
        <v>43</v>
      </c>
      <c r="F315" s="7">
        <f>E315</f>
        <v>43</v>
      </c>
      <c r="G315" s="7"/>
      <c r="H315" s="7">
        <v>40</v>
      </c>
      <c r="I315" s="7"/>
      <c r="J315" s="7">
        <f>H315</f>
        <v>40</v>
      </c>
      <c r="K315" s="7"/>
      <c r="L315" s="7"/>
      <c r="M315" s="7"/>
      <c r="N315" s="7"/>
      <c r="O315" s="7">
        <v>36</v>
      </c>
      <c r="P315" s="7">
        <f>O315</f>
        <v>36</v>
      </c>
    </row>
    <row r="316" spans="1:16" ht="11.25">
      <c r="A316" s="5" t="s">
        <v>7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126</v>
      </c>
      <c r="B317" s="6"/>
      <c r="C317" s="6"/>
      <c r="D317" s="7"/>
      <c r="E317" s="7">
        <f>15000000/43</f>
        <v>348837.20930232556</v>
      </c>
      <c r="F317" s="7">
        <f>E317</f>
        <v>348837.20930232556</v>
      </c>
      <c r="G317" s="7"/>
      <c r="H317" s="7">
        <f>14000000/40</f>
        <v>350000</v>
      </c>
      <c r="I317" s="7"/>
      <c r="J317" s="7">
        <f>H317</f>
        <v>350000</v>
      </c>
      <c r="K317" s="7"/>
      <c r="L317" s="7"/>
      <c r="M317" s="7"/>
      <c r="N317" s="7"/>
      <c r="O317" s="7">
        <f>13000000/36</f>
        <v>361111.1111111111</v>
      </c>
      <c r="P317" s="7">
        <f>O317</f>
        <v>361111.1111111111</v>
      </c>
    </row>
    <row r="318" spans="1:16" ht="40.5" customHeight="1">
      <c r="A318" s="34" t="s">
        <v>395</v>
      </c>
      <c r="B318" s="37"/>
      <c r="C318" s="37"/>
      <c r="D318" s="30">
        <f>D320</f>
        <v>0</v>
      </c>
      <c r="E318" s="30">
        <f>E320</f>
        <v>5000000</v>
      </c>
      <c r="F318" s="30">
        <f>D318+E318</f>
        <v>5000000</v>
      </c>
      <c r="G318" s="30"/>
      <c r="H318" s="30">
        <f>H320</f>
        <v>6000000</v>
      </c>
      <c r="I318" s="30">
        <f aca="true" t="shared" si="44" ref="I318:P318">I320</f>
        <v>0</v>
      </c>
      <c r="J318" s="30">
        <f t="shared" si="44"/>
        <v>6000000</v>
      </c>
      <c r="K318" s="30">
        <f t="shared" si="44"/>
        <v>0</v>
      </c>
      <c r="L318" s="30">
        <f t="shared" si="44"/>
        <v>0</v>
      </c>
      <c r="M318" s="30">
        <f t="shared" si="44"/>
        <v>0</v>
      </c>
      <c r="N318" s="30">
        <f t="shared" si="44"/>
        <v>0</v>
      </c>
      <c r="O318" s="30">
        <f t="shared" si="44"/>
        <v>7000000</v>
      </c>
      <c r="P318" s="30">
        <f t="shared" si="44"/>
        <v>7000000</v>
      </c>
    </row>
    <row r="319" spans="1:16" ht="17.25" customHeight="1">
      <c r="A319" s="5" t="s">
        <v>4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5.5" customHeight="1">
      <c r="A320" s="8" t="s">
        <v>195</v>
      </c>
      <c r="B320" s="37"/>
      <c r="C320" s="37"/>
      <c r="D320" s="30"/>
      <c r="E320" s="7">
        <f>E322*E324</f>
        <v>5000000</v>
      </c>
      <c r="F320" s="7">
        <f>D320+E320</f>
        <v>5000000</v>
      </c>
      <c r="G320" s="7"/>
      <c r="H320" s="7">
        <f>H322*H324</f>
        <v>6000000</v>
      </c>
      <c r="I320" s="7"/>
      <c r="J320" s="7">
        <f>H320</f>
        <v>6000000</v>
      </c>
      <c r="K320" s="7"/>
      <c r="L320" s="7"/>
      <c r="M320" s="7"/>
      <c r="N320" s="7"/>
      <c r="O320" s="7">
        <f>O322*O324</f>
        <v>7000000</v>
      </c>
      <c r="P320" s="7">
        <f>O320</f>
        <v>7000000</v>
      </c>
    </row>
    <row r="321" spans="1:16" ht="15.75" customHeight="1">
      <c r="A321" s="5" t="s">
        <v>5</v>
      </c>
      <c r="B321" s="37"/>
      <c r="C321" s="37"/>
      <c r="D321" s="3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5.5" customHeight="1">
      <c r="A322" s="8" t="s">
        <v>125</v>
      </c>
      <c r="B322" s="37"/>
      <c r="C322" s="37"/>
      <c r="D322" s="30"/>
      <c r="E322" s="7">
        <v>16</v>
      </c>
      <c r="F322" s="7">
        <f>D322+E322</f>
        <v>16</v>
      </c>
      <c r="G322" s="7"/>
      <c r="H322" s="7">
        <v>16</v>
      </c>
      <c r="I322" s="7"/>
      <c r="J322" s="7">
        <f>H322</f>
        <v>16</v>
      </c>
      <c r="K322" s="7"/>
      <c r="L322" s="7"/>
      <c r="M322" s="7"/>
      <c r="N322" s="7"/>
      <c r="O322" s="7">
        <v>16</v>
      </c>
      <c r="P322" s="7">
        <v>16</v>
      </c>
    </row>
    <row r="323" spans="1:16" ht="15.75" customHeight="1">
      <c r="A323" s="5" t="s">
        <v>7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37.5" customHeight="1">
      <c r="A324" s="8" t="s">
        <v>196</v>
      </c>
      <c r="B324" s="37"/>
      <c r="C324" s="37"/>
      <c r="D324" s="30"/>
      <c r="E324" s="7">
        <v>312500</v>
      </c>
      <c r="F324" s="7">
        <f>D324+E324</f>
        <v>312500</v>
      </c>
      <c r="G324" s="7"/>
      <c r="H324" s="7">
        <v>375000</v>
      </c>
      <c r="I324" s="7"/>
      <c r="J324" s="7">
        <f>H324</f>
        <v>375000</v>
      </c>
      <c r="K324" s="7"/>
      <c r="L324" s="7"/>
      <c r="M324" s="7"/>
      <c r="N324" s="7"/>
      <c r="O324" s="7">
        <v>437500</v>
      </c>
      <c r="P324" s="7">
        <f>O324</f>
        <v>437500</v>
      </c>
    </row>
    <row r="325" spans="1:235" s="52" customFormat="1" ht="37.5" customHeight="1">
      <c r="A325" s="5" t="s">
        <v>396</v>
      </c>
      <c r="B325" s="37"/>
      <c r="C325" s="37"/>
      <c r="D325" s="30"/>
      <c r="E325" s="30">
        <f aca="true" t="shared" si="45" ref="E325:P325">SUM(E327)</f>
        <v>800003</v>
      </c>
      <c r="F325" s="30">
        <f t="shared" si="45"/>
        <v>800003</v>
      </c>
      <c r="G325" s="30">
        <f t="shared" si="45"/>
        <v>0</v>
      </c>
      <c r="H325" s="30">
        <f t="shared" si="45"/>
        <v>742600</v>
      </c>
      <c r="I325" s="30">
        <f t="shared" si="45"/>
        <v>742600</v>
      </c>
      <c r="J325" s="30">
        <f t="shared" si="45"/>
        <v>742600</v>
      </c>
      <c r="K325" s="30">
        <f t="shared" si="45"/>
        <v>0</v>
      </c>
      <c r="L325" s="30">
        <f t="shared" si="45"/>
        <v>0</v>
      </c>
      <c r="M325" s="30">
        <f t="shared" si="45"/>
        <v>0</v>
      </c>
      <c r="N325" s="30">
        <f t="shared" si="45"/>
        <v>0</v>
      </c>
      <c r="O325" s="30">
        <f t="shared" si="45"/>
        <v>0</v>
      </c>
      <c r="P325" s="30">
        <f t="shared" si="45"/>
        <v>0</v>
      </c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  <c r="HM325" s="51"/>
      <c r="HN325" s="51"/>
      <c r="HO325" s="51"/>
      <c r="HP325" s="51"/>
      <c r="HQ325" s="51"/>
      <c r="HR325" s="51"/>
      <c r="HS325" s="51"/>
      <c r="HT325" s="51"/>
      <c r="HU325" s="51"/>
      <c r="HV325" s="51"/>
      <c r="HW325" s="51"/>
      <c r="HX325" s="51"/>
      <c r="HY325" s="51"/>
      <c r="HZ325" s="51"/>
      <c r="IA325" s="51"/>
    </row>
    <row r="326" spans="1:16" ht="10.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2.25" customHeight="1">
      <c r="A327" s="8" t="s">
        <v>343</v>
      </c>
      <c r="B327" s="37"/>
      <c r="C327" s="37"/>
      <c r="D327" s="30"/>
      <c r="E327" s="7">
        <v>800003</v>
      </c>
      <c r="F327" s="7">
        <v>800003</v>
      </c>
      <c r="G327" s="7"/>
      <c r="H327" s="7">
        <v>742600</v>
      </c>
      <c r="I327" s="7">
        <v>742600</v>
      </c>
      <c r="J327" s="7">
        <v>742600</v>
      </c>
      <c r="K327" s="7"/>
      <c r="L327" s="7"/>
      <c r="M327" s="7"/>
      <c r="N327" s="7"/>
      <c r="O327" s="7"/>
      <c r="P327" s="7"/>
    </row>
    <row r="328" spans="1:16" ht="16.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6.25" customHeight="1">
      <c r="A329" s="8" t="s">
        <v>125</v>
      </c>
      <c r="B329" s="37"/>
      <c r="C329" s="37"/>
      <c r="D329" s="30"/>
      <c r="E329" s="7">
        <v>10</v>
      </c>
      <c r="F329" s="7">
        <v>10</v>
      </c>
      <c r="G329" s="7"/>
      <c r="H329" s="7">
        <v>10</v>
      </c>
      <c r="I329" s="7">
        <v>10</v>
      </c>
      <c r="J329" s="7">
        <v>10</v>
      </c>
      <c r="K329" s="7"/>
      <c r="L329" s="7"/>
      <c r="M329" s="7"/>
      <c r="N329" s="7"/>
      <c r="O329" s="7"/>
      <c r="P329" s="7"/>
    </row>
    <row r="330" spans="1:235" s="52" customFormat="1" ht="18" customHeight="1">
      <c r="A330" s="5" t="s">
        <v>7</v>
      </c>
      <c r="B330" s="37"/>
      <c r="C330" s="37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37.5" customHeight="1">
      <c r="A331" s="8" t="s">
        <v>344</v>
      </c>
      <c r="B331" s="37"/>
      <c r="C331" s="37"/>
      <c r="D331" s="30"/>
      <c r="E331" s="7">
        <f>SUM(E327)/E329</f>
        <v>80000.3</v>
      </c>
      <c r="F331" s="7">
        <f>SUM(F327)/F329</f>
        <v>80000.3</v>
      </c>
      <c r="G331" s="7"/>
      <c r="H331" s="7">
        <f>H327/H329</f>
        <v>74260</v>
      </c>
      <c r="I331" s="7">
        <f>I327/I329</f>
        <v>74260</v>
      </c>
      <c r="J331" s="7">
        <f>J327/J329</f>
        <v>74260</v>
      </c>
      <c r="K331" s="7"/>
      <c r="L331" s="7"/>
      <c r="M331" s="7"/>
      <c r="N331" s="7"/>
      <c r="O331" s="7"/>
      <c r="P331" s="7"/>
    </row>
    <row r="332" spans="1:16" ht="16.5" customHeight="1">
      <c r="A332" s="37" t="s">
        <v>369</v>
      </c>
      <c r="B332" s="37"/>
      <c r="C332" s="37"/>
      <c r="D332" s="30">
        <f>D333+D334</f>
        <v>3794380.0029998</v>
      </c>
      <c r="E332" s="30">
        <f>E333+E334</f>
        <v>692840</v>
      </c>
      <c r="F332" s="30">
        <f>D332+E332</f>
        <v>4487220.002999799</v>
      </c>
      <c r="G332" s="30">
        <f>G333+G334</f>
        <v>3713255</v>
      </c>
      <c r="H332" s="30">
        <f>H333+H334</f>
        <v>742600</v>
      </c>
      <c r="I332" s="30">
        <f>I333+I334</f>
        <v>0</v>
      </c>
      <c r="J332" s="30">
        <f>G332+H332</f>
        <v>4455855</v>
      </c>
      <c r="K332" s="30" t="e">
        <f>K333+K334</f>
        <v>#REF!</v>
      </c>
      <c r="L332" s="30">
        <f>L333+L334</f>
        <v>0</v>
      </c>
      <c r="M332" s="30">
        <f>M333+M334</f>
        <v>0</v>
      </c>
      <c r="N332" s="30">
        <f>N333+N334</f>
        <v>3742519.99999968</v>
      </c>
      <c r="O332" s="30">
        <f>O333+O334</f>
        <v>787532</v>
      </c>
      <c r="P332" s="30">
        <f>N332+O332</f>
        <v>4530051.99999968</v>
      </c>
    </row>
    <row r="333" spans="1:16" ht="13.5" customHeight="1">
      <c r="A333" s="37" t="s">
        <v>54</v>
      </c>
      <c r="B333" s="37"/>
      <c r="C333" s="37"/>
      <c r="D333" s="30">
        <f>D336+D343+D412+D417</f>
        <v>3331999.9999997998</v>
      </c>
      <c r="E333" s="30">
        <f>E336+E343+E412+E417</f>
        <v>0</v>
      </c>
      <c r="F333" s="30">
        <f>D333+E333</f>
        <v>3331999.9999997998</v>
      </c>
      <c r="G333" s="30">
        <f>G336+G343+G412+G417</f>
        <v>3278000</v>
      </c>
      <c r="H333" s="30">
        <f>H336+H343+H412+H417</f>
        <v>0</v>
      </c>
      <c r="I333" s="30">
        <f>I336+I343+I412+I417</f>
        <v>0</v>
      </c>
      <c r="J333" s="30">
        <f>G333+H333</f>
        <v>3278000</v>
      </c>
      <c r="K333" s="30" t="e">
        <f>K336+K343+K412+K417</f>
        <v>#REF!</v>
      </c>
      <c r="L333" s="30">
        <f>L336+L343+L412+L417</f>
        <v>0</v>
      </c>
      <c r="M333" s="30">
        <f>M336+M343+M412+M417</f>
        <v>0</v>
      </c>
      <c r="N333" s="30">
        <f>N336+N343+N412+N417</f>
        <v>3389999.99999968</v>
      </c>
      <c r="O333" s="30">
        <f>O336+O343+O412+O417</f>
        <v>0</v>
      </c>
      <c r="P333" s="30">
        <f>N333+O333</f>
        <v>3389999.99999968</v>
      </c>
    </row>
    <row r="334" spans="1:235" s="139" customFormat="1" ht="11.25">
      <c r="A334" s="154" t="s">
        <v>190</v>
      </c>
      <c r="B334" s="154"/>
      <c r="C334" s="154"/>
      <c r="D334" s="155">
        <f>D353+D432</f>
        <v>462380.003</v>
      </c>
      <c r="E334" s="155">
        <f>E387</f>
        <v>692840</v>
      </c>
      <c r="F334" s="155">
        <f>D334+E334</f>
        <v>1155220.003</v>
      </c>
      <c r="G334" s="155">
        <f>G353+G432</f>
        <v>435255</v>
      </c>
      <c r="H334" s="155">
        <f>H387</f>
        <v>742600</v>
      </c>
      <c r="I334" s="155">
        <f>I355+I365</f>
        <v>0</v>
      </c>
      <c r="J334" s="155">
        <f>G334+H334</f>
        <v>1177855</v>
      </c>
      <c r="K334" s="155">
        <f>K355+K365</f>
        <v>0</v>
      </c>
      <c r="L334" s="155">
        <f>L355+L365</f>
        <v>0</v>
      </c>
      <c r="M334" s="155">
        <f>M355+M365</f>
        <v>0</v>
      </c>
      <c r="N334" s="155">
        <f>N353</f>
        <v>352520</v>
      </c>
      <c r="O334" s="155">
        <f>O387</f>
        <v>787532</v>
      </c>
      <c r="P334" s="155">
        <f>N334+O334</f>
        <v>1140052</v>
      </c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  <c r="CG334" s="138"/>
      <c r="CH334" s="138"/>
      <c r="CI334" s="138"/>
      <c r="CJ334" s="138"/>
      <c r="CK334" s="138"/>
      <c r="CL334" s="138"/>
      <c r="CM334" s="138"/>
      <c r="CN334" s="138"/>
      <c r="CO334" s="138"/>
      <c r="CP334" s="138"/>
      <c r="CQ334" s="138"/>
      <c r="CR334" s="138"/>
      <c r="CS334" s="138"/>
      <c r="CT334" s="138"/>
      <c r="CU334" s="138"/>
      <c r="CV334" s="138"/>
      <c r="CW334" s="138"/>
      <c r="CX334" s="138"/>
      <c r="CY334" s="138"/>
      <c r="CZ334" s="138"/>
      <c r="DA334" s="138"/>
      <c r="DB334" s="138"/>
      <c r="DC334" s="138"/>
      <c r="DD334" s="138"/>
      <c r="DE334" s="138"/>
      <c r="DF334" s="138"/>
      <c r="DG334" s="138"/>
      <c r="DH334" s="138"/>
      <c r="DI334" s="138"/>
      <c r="DJ334" s="138"/>
      <c r="DK334" s="138"/>
      <c r="DL334" s="138"/>
      <c r="DM334" s="138"/>
      <c r="DN334" s="138"/>
      <c r="DO334" s="138"/>
      <c r="DP334" s="138"/>
      <c r="DQ334" s="138"/>
      <c r="DR334" s="138"/>
      <c r="DS334" s="138"/>
      <c r="DT334" s="138"/>
      <c r="DU334" s="138"/>
      <c r="DV334" s="138"/>
      <c r="DW334" s="138"/>
      <c r="DX334" s="138"/>
      <c r="DY334" s="138"/>
      <c r="DZ334" s="138"/>
      <c r="EA334" s="138"/>
      <c r="EB334" s="138"/>
      <c r="EC334" s="138"/>
      <c r="ED334" s="138"/>
      <c r="EE334" s="138"/>
      <c r="EF334" s="138"/>
      <c r="EG334" s="138"/>
      <c r="EH334" s="138"/>
      <c r="EI334" s="138"/>
      <c r="EJ334" s="138"/>
      <c r="EK334" s="138"/>
      <c r="EL334" s="138"/>
      <c r="EM334" s="138"/>
      <c r="EN334" s="138"/>
      <c r="EO334" s="138"/>
      <c r="EP334" s="138"/>
      <c r="EQ334" s="138"/>
      <c r="ER334" s="138"/>
      <c r="ES334" s="138"/>
      <c r="ET334" s="138"/>
      <c r="EU334" s="138"/>
      <c r="EV334" s="138"/>
      <c r="EW334" s="138"/>
      <c r="EX334" s="138"/>
      <c r="EY334" s="138"/>
      <c r="EZ334" s="138"/>
      <c r="FA334" s="138"/>
      <c r="FB334" s="138"/>
      <c r="FC334" s="138"/>
      <c r="FD334" s="138"/>
      <c r="FE334" s="138"/>
      <c r="FF334" s="138"/>
      <c r="FG334" s="138"/>
      <c r="FH334" s="138"/>
      <c r="FI334" s="138"/>
      <c r="FJ334" s="138"/>
      <c r="FK334" s="138"/>
      <c r="FL334" s="138"/>
      <c r="FM334" s="138"/>
      <c r="FN334" s="138"/>
      <c r="FO334" s="138"/>
      <c r="FP334" s="138"/>
      <c r="FQ334" s="138"/>
      <c r="FR334" s="138"/>
      <c r="FS334" s="138"/>
      <c r="FT334" s="138"/>
      <c r="FU334" s="138"/>
      <c r="FV334" s="138"/>
      <c r="FW334" s="138"/>
      <c r="FX334" s="138"/>
      <c r="FY334" s="138"/>
      <c r="FZ334" s="138"/>
      <c r="GA334" s="138"/>
      <c r="GB334" s="138"/>
      <c r="GC334" s="138"/>
      <c r="GD334" s="138"/>
      <c r="GE334" s="138"/>
      <c r="GF334" s="138"/>
      <c r="GG334" s="138"/>
      <c r="GH334" s="138"/>
      <c r="GI334" s="138"/>
      <c r="GJ334" s="138"/>
      <c r="GK334" s="138"/>
      <c r="GL334" s="138"/>
      <c r="GM334" s="138"/>
      <c r="GN334" s="138"/>
      <c r="GO334" s="138"/>
      <c r="GP334" s="138"/>
      <c r="GQ334" s="138"/>
      <c r="GR334" s="138"/>
      <c r="GS334" s="138"/>
      <c r="GT334" s="138"/>
      <c r="GU334" s="138"/>
      <c r="GV334" s="138"/>
      <c r="GW334" s="138"/>
      <c r="GX334" s="138"/>
      <c r="GY334" s="138"/>
      <c r="GZ334" s="138"/>
      <c r="HA334" s="138"/>
      <c r="HB334" s="138"/>
      <c r="HC334" s="138"/>
      <c r="HD334" s="138"/>
      <c r="HE334" s="138"/>
      <c r="HF334" s="138"/>
      <c r="HG334" s="138"/>
      <c r="HH334" s="138"/>
      <c r="HI334" s="138"/>
      <c r="HJ334" s="138"/>
      <c r="HK334" s="138"/>
      <c r="HL334" s="138"/>
      <c r="HM334" s="138"/>
      <c r="HN334" s="138"/>
      <c r="HO334" s="138"/>
      <c r="HP334" s="138"/>
      <c r="HQ334" s="138"/>
      <c r="HR334" s="138"/>
      <c r="HS334" s="138"/>
      <c r="HT334" s="138"/>
      <c r="HU334" s="138"/>
      <c r="HV334" s="138"/>
      <c r="HW334" s="138"/>
      <c r="HX334" s="138"/>
      <c r="HY334" s="138"/>
      <c r="HZ334" s="138"/>
      <c r="IA334" s="138"/>
    </row>
    <row r="335" spans="1:16" ht="36" customHeight="1">
      <c r="A335" s="8" t="s">
        <v>129</v>
      </c>
      <c r="B335" s="6"/>
      <c r="C335" s="6"/>
      <c r="D335" s="36"/>
      <c r="E335" s="36"/>
      <c r="F335" s="36"/>
      <c r="G335" s="36"/>
      <c r="H335" s="36"/>
      <c r="I335" s="36"/>
      <c r="J335" s="36"/>
      <c r="K335" s="7"/>
      <c r="L335" s="36"/>
      <c r="M335" s="36"/>
      <c r="N335" s="36"/>
      <c r="O335" s="36"/>
      <c r="P335" s="36"/>
    </row>
    <row r="336" spans="1:235" s="39" customFormat="1" ht="22.5">
      <c r="A336" s="34" t="s">
        <v>397</v>
      </c>
      <c r="B336" s="35"/>
      <c r="C336" s="35"/>
      <c r="D336" s="36">
        <f>D338</f>
        <v>2700000</v>
      </c>
      <c r="E336" s="36"/>
      <c r="F336" s="36">
        <f>F338</f>
        <v>2700000</v>
      </c>
      <c r="G336" s="36">
        <f>G340*G342+800000</f>
        <v>2800000</v>
      </c>
      <c r="H336" s="36"/>
      <c r="I336" s="36"/>
      <c r="J336" s="36">
        <f>J338</f>
        <v>2800000</v>
      </c>
      <c r="K336" s="36"/>
      <c r="L336" s="36"/>
      <c r="M336" s="36"/>
      <c r="N336" s="36">
        <f>N338</f>
        <v>2900000</v>
      </c>
      <c r="O336" s="36"/>
      <c r="P336" s="36">
        <f>N336</f>
        <v>2900000</v>
      </c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/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ET336" s="38"/>
      <c r="EU336" s="38"/>
      <c r="EV336" s="38"/>
      <c r="EW336" s="38"/>
      <c r="EX336" s="38"/>
      <c r="EY336" s="38"/>
      <c r="EZ336" s="38"/>
      <c r="FA336" s="38"/>
      <c r="FB336" s="38"/>
      <c r="FC336" s="38"/>
      <c r="FD336" s="38"/>
      <c r="FE336" s="38"/>
      <c r="FF336" s="38"/>
      <c r="FG336" s="38"/>
      <c r="FH336" s="38"/>
      <c r="FI336" s="38"/>
      <c r="FJ336" s="38"/>
      <c r="FK336" s="38"/>
      <c r="FL336" s="38"/>
      <c r="FM336" s="38"/>
      <c r="FN336" s="38"/>
      <c r="FO336" s="38"/>
      <c r="FP336" s="38"/>
      <c r="FQ336" s="38"/>
      <c r="FR336" s="38"/>
      <c r="FS336" s="38"/>
      <c r="FT336" s="38"/>
      <c r="FU336" s="38"/>
      <c r="FV336" s="38"/>
      <c r="FW336" s="38"/>
      <c r="FX336" s="38"/>
      <c r="FY336" s="38"/>
      <c r="FZ336" s="38"/>
      <c r="GA336" s="38"/>
      <c r="GB336" s="38"/>
      <c r="GC336" s="38"/>
      <c r="GD336" s="38"/>
      <c r="GE336" s="38"/>
      <c r="GF336" s="38"/>
      <c r="GG336" s="38"/>
      <c r="GH336" s="38"/>
      <c r="GI336" s="38"/>
      <c r="GJ336" s="38"/>
      <c r="GK336" s="38"/>
      <c r="GL336" s="38"/>
      <c r="GM336" s="38"/>
      <c r="GN336" s="38"/>
      <c r="GO336" s="38"/>
      <c r="GP336" s="38"/>
      <c r="GQ336" s="38"/>
      <c r="GR336" s="38"/>
      <c r="GS336" s="38"/>
      <c r="GT336" s="38"/>
      <c r="GU336" s="38"/>
      <c r="GV336" s="38"/>
      <c r="GW336" s="38"/>
      <c r="GX336" s="38"/>
      <c r="GY336" s="38"/>
      <c r="GZ336" s="38"/>
      <c r="HA336" s="38"/>
      <c r="HB336" s="38"/>
      <c r="HC336" s="38"/>
      <c r="HD336" s="38"/>
      <c r="HE336" s="38"/>
      <c r="HF336" s="38"/>
      <c r="HG336" s="38"/>
      <c r="HH336" s="38"/>
      <c r="HI336" s="38"/>
      <c r="HJ336" s="38"/>
      <c r="HK336" s="38"/>
      <c r="HL336" s="38"/>
      <c r="HM336" s="38"/>
      <c r="HN336" s="38"/>
      <c r="HO336" s="38"/>
      <c r="HP336" s="38"/>
      <c r="HQ336" s="38"/>
      <c r="HR336" s="38"/>
      <c r="HS336" s="38"/>
      <c r="HT336" s="38"/>
      <c r="HU336" s="38"/>
      <c r="HV336" s="38"/>
      <c r="HW336" s="38"/>
      <c r="HX336" s="38"/>
      <c r="HY336" s="38"/>
      <c r="HZ336" s="38"/>
      <c r="IA336" s="38"/>
    </row>
    <row r="337" spans="1:16" ht="11.25">
      <c r="A337" s="5" t="s">
        <v>38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7"/>
      <c r="L337" s="30"/>
      <c r="M337" s="30"/>
      <c r="N337" s="30"/>
      <c r="O337" s="30"/>
      <c r="P337" s="30"/>
    </row>
    <row r="338" spans="1:16" ht="23.25" customHeight="1">
      <c r="A338" s="8" t="s">
        <v>273</v>
      </c>
      <c r="B338" s="6"/>
      <c r="C338" s="6"/>
      <c r="D338" s="7">
        <f>(D340*D342)+280000+700000</f>
        <v>2700000</v>
      </c>
      <c r="E338" s="7"/>
      <c r="F338" s="7">
        <f>D338</f>
        <v>2700000</v>
      </c>
      <c r="G338" s="7">
        <f>G340*G342+800000</f>
        <v>2800000</v>
      </c>
      <c r="H338" s="7"/>
      <c r="I338" s="7"/>
      <c r="J338" s="7">
        <f>G338</f>
        <v>2800000</v>
      </c>
      <c r="K338" s="7">
        <f>G338/D338*100</f>
        <v>103.7037037037037</v>
      </c>
      <c r="L338" s="7"/>
      <c r="M338" s="7"/>
      <c r="N338" s="7">
        <f>N340*N342+700000</f>
        <v>2900000</v>
      </c>
      <c r="O338" s="7"/>
      <c r="P338" s="7">
        <f>N338</f>
        <v>2900000</v>
      </c>
    </row>
    <row r="339" spans="1:16" ht="11.25">
      <c r="A339" s="5" t="s">
        <v>5</v>
      </c>
      <c r="B339" s="37"/>
      <c r="C339" s="37"/>
      <c r="D339" s="30"/>
      <c r="E339" s="30"/>
      <c r="F339" s="7"/>
      <c r="G339" s="30"/>
      <c r="H339" s="30"/>
      <c r="I339" s="30"/>
      <c r="J339" s="7"/>
      <c r="K339" s="7"/>
      <c r="L339" s="30"/>
      <c r="M339" s="30"/>
      <c r="N339" s="30"/>
      <c r="O339" s="30"/>
      <c r="P339" s="7"/>
    </row>
    <row r="340" spans="1:16" ht="22.5">
      <c r="A340" s="8" t="s">
        <v>272</v>
      </c>
      <c r="B340" s="6"/>
      <c r="C340" s="6"/>
      <c r="D340" s="7">
        <v>8</v>
      </c>
      <c r="E340" s="7"/>
      <c r="F340" s="7">
        <f>D340</f>
        <v>8</v>
      </c>
      <c r="G340" s="7">
        <v>8</v>
      </c>
      <c r="H340" s="7"/>
      <c r="I340" s="7"/>
      <c r="J340" s="7">
        <f>G340</f>
        <v>8</v>
      </c>
      <c r="K340" s="7">
        <f>G340/D340*100</f>
        <v>100</v>
      </c>
      <c r="L340" s="7"/>
      <c r="M340" s="7"/>
      <c r="N340" s="7">
        <v>8</v>
      </c>
      <c r="O340" s="7"/>
      <c r="P340" s="7">
        <f>N340</f>
        <v>8</v>
      </c>
    </row>
    <row r="341" spans="1:16" ht="11.25">
      <c r="A341" s="5" t="s">
        <v>7</v>
      </c>
      <c r="B341" s="37"/>
      <c r="C341" s="37"/>
      <c r="D341" s="30"/>
      <c r="E341" s="30"/>
      <c r="F341" s="7"/>
      <c r="G341" s="30"/>
      <c r="H341" s="30"/>
      <c r="I341" s="30"/>
      <c r="J341" s="7"/>
      <c r="K341" s="7"/>
      <c r="L341" s="30"/>
      <c r="M341" s="30"/>
      <c r="N341" s="30"/>
      <c r="O341" s="30"/>
      <c r="P341" s="7"/>
    </row>
    <row r="342" spans="1:16" ht="22.5">
      <c r="A342" s="8" t="s">
        <v>274</v>
      </c>
      <c r="B342" s="6"/>
      <c r="C342" s="6"/>
      <c r="D342" s="7">
        <v>215000</v>
      </c>
      <c r="E342" s="7"/>
      <c r="F342" s="7">
        <f>D342</f>
        <v>215000</v>
      </c>
      <c r="G342" s="7">
        <v>250000</v>
      </c>
      <c r="H342" s="7"/>
      <c r="I342" s="7"/>
      <c r="J342" s="7">
        <f>G342</f>
        <v>250000</v>
      </c>
      <c r="K342" s="7">
        <f>G342/D342*100</f>
        <v>116.27906976744187</v>
      </c>
      <c r="L342" s="7"/>
      <c r="M342" s="7"/>
      <c r="N342" s="7">
        <v>275000</v>
      </c>
      <c r="O342" s="7"/>
      <c r="P342" s="7">
        <f>N342</f>
        <v>275000</v>
      </c>
    </row>
    <row r="343" spans="1:235" s="39" customFormat="1" ht="36" customHeight="1">
      <c r="A343" s="34" t="s">
        <v>398</v>
      </c>
      <c r="B343" s="35"/>
      <c r="C343" s="35"/>
      <c r="D343" s="45">
        <f>D347*D350</f>
        <v>163000</v>
      </c>
      <c r="E343" s="45"/>
      <c r="F343" s="45">
        <f>D343+E343</f>
        <v>163000</v>
      </c>
      <c r="G343" s="45">
        <f aca="true" t="shared" si="46" ref="G343:M343">G347*G350</f>
        <v>300000</v>
      </c>
      <c r="H343" s="45"/>
      <c r="I343" s="45"/>
      <c r="J343" s="45">
        <f t="shared" si="46"/>
        <v>300000</v>
      </c>
      <c r="K343" s="45" t="e">
        <f t="shared" si="46"/>
        <v>#REF!</v>
      </c>
      <c r="L343" s="45">
        <f t="shared" si="46"/>
        <v>0</v>
      </c>
      <c r="M343" s="45">
        <f t="shared" si="46"/>
        <v>0</v>
      </c>
      <c r="N343" s="45">
        <f>N347*N350</f>
        <v>350000</v>
      </c>
      <c r="O343" s="45"/>
      <c r="P343" s="45" t="e">
        <f>P347*P350+P348*#REF!</f>
        <v>#REF!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44"/>
      <c r="E344" s="44"/>
      <c r="F344" s="44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132</v>
      </c>
      <c r="B345" s="6"/>
      <c r="C345" s="6"/>
      <c r="D345" s="44">
        <v>2752</v>
      </c>
      <c r="E345" s="44"/>
      <c r="F345" s="44">
        <f>D345</f>
        <v>2752</v>
      </c>
      <c r="G345" s="44">
        <v>1752</v>
      </c>
      <c r="H345" s="44"/>
      <c r="I345" s="44"/>
      <c r="J345" s="44">
        <f>G345</f>
        <v>1752</v>
      </c>
      <c r="K345" s="7" t="e">
        <f>#REF!/G345*100</f>
        <v>#REF!</v>
      </c>
      <c r="L345" s="7"/>
      <c r="M345" s="7"/>
      <c r="N345" s="44">
        <v>952</v>
      </c>
      <c r="O345" s="44"/>
      <c r="P345" s="44">
        <f>N345</f>
        <v>952</v>
      </c>
    </row>
    <row r="346" spans="1:16" ht="11.25">
      <c r="A346" s="5" t="s">
        <v>5</v>
      </c>
      <c r="B346" s="37"/>
      <c r="C346" s="37"/>
      <c r="D346" s="44"/>
      <c r="E346" s="44"/>
      <c r="F346" s="44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4" customHeight="1">
      <c r="A347" s="8" t="s">
        <v>130</v>
      </c>
      <c r="B347" s="6"/>
      <c r="C347" s="6"/>
      <c r="D347" s="44">
        <v>1000</v>
      </c>
      <c r="E347" s="44"/>
      <c r="F347" s="44">
        <f>D347</f>
        <v>1000</v>
      </c>
      <c r="G347" s="44">
        <v>800</v>
      </c>
      <c r="H347" s="44"/>
      <c r="I347" s="44"/>
      <c r="J347" s="44">
        <f>G347</f>
        <v>800</v>
      </c>
      <c r="K347" s="7" t="e">
        <f>#REF!/G347*100</f>
        <v>#REF!</v>
      </c>
      <c r="L347" s="7"/>
      <c r="M347" s="7"/>
      <c r="N347" s="44">
        <v>875</v>
      </c>
      <c r="O347" s="44"/>
      <c r="P347" s="44">
        <f>N347</f>
        <v>875</v>
      </c>
    </row>
    <row r="348" spans="1:16" ht="33.75" customHeight="1">
      <c r="A348" s="8" t="s">
        <v>203</v>
      </c>
      <c r="B348" s="6"/>
      <c r="C348" s="6"/>
      <c r="D348" s="44"/>
      <c r="E348" s="44"/>
      <c r="F348" s="44"/>
      <c r="G348" s="44">
        <v>0</v>
      </c>
      <c r="H348" s="44"/>
      <c r="I348" s="44"/>
      <c r="J348" s="44"/>
      <c r="K348" s="7"/>
      <c r="L348" s="7"/>
      <c r="M348" s="7"/>
      <c r="N348" s="44">
        <v>5</v>
      </c>
      <c r="O348" s="44"/>
      <c r="P348" s="44">
        <f>N348</f>
        <v>5</v>
      </c>
    </row>
    <row r="349" spans="1:16" ht="11.25">
      <c r="A349" s="5" t="s">
        <v>7</v>
      </c>
      <c r="B349" s="37"/>
      <c r="C349" s="37"/>
      <c r="D349" s="44"/>
      <c r="E349" s="44"/>
      <c r="F349" s="44"/>
      <c r="G349" s="44"/>
      <c r="H349" s="44"/>
      <c r="I349" s="44"/>
      <c r="J349" s="44"/>
      <c r="K349" s="7"/>
      <c r="L349" s="30"/>
      <c r="M349" s="30"/>
      <c r="N349" s="44"/>
      <c r="O349" s="44"/>
      <c r="P349" s="44"/>
    </row>
    <row r="350" spans="1:16" ht="24" customHeight="1">
      <c r="A350" s="8" t="s">
        <v>40</v>
      </c>
      <c r="B350" s="6"/>
      <c r="C350" s="6"/>
      <c r="D350" s="44">
        <v>163</v>
      </c>
      <c r="E350" s="44"/>
      <c r="F350" s="44">
        <f>D350</f>
        <v>163</v>
      </c>
      <c r="G350" s="44">
        <v>375</v>
      </c>
      <c r="H350" s="44"/>
      <c r="I350" s="44"/>
      <c r="J350" s="44">
        <f>G350</f>
        <v>375</v>
      </c>
      <c r="K350" s="7" t="e">
        <f>#REF!/G350*100</f>
        <v>#REF!</v>
      </c>
      <c r="L350" s="7"/>
      <c r="M350" s="7"/>
      <c r="N350" s="44">
        <v>400</v>
      </c>
      <c r="O350" s="44"/>
      <c r="P350" s="44">
        <f>N350</f>
        <v>400</v>
      </c>
    </row>
    <row r="351" spans="1:16" ht="11.25">
      <c r="A351" s="54" t="s">
        <v>6</v>
      </c>
      <c r="B351" s="55"/>
      <c r="C351" s="55"/>
      <c r="D351" s="48"/>
      <c r="E351" s="48"/>
      <c r="F351" s="48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235" s="22" customFormat="1" ht="39" customHeight="1">
      <c r="A352" s="8" t="s">
        <v>131</v>
      </c>
      <c r="B352" s="6"/>
      <c r="C352" s="6"/>
      <c r="D352" s="44">
        <f>D347/D345*100</f>
        <v>36.337209302325576</v>
      </c>
      <c r="E352" s="44"/>
      <c r="F352" s="44">
        <f>D352</f>
        <v>36.337209302325576</v>
      </c>
      <c r="G352" s="44">
        <f>G347/G345*100</f>
        <v>45.662100456621005</v>
      </c>
      <c r="H352" s="44"/>
      <c r="I352" s="44"/>
      <c r="J352" s="44">
        <f>G352</f>
        <v>45.662100456621005</v>
      </c>
      <c r="K352" s="7"/>
      <c r="L352" s="7"/>
      <c r="M352" s="7"/>
      <c r="N352" s="44">
        <f>N347/N345*100</f>
        <v>91.91176470588235</v>
      </c>
      <c r="O352" s="44"/>
      <c r="P352" s="44">
        <f>N352</f>
        <v>91.91176470588235</v>
      </c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</row>
    <row r="353" spans="1:235" s="22" customFormat="1" ht="24" customHeight="1">
      <c r="A353" s="37" t="s">
        <v>308</v>
      </c>
      <c r="B353" s="20"/>
      <c r="C353" s="20"/>
      <c r="D353" s="57">
        <f>D355+D365</f>
        <v>312380.003</v>
      </c>
      <c r="E353" s="57"/>
      <c r="F353" s="57">
        <f>F355+F365</f>
        <v>312380.003</v>
      </c>
      <c r="G353" s="57">
        <f>G355+G365</f>
        <v>335255</v>
      </c>
      <c r="H353" s="57"/>
      <c r="I353" s="57"/>
      <c r="J353" s="57">
        <f>J355+J365</f>
        <v>335255</v>
      </c>
      <c r="K353" s="57"/>
      <c r="L353" s="57"/>
      <c r="M353" s="57"/>
      <c r="N353" s="57">
        <f>N355+N365</f>
        <v>352520</v>
      </c>
      <c r="O353" s="57"/>
      <c r="P353" s="57">
        <f>P355+P365</f>
        <v>352520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  <c r="HF353" s="56"/>
      <c r="HG353" s="56"/>
      <c r="HH353" s="56"/>
      <c r="HI353" s="56"/>
      <c r="HJ353" s="56"/>
      <c r="HK353" s="56"/>
      <c r="HL353" s="56"/>
      <c r="HM353" s="56"/>
      <c r="HN353" s="56"/>
      <c r="HO353" s="56"/>
      <c r="HP353" s="56"/>
      <c r="HQ353" s="56"/>
      <c r="HR353" s="56"/>
      <c r="HS353" s="56"/>
      <c r="HT353" s="56"/>
      <c r="HU353" s="56"/>
      <c r="HV353" s="56"/>
      <c r="HW353" s="56"/>
      <c r="HX353" s="56"/>
      <c r="HY353" s="56"/>
      <c r="HZ353" s="56"/>
      <c r="IA353" s="56"/>
    </row>
    <row r="354" spans="1:235" s="22" customFormat="1" ht="24" customHeight="1">
      <c r="A354" s="8" t="s">
        <v>285</v>
      </c>
      <c r="B354" s="20"/>
      <c r="C354" s="20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  <c r="HF354" s="56"/>
      <c r="HG354" s="56"/>
      <c r="HH354" s="56"/>
      <c r="HI354" s="56"/>
      <c r="HJ354" s="56"/>
      <c r="HK354" s="56"/>
      <c r="HL354" s="56"/>
      <c r="HM354" s="56"/>
      <c r="HN354" s="56"/>
      <c r="HO354" s="56"/>
      <c r="HP354" s="56"/>
      <c r="HQ354" s="56"/>
      <c r="HR354" s="56"/>
      <c r="HS354" s="56"/>
      <c r="HT354" s="56"/>
      <c r="HU354" s="56"/>
      <c r="HV354" s="56"/>
      <c r="HW354" s="56"/>
      <c r="HX354" s="56"/>
      <c r="HY354" s="56"/>
      <c r="HZ354" s="56"/>
      <c r="IA354" s="56"/>
    </row>
    <row r="355" spans="1:235" s="60" customFormat="1" ht="44.25" customHeight="1">
      <c r="A355" s="58" t="s">
        <v>422</v>
      </c>
      <c r="B355" s="58"/>
      <c r="C355" s="58"/>
      <c r="D355" s="45">
        <f>D357+D358</f>
        <v>209000.003</v>
      </c>
      <c r="E355" s="45"/>
      <c r="F355" s="45">
        <f>F357+F358</f>
        <v>209000.003</v>
      </c>
      <c r="G355" s="45">
        <f>G357+G358</f>
        <v>224075</v>
      </c>
      <c r="H355" s="45"/>
      <c r="I355" s="45"/>
      <c r="J355" s="45">
        <f>J357+J358</f>
        <v>224075</v>
      </c>
      <c r="K355" s="45"/>
      <c r="L355" s="45"/>
      <c r="M355" s="45"/>
      <c r="N355" s="45">
        <f>N357+N358</f>
        <v>237530</v>
      </c>
      <c r="O355" s="45"/>
      <c r="P355" s="45">
        <f>P357+P358</f>
        <v>237530</v>
      </c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  <c r="FE355" s="59"/>
      <c r="FF355" s="59"/>
      <c r="FG355" s="59"/>
      <c r="FH355" s="59"/>
      <c r="FI355" s="59"/>
      <c r="FJ355" s="59"/>
      <c r="FK355" s="59"/>
      <c r="FL355" s="59"/>
      <c r="FM355" s="59"/>
      <c r="FN355" s="59"/>
      <c r="FO355" s="59"/>
      <c r="FP355" s="59"/>
      <c r="FQ355" s="59"/>
      <c r="FR355" s="59"/>
      <c r="FS355" s="59"/>
      <c r="FT355" s="59"/>
      <c r="FU355" s="59"/>
      <c r="FV355" s="59"/>
      <c r="FW355" s="59"/>
      <c r="FX355" s="59"/>
      <c r="FY355" s="59"/>
      <c r="FZ355" s="59"/>
      <c r="GA355" s="59"/>
      <c r="GB355" s="59"/>
      <c r="GC355" s="59"/>
      <c r="GD355" s="59"/>
      <c r="GE355" s="59"/>
      <c r="GF355" s="59"/>
      <c r="GG355" s="59"/>
      <c r="GH355" s="59"/>
      <c r="GI355" s="59"/>
      <c r="GJ355" s="59"/>
      <c r="GK355" s="59"/>
      <c r="GL355" s="59"/>
      <c r="GM355" s="59"/>
      <c r="GN355" s="59"/>
      <c r="GO355" s="59"/>
      <c r="GP355" s="59"/>
      <c r="GQ355" s="59"/>
      <c r="GR355" s="59"/>
      <c r="GS355" s="59"/>
      <c r="GT355" s="59"/>
      <c r="GU355" s="59"/>
      <c r="GV355" s="59"/>
      <c r="GW355" s="59"/>
      <c r="GX355" s="59"/>
      <c r="GY355" s="59"/>
      <c r="GZ355" s="59"/>
      <c r="HA355" s="59"/>
      <c r="HB355" s="59"/>
      <c r="HC355" s="59"/>
      <c r="HD355" s="59"/>
      <c r="HE355" s="59"/>
      <c r="HF355" s="59"/>
      <c r="HG355" s="59"/>
      <c r="HH355" s="59"/>
      <c r="HI355" s="59"/>
      <c r="HJ355" s="59"/>
      <c r="HK355" s="59"/>
      <c r="HL355" s="59"/>
      <c r="HM355" s="59"/>
      <c r="HN355" s="59"/>
      <c r="HO355" s="59"/>
      <c r="HP355" s="59"/>
      <c r="HQ355" s="59"/>
      <c r="HR355" s="59"/>
      <c r="HS355" s="59"/>
      <c r="HT355" s="59"/>
      <c r="HU355" s="59"/>
      <c r="HV355" s="59"/>
      <c r="HW355" s="59"/>
      <c r="HX355" s="59"/>
      <c r="HY355" s="59"/>
      <c r="HZ355" s="59"/>
      <c r="IA355" s="59"/>
    </row>
    <row r="356" spans="1:16" ht="11.25">
      <c r="A356" s="61" t="s">
        <v>4</v>
      </c>
      <c r="B356" s="61"/>
      <c r="C356" s="61"/>
      <c r="D356" s="62"/>
      <c r="E356" s="62"/>
      <c r="F356" s="62"/>
      <c r="G356" s="62"/>
      <c r="H356" s="62"/>
      <c r="I356" s="62"/>
      <c r="J356" s="62"/>
      <c r="K356" s="63"/>
      <c r="L356" s="62"/>
      <c r="M356" s="62"/>
      <c r="N356" s="62"/>
      <c r="O356" s="62"/>
      <c r="P356" s="62"/>
    </row>
    <row r="357" spans="1:16" ht="33.75">
      <c r="A357" s="11" t="s">
        <v>423</v>
      </c>
      <c r="B357" s="11"/>
      <c r="C357" s="11"/>
      <c r="D357" s="43">
        <f>D360*D363</f>
        <v>132000.003</v>
      </c>
      <c r="E357" s="43"/>
      <c r="F357" s="43">
        <f>F360*F363</f>
        <v>132000.003</v>
      </c>
      <c r="G357" s="43">
        <f>G360*G363</f>
        <v>141525</v>
      </c>
      <c r="H357" s="43"/>
      <c r="I357" s="43"/>
      <c r="J357" s="43">
        <f>J360*J363</f>
        <v>141525</v>
      </c>
      <c r="K357" s="43">
        <f>G357/D357*100</f>
        <v>107.21590665418394</v>
      </c>
      <c r="L357" s="43"/>
      <c r="M357" s="43"/>
      <c r="N357" s="43">
        <f>N360*N363</f>
        <v>150030</v>
      </c>
      <c r="O357" s="43"/>
      <c r="P357" s="43">
        <f>P360*P363</f>
        <v>150030</v>
      </c>
    </row>
    <row r="358" spans="1:16" ht="36.75" customHeight="1">
      <c r="A358" s="11" t="s">
        <v>424</v>
      </c>
      <c r="B358" s="11"/>
      <c r="C358" s="11"/>
      <c r="D358" s="43">
        <f>D361*D364</f>
        <v>77000</v>
      </c>
      <c r="E358" s="43"/>
      <c r="F358" s="43">
        <f>F361*F364</f>
        <v>77000</v>
      </c>
      <c r="G358" s="43">
        <f>G361*G364</f>
        <v>82550</v>
      </c>
      <c r="H358" s="43"/>
      <c r="I358" s="43"/>
      <c r="J358" s="43">
        <f>J361*J364</f>
        <v>82550</v>
      </c>
      <c r="K358" s="43"/>
      <c r="L358" s="43"/>
      <c r="M358" s="43"/>
      <c r="N358" s="43">
        <f>N361*N364</f>
        <v>87500</v>
      </c>
      <c r="O358" s="43"/>
      <c r="P358" s="43">
        <f>P361*P364</f>
        <v>87500</v>
      </c>
    </row>
    <row r="359" spans="1:16" ht="11.25">
      <c r="A359" s="13" t="s">
        <v>5</v>
      </c>
      <c r="B359" s="13"/>
      <c r="C359" s="13"/>
      <c r="D359" s="10"/>
      <c r="E359" s="10"/>
      <c r="F359" s="43"/>
      <c r="G359" s="10"/>
      <c r="H359" s="10"/>
      <c r="I359" s="10"/>
      <c r="J359" s="43"/>
      <c r="K359" s="43"/>
      <c r="L359" s="10"/>
      <c r="M359" s="10"/>
      <c r="N359" s="10"/>
      <c r="O359" s="10"/>
      <c r="P359" s="43"/>
    </row>
    <row r="360" spans="1:16" ht="25.5" customHeight="1">
      <c r="A360" s="11" t="s">
        <v>287</v>
      </c>
      <c r="B360" s="11"/>
      <c r="C360" s="11"/>
      <c r="D360" s="43">
        <v>9</v>
      </c>
      <c r="E360" s="43"/>
      <c r="F360" s="43">
        <f>D360</f>
        <v>9</v>
      </c>
      <c r="G360" s="43">
        <v>9</v>
      </c>
      <c r="H360" s="43"/>
      <c r="I360" s="43"/>
      <c r="J360" s="43">
        <f>G360+H360</f>
        <v>9</v>
      </c>
      <c r="K360" s="43">
        <f>G360/D360*100</f>
        <v>100</v>
      </c>
      <c r="L360" s="43"/>
      <c r="M360" s="43"/>
      <c r="N360" s="43">
        <v>9</v>
      </c>
      <c r="O360" s="43"/>
      <c r="P360" s="43">
        <f>N360</f>
        <v>9</v>
      </c>
    </row>
    <row r="361" spans="1:16" ht="25.5" customHeight="1">
      <c r="A361" s="11" t="s">
        <v>286</v>
      </c>
      <c r="B361" s="11"/>
      <c r="C361" s="11"/>
      <c r="D361" s="43">
        <v>10</v>
      </c>
      <c r="E361" s="43"/>
      <c r="F361" s="43">
        <v>10</v>
      </c>
      <c r="G361" s="43">
        <v>10</v>
      </c>
      <c r="H361" s="43"/>
      <c r="I361" s="43"/>
      <c r="J361" s="43">
        <v>10</v>
      </c>
      <c r="K361" s="43"/>
      <c r="L361" s="43"/>
      <c r="M361" s="43"/>
      <c r="N361" s="43">
        <v>10</v>
      </c>
      <c r="O361" s="43"/>
      <c r="P361" s="43">
        <v>10</v>
      </c>
    </row>
    <row r="362" spans="1:16" ht="11.25">
      <c r="A362" s="13" t="s">
        <v>7</v>
      </c>
      <c r="B362" s="13"/>
      <c r="C362" s="13"/>
      <c r="D362" s="64"/>
      <c r="E362" s="64"/>
      <c r="F362" s="65"/>
      <c r="G362" s="64"/>
      <c r="H362" s="64"/>
      <c r="I362" s="64"/>
      <c r="J362" s="65"/>
      <c r="K362" s="65"/>
      <c r="L362" s="64"/>
      <c r="M362" s="64"/>
      <c r="N362" s="64"/>
      <c r="O362" s="64"/>
      <c r="P362" s="65"/>
    </row>
    <row r="363" spans="1:16" ht="33.75">
      <c r="A363" s="11" t="s">
        <v>288</v>
      </c>
      <c r="B363" s="11"/>
      <c r="C363" s="11"/>
      <c r="D363" s="65">
        <v>14666.667</v>
      </c>
      <c r="E363" s="65"/>
      <c r="F363" s="65">
        <f>D363</f>
        <v>14666.667</v>
      </c>
      <c r="G363" s="65">
        <v>15725</v>
      </c>
      <c r="H363" s="65"/>
      <c r="I363" s="65"/>
      <c r="J363" s="65">
        <f>G363</f>
        <v>15725</v>
      </c>
      <c r="K363" s="65">
        <f>G363/D363*100</f>
        <v>107.21590665418394</v>
      </c>
      <c r="L363" s="65"/>
      <c r="M363" s="65"/>
      <c r="N363" s="65">
        <v>16670</v>
      </c>
      <c r="O363" s="65"/>
      <c r="P363" s="65">
        <f>N363</f>
        <v>16670</v>
      </c>
    </row>
    <row r="364" spans="1:16" ht="24" customHeight="1">
      <c r="A364" s="11" t="s">
        <v>289</v>
      </c>
      <c r="B364" s="11"/>
      <c r="C364" s="11"/>
      <c r="D364" s="43">
        <v>7700</v>
      </c>
      <c r="E364" s="43"/>
      <c r="F364" s="43">
        <v>7700</v>
      </c>
      <c r="G364" s="43">
        <v>8255</v>
      </c>
      <c r="H364" s="43"/>
      <c r="I364" s="43"/>
      <c r="J364" s="43">
        <v>8255</v>
      </c>
      <c r="K364" s="65"/>
      <c r="L364" s="65"/>
      <c r="M364" s="65"/>
      <c r="N364" s="43">
        <v>8750</v>
      </c>
      <c r="O364" s="43"/>
      <c r="P364" s="43">
        <v>8750</v>
      </c>
    </row>
    <row r="365" spans="1:235" s="39" customFormat="1" ht="33.75">
      <c r="A365" s="9" t="s">
        <v>399</v>
      </c>
      <c r="B365" s="9"/>
      <c r="C365" s="9"/>
      <c r="D365" s="10">
        <f>D367+D368+D369+D370+D371+D372</f>
        <v>103380</v>
      </c>
      <c r="E365" s="10"/>
      <c r="F365" s="10">
        <f>D365+E365</f>
        <v>103380</v>
      </c>
      <c r="G365" s="10">
        <f>G367+G368+G369+G370+G371+G372</f>
        <v>111180</v>
      </c>
      <c r="H365" s="10"/>
      <c r="I365" s="10"/>
      <c r="J365" s="10">
        <f>G365+H365</f>
        <v>111180</v>
      </c>
      <c r="K365" s="10"/>
      <c r="L365" s="10"/>
      <c r="M365" s="10"/>
      <c r="N365" s="10">
        <f>N367+N368+N369+N370+N371+N372</f>
        <v>114990</v>
      </c>
      <c r="O365" s="10"/>
      <c r="P365" s="10">
        <f>N365</f>
        <v>114990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</row>
    <row r="366" spans="1:235" s="39" customFormat="1" ht="11.25">
      <c r="A366" s="61" t="s">
        <v>4</v>
      </c>
      <c r="B366" s="9"/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</row>
    <row r="367" spans="1:235" s="39" customFormat="1" ht="30" customHeight="1">
      <c r="A367" s="9" t="s">
        <v>290</v>
      </c>
      <c r="B367" s="9"/>
      <c r="C367" s="9"/>
      <c r="D367" s="10">
        <f>D374*D381</f>
        <v>7200</v>
      </c>
      <c r="E367" s="10"/>
      <c r="F367" s="10">
        <f aca="true" t="shared" si="47" ref="F367:F372">D367+E367</f>
        <v>7200</v>
      </c>
      <c r="G367" s="10">
        <f>G374*G381</f>
        <v>7800</v>
      </c>
      <c r="H367" s="10"/>
      <c r="I367" s="10"/>
      <c r="J367" s="10">
        <f aca="true" t="shared" si="48" ref="J367:J372">G367+H367</f>
        <v>7800</v>
      </c>
      <c r="K367" s="10"/>
      <c r="L367" s="10"/>
      <c r="M367" s="10"/>
      <c r="N367" s="10">
        <f>N374*N381</f>
        <v>8250</v>
      </c>
      <c r="O367" s="10"/>
      <c r="P367" s="10">
        <f aca="true" t="shared" si="49" ref="P367:P372">N367+O367</f>
        <v>8250</v>
      </c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</row>
    <row r="368" spans="1:235" s="39" customFormat="1" ht="33.75">
      <c r="A368" s="9" t="s">
        <v>291</v>
      </c>
      <c r="B368" s="9"/>
      <c r="C368" s="9"/>
      <c r="D368" s="10">
        <f>D382*D375</f>
        <v>22800</v>
      </c>
      <c r="E368" s="10"/>
      <c r="F368" s="10">
        <f t="shared" si="47"/>
        <v>22800</v>
      </c>
      <c r="G368" s="10">
        <f>G382*G375</f>
        <v>24600</v>
      </c>
      <c r="H368" s="10"/>
      <c r="I368" s="10"/>
      <c r="J368" s="10">
        <f t="shared" si="48"/>
        <v>24600</v>
      </c>
      <c r="K368" s="10"/>
      <c r="L368" s="10"/>
      <c r="M368" s="10"/>
      <c r="N368" s="10">
        <f>N382*N375</f>
        <v>26100</v>
      </c>
      <c r="O368" s="10"/>
      <c r="P368" s="10">
        <f t="shared" si="49"/>
        <v>26100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</row>
    <row r="369" spans="1:235" s="39" customFormat="1" ht="33.75">
      <c r="A369" s="9" t="s">
        <v>292</v>
      </c>
      <c r="B369" s="9"/>
      <c r="C369" s="9"/>
      <c r="D369" s="10">
        <f>D376*D383</f>
        <v>40500</v>
      </c>
      <c r="E369" s="10"/>
      <c r="F369" s="10">
        <f t="shared" si="47"/>
        <v>40500</v>
      </c>
      <c r="G369" s="10">
        <f>G376*G383</f>
        <v>43500</v>
      </c>
      <c r="H369" s="10"/>
      <c r="I369" s="10"/>
      <c r="J369" s="10">
        <f t="shared" si="48"/>
        <v>43500</v>
      </c>
      <c r="K369" s="10"/>
      <c r="L369" s="10"/>
      <c r="M369" s="10"/>
      <c r="N369" s="10">
        <f>N376*N383</f>
        <v>46200</v>
      </c>
      <c r="O369" s="10"/>
      <c r="P369" s="10">
        <f t="shared" si="49"/>
        <v>46200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</row>
    <row r="370" spans="1:235" s="39" customFormat="1" ht="33.75">
      <c r="A370" s="9" t="s">
        <v>293</v>
      </c>
      <c r="B370" s="9"/>
      <c r="C370" s="9"/>
      <c r="D370" s="10">
        <f>D384*D377</f>
        <v>25200</v>
      </c>
      <c r="E370" s="10"/>
      <c r="F370" s="10">
        <f t="shared" si="47"/>
        <v>25200</v>
      </c>
      <c r="G370" s="10">
        <f>G377*G384</f>
        <v>27000</v>
      </c>
      <c r="H370" s="10"/>
      <c r="I370" s="10"/>
      <c r="J370" s="10">
        <f t="shared" si="48"/>
        <v>27000</v>
      </c>
      <c r="K370" s="10"/>
      <c r="L370" s="10"/>
      <c r="M370" s="10"/>
      <c r="N370" s="10">
        <f>N384*N377</f>
        <v>28800</v>
      </c>
      <c r="O370" s="10"/>
      <c r="P370" s="10">
        <f t="shared" si="49"/>
        <v>28800</v>
      </c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</row>
    <row r="371" spans="1:235" s="39" customFormat="1" ht="22.5">
      <c r="A371" s="9" t="s">
        <v>294</v>
      </c>
      <c r="B371" s="9"/>
      <c r="C371" s="9"/>
      <c r="D371" s="10">
        <f>D378*D385</f>
        <v>6120</v>
      </c>
      <c r="E371" s="10"/>
      <c r="F371" s="10">
        <f t="shared" si="47"/>
        <v>6120</v>
      </c>
      <c r="G371" s="10">
        <f>G378*G385</f>
        <v>6600</v>
      </c>
      <c r="H371" s="10"/>
      <c r="I371" s="10"/>
      <c r="J371" s="10">
        <f t="shared" si="48"/>
        <v>6600</v>
      </c>
      <c r="K371" s="10"/>
      <c r="L371" s="10"/>
      <c r="M371" s="10"/>
      <c r="N371" s="10">
        <f>N378*N384</f>
        <v>3840</v>
      </c>
      <c r="O371" s="10"/>
      <c r="P371" s="10">
        <f t="shared" si="49"/>
        <v>3840</v>
      </c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  <c r="EV371" s="38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8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8"/>
      <c r="GE371" s="38"/>
      <c r="GF371" s="38"/>
      <c r="GG371" s="38"/>
      <c r="GH371" s="38"/>
      <c r="GI371" s="38"/>
      <c r="GJ371" s="38"/>
      <c r="GK371" s="38"/>
      <c r="GL371" s="38"/>
      <c r="GM371" s="38"/>
      <c r="GN371" s="38"/>
      <c r="GO371" s="38"/>
      <c r="GP371" s="38"/>
      <c r="GQ371" s="38"/>
      <c r="GR371" s="38"/>
      <c r="GS371" s="38"/>
      <c r="GT371" s="38"/>
      <c r="GU371" s="38"/>
      <c r="GV371" s="38"/>
      <c r="GW371" s="38"/>
      <c r="GX371" s="38"/>
      <c r="GY371" s="38"/>
      <c r="GZ371" s="38"/>
      <c r="HA371" s="38"/>
      <c r="HB371" s="38"/>
      <c r="HC371" s="38"/>
      <c r="HD371" s="38"/>
      <c r="HE371" s="38"/>
      <c r="HF371" s="38"/>
      <c r="HG371" s="38"/>
      <c r="HH371" s="38"/>
      <c r="HI371" s="38"/>
      <c r="HJ371" s="38"/>
      <c r="HK371" s="38"/>
      <c r="HL371" s="38"/>
      <c r="HM371" s="38"/>
      <c r="HN371" s="38"/>
      <c r="HO371" s="38"/>
      <c r="HP371" s="38"/>
      <c r="HQ371" s="38"/>
      <c r="HR371" s="38"/>
      <c r="HS371" s="38"/>
      <c r="HT371" s="38"/>
      <c r="HU371" s="38"/>
      <c r="HV371" s="38"/>
      <c r="HW371" s="38"/>
      <c r="HX371" s="38"/>
      <c r="HY371" s="38"/>
      <c r="HZ371" s="38"/>
      <c r="IA371" s="38"/>
    </row>
    <row r="372" spans="1:235" s="39" customFormat="1" ht="33.75">
      <c r="A372" s="9" t="s">
        <v>295</v>
      </c>
      <c r="B372" s="9"/>
      <c r="C372" s="9"/>
      <c r="D372" s="10">
        <f>D379*D386</f>
        <v>1560</v>
      </c>
      <c r="E372" s="10"/>
      <c r="F372" s="10">
        <f t="shared" si="47"/>
        <v>1560</v>
      </c>
      <c r="G372" s="10">
        <f>G379*G386</f>
        <v>1680</v>
      </c>
      <c r="H372" s="10"/>
      <c r="I372" s="10"/>
      <c r="J372" s="10">
        <f t="shared" si="48"/>
        <v>1680</v>
      </c>
      <c r="K372" s="10"/>
      <c r="L372" s="10"/>
      <c r="M372" s="10"/>
      <c r="N372" s="10">
        <f>N379*N386</f>
        <v>1800</v>
      </c>
      <c r="O372" s="10"/>
      <c r="P372" s="10">
        <f t="shared" si="49"/>
        <v>1800</v>
      </c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/>
      <c r="EL372" s="38"/>
      <c r="EM372" s="38"/>
      <c r="EN372" s="38"/>
      <c r="EO372" s="38"/>
      <c r="EP372" s="38"/>
      <c r="EQ372" s="38"/>
      <c r="ER372" s="38"/>
      <c r="ES372" s="38"/>
      <c r="ET372" s="38"/>
      <c r="EU372" s="38"/>
      <c r="EV372" s="38"/>
      <c r="EW372" s="38"/>
      <c r="EX372" s="38"/>
      <c r="EY372" s="38"/>
      <c r="EZ372" s="38"/>
      <c r="FA372" s="38"/>
      <c r="FB372" s="38"/>
      <c r="FC372" s="38"/>
      <c r="FD372" s="38"/>
      <c r="FE372" s="38"/>
      <c r="FF372" s="38"/>
      <c r="FG372" s="38"/>
      <c r="FH372" s="38"/>
      <c r="FI372" s="38"/>
      <c r="FJ372" s="38"/>
      <c r="FK372" s="38"/>
      <c r="FL372" s="38"/>
      <c r="FM372" s="38"/>
      <c r="FN372" s="38"/>
      <c r="FO372" s="38"/>
      <c r="FP372" s="38"/>
      <c r="FQ372" s="38"/>
      <c r="FR372" s="38"/>
      <c r="FS372" s="38"/>
      <c r="FT372" s="38"/>
      <c r="FU372" s="38"/>
      <c r="FV372" s="38"/>
      <c r="FW372" s="38"/>
      <c r="FX372" s="38"/>
      <c r="FY372" s="38"/>
      <c r="FZ372" s="38"/>
      <c r="GA372" s="38"/>
      <c r="GB372" s="38"/>
      <c r="GC372" s="38"/>
      <c r="GD372" s="38"/>
      <c r="GE372" s="38"/>
      <c r="GF372" s="38"/>
      <c r="GG372" s="38"/>
      <c r="GH372" s="38"/>
      <c r="GI372" s="38"/>
      <c r="GJ372" s="38"/>
      <c r="GK372" s="38"/>
      <c r="GL372" s="38"/>
      <c r="GM372" s="38"/>
      <c r="GN372" s="38"/>
      <c r="GO372" s="38"/>
      <c r="GP372" s="38"/>
      <c r="GQ372" s="38"/>
      <c r="GR372" s="38"/>
      <c r="GS372" s="38"/>
      <c r="GT372" s="38"/>
      <c r="GU372" s="38"/>
      <c r="GV372" s="38"/>
      <c r="GW372" s="38"/>
      <c r="GX372" s="38"/>
      <c r="GY372" s="38"/>
      <c r="GZ372" s="38"/>
      <c r="HA372" s="38"/>
      <c r="HB372" s="38"/>
      <c r="HC372" s="38"/>
      <c r="HD372" s="38"/>
      <c r="HE372" s="38"/>
      <c r="HF372" s="38"/>
      <c r="HG372" s="38"/>
      <c r="HH372" s="38"/>
      <c r="HI372" s="38"/>
      <c r="HJ372" s="38"/>
      <c r="HK372" s="38"/>
      <c r="HL372" s="38"/>
      <c r="HM372" s="38"/>
      <c r="HN372" s="38"/>
      <c r="HO372" s="38"/>
      <c r="HP372" s="38"/>
      <c r="HQ372" s="38"/>
      <c r="HR372" s="38"/>
      <c r="HS372" s="38"/>
      <c r="HT372" s="38"/>
      <c r="HU372" s="38"/>
      <c r="HV372" s="38"/>
      <c r="HW372" s="38"/>
      <c r="HX372" s="38"/>
      <c r="HY372" s="38"/>
      <c r="HZ372" s="38"/>
      <c r="IA372" s="38"/>
    </row>
    <row r="373" spans="1:16" ht="11.25">
      <c r="A373" s="13" t="s">
        <v>5</v>
      </c>
      <c r="B373" s="13"/>
      <c r="C373" s="13"/>
      <c r="D373" s="64"/>
      <c r="E373" s="64"/>
      <c r="F373" s="65"/>
      <c r="G373" s="64"/>
      <c r="H373" s="64"/>
      <c r="I373" s="64"/>
      <c r="J373" s="65"/>
      <c r="K373" s="65"/>
      <c r="L373" s="64"/>
      <c r="M373" s="64"/>
      <c r="N373" s="64"/>
      <c r="O373" s="64"/>
      <c r="P373" s="65"/>
    </row>
    <row r="374" spans="1:16" ht="33.75" customHeight="1">
      <c r="A374" s="11" t="s">
        <v>296</v>
      </c>
      <c r="B374" s="11"/>
      <c r="C374" s="11"/>
      <c r="D374" s="66">
        <v>30</v>
      </c>
      <c r="E374" s="66"/>
      <c r="F374" s="66">
        <f aca="true" t="shared" si="50" ref="F374:F379">D374+E374</f>
        <v>30</v>
      </c>
      <c r="G374" s="66">
        <v>30</v>
      </c>
      <c r="H374" s="66"/>
      <c r="I374" s="66"/>
      <c r="J374" s="66">
        <f aca="true" t="shared" si="51" ref="J374:J379">G374+H374</f>
        <v>30</v>
      </c>
      <c r="K374" s="66">
        <f aca="true" t="shared" si="52" ref="K374:K379">G374/D374*100</f>
        <v>100</v>
      </c>
      <c r="L374" s="66"/>
      <c r="M374" s="66"/>
      <c r="N374" s="66">
        <v>30</v>
      </c>
      <c r="O374" s="66"/>
      <c r="P374" s="66">
        <f>N374+O374</f>
        <v>30</v>
      </c>
    </row>
    <row r="375" spans="1:16" ht="39" customHeight="1">
      <c r="A375" s="11" t="s">
        <v>297</v>
      </c>
      <c r="B375" s="11"/>
      <c r="C375" s="11"/>
      <c r="D375" s="66">
        <v>30</v>
      </c>
      <c r="E375" s="66"/>
      <c r="F375" s="66">
        <f t="shared" si="50"/>
        <v>30</v>
      </c>
      <c r="G375" s="66">
        <v>30</v>
      </c>
      <c r="H375" s="66"/>
      <c r="I375" s="66"/>
      <c r="J375" s="66">
        <f t="shared" si="51"/>
        <v>30</v>
      </c>
      <c r="K375" s="66">
        <f t="shared" si="52"/>
        <v>100</v>
      </c>
      <c r="L375" s="66"/>
      <c r="M375" s="66"/>
      <c r="N375" s="66">
        <v>30</v>
      </c>
      <c r="O375" s="66"/>
      <c r="P375" s="66">
        <f>N375+O375</f>
        <v>30</v>
      </c>
    </row>
    <row r="376" spans="1:16" ht="33.75" customHeight="1">
      <c r="A376" s="11" t="s">
        <v>298</v>
      </c>
      <c r="B376" s="11"/>
      <c r="C376" s="11"/>
      <c r="D376" s="66">
        <v>30</v>
      </c>
      <c r="E376" s="66"/>
      <c r="F376" s="66">
        <f t="shared" si="50"/>
        <v>30</v>
      </c>
      <c r="G376" s="66">
        <v>30</v>
      </c>
      <c r="H376" s="66"/>
      <c r="I376" s="66"/>
      <c r="J376" s="66">
        <f t="shared" si="51"/>
        <v>30</v>
      </c>
      <c r="K376" s="66">
        <f t="shared" si="52"/>
        <v>100</v>
      </c>
      <c r="L376" s="66"/>
      <c r="M376" s="66"/>
      <c r="N376" s="66">
        <v>30</v>
      </c>
      <c r="O376" s="66"/>
      <c r="P376" s="66">
        <f>N376+O376</f>
        <v>30</v>
      </c>
    </row>
    <row r="377" spans="1:16" ht="39" customHeight="1">
      <c r="A377" s="11" t="s">
        <v>299</v>
      </c>
      <c r="B377" s="11"/>
      <c r="C377" s="11"/>
      <c r="D377" s="66">
        <v>90</v>
      </c>
      <c r="E377" s="66"/>
      <c r="F377" s="66">
        <f t="shared" si="50"/>
        <v>90</v>
      </c>
      <c r="G377" s="66">
        <v>90</v>
      </c>
      <c r="H377" s="66"/>
      <c r="I377" s="66"/>
      <c r="J377" s="66">
        <f t="shared" si="51"/>
        <v>90</v>
      </c>
      <c r="K377" s="66">
        <f t="shared" si="52"/>
        <v>100</v>
      </c>
      <c r="L377" s="66"/>
      <c r="M377" s="66"/>
      <c r="N377" s="66">
        <v>90</v>
      </c>
      <c r="O377" s="66"/>
      <c r="P377" s="66">
        <f>N377+O377</f>
        <v>90</v>
      </c>
    </row>
    <row r="378" spans="1:16" ht="22.5">
      <c r="A378" s="11" t="s">
        <v>300</v>
      </c>
      <c r="B378" s="11"/>
      <c r="C378" s="11"/>
      <c r="D378" s="66">
        <v>12</v>
      </c>
      <c r="E378" s="66"/>
      <c r="F378" s="66">
        <f t="shared" si="50"/>
        <v>12</v>
      </c>
      <c r="G378" s="66">
        <v>12</v>
      </c>
      <c r="H378" s="66"/>
      <c r="I378" s="66"/>
      <c r="J378" s="66">
        <f t="shared" si="51"/>
        <v>12</v>
      </c>
      <c r="K378" s="66">
        <f t="shared" si="52"/>
        <v>100</v>
      </c>
      <c r="L378" s="66"/>
      <c r="M378" s="66"/>
      <c r="N378" s="66">
        <v>12</v>
      </c>
      <c r="O378" s="66"/>
      <c r="P378" s="66">
        <f>N378</f>
        <v>12</v>
      </c>
    </row>
    <row r="379" spans="1:16" ht="22.5">
      <c r="A379" s="11" t="s">
        <v>301</v>
      </c>
      <c r="B379" s="11"/>
      <c r="C379" s="11"/>
      <c r="D379" s="66">
        <v>12</v>
      </c>
      <c r="E379" s="66"/>
      <c r="F379" s="66">
        <f t="shared" si="50"/>
        <v>12</v>
      </c>
      <c r="G379" s="66">
        <v>12</v>
      </c>
      <c r="H379" s="66"/>
      <c r="I379" s="66"/>
      <c r="J379" s="66">
        <f t="shared" si="51"/>
        <v>12</v>
      </c>
      <c r="K379" s="66">
        <f t="shared" si="52"/>
        <v>100</v>
      </c>
      <c r="L379" s="66"/>
      <c r="M379" s="66"/>
      <c r="N379" s="66">
        <v>12</v>
      </c>
      <c r="O379" s="66"/>
      <c r="P379" s="66">
        <f>N379</f>
        <v>12</v>
      </c>
    </row>
    <row r="380" spans="1:16" ht="11.25">
      <c r="A380" s="13" t="s">
        <v>7</v>
      </c>
      <c r="B380" s="13"/>
      <c r="C380" s="13"/>
      <c r="D380" s="10"/>
      <c r="E380" s="10"/>
      <c r="F380" s="43"/>
      <c r="G380" s="10"/>
      <c r="H380" s="10"/>
      <c r="I380" s="10"/>
      <c r="J380" s="43"/>
      <c r="K380" s="43"/>
      <c r="L380" s="10"/>
      <c r="M380" s="10"/>
      <c r="N380" s="10"/>
      <c r="O380" s="10"/>
      <c r="P380" s="43"/>
    </row>
    <row r="381" spans="1:16" ht="41.25" customHeight="1">
      <c r="A381" s="11" t="s">
        <v>302</v>
      </c>
      <c r="B381" s="11"/>
      <c r="C381" s="11"/>
      <c r="D381" s="43">
        <v>240</v>
      </c>
      <c r="E381" s="43"/>
      <c r="F381" s="43">
        <f aca="true" t="shared" si="53" ref="F381:F386">D381+E381</f>
        <v>240</v>
      </c>
      <c r="G381" s="43">
        <v>260</v>
      </c>
      <c r="H381" s="43"/>
      <c r="I381" s="43"/>
      <c r="J381" s="43">
        <f aca="true" t="shared" si="54" ref="J381:J386">G381+H381</f>
        <v>260</v>
      </c>
      <c r="K381" s="43">
        <f>G381/D381*100</f>
        <v>108.33333333333333</v>
      </c>
      <c r="L381" s="43"/>
      <c r="M381" s="43"/>
      <c r="N381" s="43">
        <v>275</v>
      </c>
      <c r="O381" s="43"/>
      <c r="P381" s="43">
        <f>N381+O381</f>
        <v>275</v>
      </c>
    </row>
    <row r="382" spans="1:16" ht="33.75">
      <c r="A382" s="11" t="s">
        <v>303</v>
      </c>
      <c r="B382" s="11"/>
      <c r="C382" s="11"/>
      <c r="D382" s="65">
        <v>760</v>
      </c>
      <c r="E382" s="65"/>
      <c r="F382" s="65">
        <f t="shared" si="53"/>
        <v>760</v>
      </c>
      <c r="G382" s="65">
        <v>820</v>
      </c>
      <c r="H382" s="65"/>
      <c r="I382" s="65"/>
      <c r="J382" s="65">
        <f t="shared" si="54"/>
        <v>820</v>
      </c>
      <c r="K382" s="65">
        <f>G382/D382*100</f>
        <v>107.89473684210526</v>
      </c>
      <c r="L382" s="65"/>
      <c r="M382" s="65"/>
      <c r="N382" s="65">
        <v>870</v>
      </c>
      <c r="O382" s="65"/>
      <c r="P382" s="65">
        <f>N382+O382</f>
        <v>870</v>
      </c>
    </row>
    <row r="383" spans="1:16" ht="33.75" customHeight="1">
      <c r="A383" s="11" t="s">
        <v>304</v>
      </c>
      <c r="B383" s="11"/>
      <c r="C383" s="11"/>
      <c r="D383" s="43">
        <v>1350</v>
      </c>
      <c r="E383" s="43"/>
      <c r="F383" s="43">
        <f t="shared" si="53"/>
        <v>1350</v>
      </c>
      <c r="G383" s="43">
        <v>1450</v>
      </c>
      <c r="H383" s="43"/>
      <c r="I383" s="43"/>
      <c r="J383" s="43">
        <f t="shared" si="54"/>
        <v>1450</v>
      </c>
      <c r="K383" s="65"/>
      <c r="L383" s="65"/>
      <c r="M383" s="65"/>
      <c r="N383" s="43">
        <v>1540</v>
      </c>
      <c r="O383" s="43"/>
      <c r="P383" s="43">
        <f>N383</f>
        <v>1540</v>
      </c>
    </row>
    <row r="384" spans="1:16" ht="38.25" customHeight="1">
      <c r="A384" s="11" t="s">
        <v>305</v>
      </c>
      <c r="B384" s="11"/>
      <c r="C384" s="11"/>
      <c r="D384" s="43">
        <v>280</v>
      </c>
      <c r="E384" s="43"/>
      <c r="F384" s="43">
        <f t="shared" si="53"/>
        <v>280</v>
      </c>
      <c r="G384" s="43">
        <v>300</v>
      </c>
      <c r="H384" s="43"/>
      <c r="I384" s="43"/>
      <c r="J384" s="43">
        <f t="shared" si="54"/>
        <v>300</v>
      </c>
      <c r="K384" s="65"/>
      <c r="L384" s="65"/>
      <c r="M384" s="65"/>
      <c r="N384" s="43">
        <v>320</v>
      </c>
      <c r="O384" s="43"/>
      <c r="P384" s="43">
        <f>N384</f>
        <v>320</v>
      </c>
    </row>
    <row r="385" spans="1:16" ht="22.5">
      <c r="A385" s="11" t="s">
        <v>306</v>
      </c>
      <c r="B385" s="11"/>
      <c r="C385" s="11"/>
      <c r="D385" s="43">
        <v>510</v>
      </c>
      <c r="E385" s="43"/>
      <c r="F385" s="43">
        <f t="shared" si="53"/>
        <v>510</v>
      </c>
      <c r="G385" s="43">
        <v>550</v>
      </c>
      <c r="H385" s="43"/>
      <c r="I385" s="43"/>
      <c r="J385" s="43">
        <f t="shared" si="54"/>
        <v>550</v>
      </c>
      <c r="K385" s="65"/>
      <c r="L385" s="65"/>
      <c r="M385" s="65"/>
      <c r="N385" s="43">
        <v>585</v>
      </c>
      <c r="O385" s="43"/>
      <c r="P385" s="43">
        <f>N385</f>
        <v>585</v>
      </c>
    </row>
    <row r="386" spans="1:16" ht="22.5">
      <c r="A386" s="11" t="s">
        <v>307</v>
      </c>
      <c r="B386" s="11"/>
      <c r="C386" s="11"/>
      <c r="D386" s="43">
        <v>130</v>
      </c>
      <c r="E386" s="43"/>
      <c r="F386" s="43">
        <f t="shared" si="53"/>
        <v>130</v>
      </c>
      <c r="G386" s="43">
        <v>140</v>
      </c>
      <c r="H386" s="43"/>
      <c r="I386" s="43"/>
      <c r="J386" s="43">
        <f t="shared" si="54"/>
        <v>140</v>
      </c>
      <c r="K386" s="65"/>
      <c r="L386" s="65"/>
      <c r="M386" s="65"/>
      <c r="N386" s="43">
        <v>150</v>
      </c>
      <c r="O386" s="43"/>
      <c r="P386" s="43">
        <f>N386+O386</f>
        <v>150</v>
      </c>
    </row>
    <row r="387" spans="1:16" ht="11.25">
      <c r="A387" s="125" t="s">
        <v>309</v>
      </c>
      <c r="B387" s="13"/>
      <c r="C387" s="13"/>
      <c r="D387" s="10"/>
      <c r="E387" s="10">
        <f>E389+E405</f>
        <v>692840</v>
      </c>
      <c r="F387" s="10">
        <f>F389+F405</f>
        <v>692840</v>
      </c>
      <c r="G387" s="10"/>
      <c r="H387" s="10">
        <f>H389+H405</f>
        <v>742600</v>
      </c>
      <c r="I387" s="10"/>
      <c r="J387" s="10">
        <f>J389+J405</f>
        <v>742600</v>
      </c>
      <c r="K387" s="64"/>
      <c r="L387" s="64"/>
      <c r="M387" s="64"/>
      <c r="N387" s="10"/>
      <c r="O387" s="10">
        <f>O389+O405</f>
        <v>787532</v>
      </c>
      <c r="P387" s="10">
        <f>P389+P405</f>
        <v>787532</v>
      </c>
    </row>
    <row r="388" spans="1:16" ht="101.25">
      <c r="A388" s="12" t="s">
        <v>310</v>
      </c>
      <c r="B388" s="11"/>
      <c r="C388" s="11"/>
      <c r="D388" s="43"/>
      <c r="E388" s="43"/>
      <c r="F388" s="43"/>
      <c r="G388" s="43"/>
      <c r="H388" s="43"/>
      <c r="I388" s="43"/>
      <c r="J388" s="43"/>
      <c r="K388" s="65"/>
      <c r="L388" s="65"/>
      <c r="M388" s="65"/>
      <c r="N388" s="43"/>
      <c r="O388" s="43"/>
      <c r="P388" s="43"/>
    </row>
    <row r="389" spans="1:16" ht="78.75">
      <c r="A389" s="67" t="s">
        <v>400</v>
      </c>
      <c r="B389" s="11"/>
      <c r="C389" s="11"/>
      <c r="D389" s="43"/>
      <c r="E389" s="43">
        <f>E391+E392+E393+E394</f>
        <v>428840</v>
      </c>
      <c r="F389" s="43">
        <f>D389+E389</f>
        <v>428840</v>
      </c>
      <c r="G389" s="43"/>
      <c r="H389" s="43">
        <f>H391+H392+H393+H394</f>
        <v>459400</v>
      </c>
      <c r="I389" s="43"/>
      <c r="J389" s="43">
        <f>J391+J392+J393+J394</f>
        <v>459400</v>
      </c>
      <c r="K389" s="65"/>
      <c r="L389" s="65"/>
      <c r="M389" s="65"/>
      <c r="N389" s="43"/>
      <c r="O389" s="43">
        <f>O391+O392+O393+O394</f>
        <v>487340</v>
      </c>
      <c r="P389" s="43">
        <f>P391+P392+P393+P394</f>
        <v>487340</v>
      </c>
    </row>
    <row r="390" spans="1:16" ht="11.25">
      <c r="A390" s="13" t="s">
        <v>4</v>
      </c>
      <c r="B390" s="11"/>
      <c r="C390" s="11"/>
      <c r="D390" s="43"/>
      <c r="E390" s="43"/>
      <c r="F390" s="43"/>
      <c r="G390" s="43"/>
      <c r="H390" s="43"/>
      <c r="I390" s="43"/>
      <c r="J390" s="43"/>
      <c r="K390" s="65"/>
      <c r="L390" s="65"/>
      <c r="M390" s="65"/>
      <c r="N390" s="43"/>
      <c r="O390" s="43"/>
      <c r="P390" s="43"/>
    </row>
    <row r="391" spans="1:16" ht="33.75">
      <c r="A391" s="8" t="s">
        <v>312</v>
      </c>
      <c r="B391" s="11"/>
      <c r="C391" s="11"/>
      <c r="D391" s="43"/>
      <c r="E391" s="43">
        <f>E396*E401</f>
        <v>387500</v>
      </c>
      <c r="F391" s="43">
        <f>D391+E391</f>
        <v>387500</v>
      </c>
      <c r="G391" s="43"/>
      <c r="H391" s="43">
        <f>H396*H401</f>
        <v>415000</v>
      </c>
      <c r="I391" s="43"/>
      <c r="J391" s="43">
        <f>G391+H391</f>
        <v>415000</v>
      </c>
      <c r="K391" s="65"/>
      <c r="L391" s="65"/>
      <c r="M391" s="65"/>
      <c r="N391" s="43"/>
      <c r="O391" s="43">
        <f>O396*O401</f>
        <v>440000</v>
      </c>
      <c r="P391" s="43">
        <f>N391+O391</f>
        <v>440000</v>
      </c>
    </row>
    <row r="392" spans="1:16" ht="22.5">
      <c r="A392" s="8" t="s">
        <v>311</v>
      </c>
      <c r="B392" s="11"/>
      <c r="C392" s="11"/>
      <c r="D392" s="43"/>
      <c r="E392" s="43">
        <f>E397*E402</f>
        <v>12240</v>
      </c>
      <c r="F392" s="43">
        <f>D392+E392</f>
        <v>12240</v>
      </c>
      <c r="G392" s="43"/>
      <c r="H392" s="43">
        <f>H397*H402</f>
        <v>13200</v>
      </c>
      <c r="I392" s="43"/>
      <c r="J392" s="43">
        <f>G392+H392</f>
        <v>13200</v>
      </c>
      <c r="K392" s="65"/>
      <c r="L392" s="65"/>
      <c r="M392" s="65"/>
      <c r="N392" s="43"/>
      <c r="O392" s="43">
        <f>O397*O402</f>
        <v>14040</v>
      </c>
      <c r="P392" s="43">
        <f>N392+O392</f>
        <v>14040</v>
      </c>
    </row>
    <row r="393" spans="1:16" ht="33.75">
      <c r="A393" s="8" t="s">
        <v>313</v>
      </c>
      <c r="B393" s="11"/>
      <c r="C393" s="11"/>
      <c r="D393" s="43"/>
      <c r="E393" s="43">
        <f>E398*E403</f>
        <v>25200</v>
      </c>
      <c r="F393" s="43">
        <f>D393+E393</f>
        <v>25200</v>
      </c>
      <c r="G393" s="43"/>
      <c r="H393" s="43">
        <f>H398*H403</f>
        <v>27000</v>
      </c>
      <c r="I393" s="43"/>
      <c r="J393" s="43">
        <f>G393+H393</f>
        <v>27000</v>
      </c>
      <c r="K393" s="65"/>
      <c r="L393" s="65"/>
      <c r="M393" s="65"/>
      <c r="N393" s="43"/>
      <c r="O393" s="43">
        <f>O398*O403</f>
        <v>28800</v>
      </c>
      <c r="P393" s="43">
        <f>N393+O393</f>
        <v>28800</v>
      </c>
    </row>
    <row r="394" spans="1:16" ht="33.75">
      <c r="A394" s="8" t="s">
        <v>314</v>
      </c>
      <c r="B394" s="11"/>
      <c r="C394" s="11"/>
      <c r="D394" s="43"/>
      <c r="E394" s="43">
        <f>E399*E404</f>
        <v>3900</v>
      </c>
      <c r="F394" s="43">
        <f>D394+E394</f>
        <v>3900</v>
      </c>
      <c r="G394" s="43"/>
      <c r="H394" s="43">
        <f>H399*H404</f>
        <v>4200</v>
      </c>
      <c r="I394" s="43"/>
      <c r="J394" s="43">
        <f>G394+H394</f>
        <v>4200</v>
      </c>
      <c r="K394" s="65"/>
      <c r="L394" s="65"/>
      <c r="M394" s="65"/>
      <c r="N394" s="43"/>
      <c r="O394" s="43">
        <f>O399*O404</f>
        <v>4500</v>
      </c>
      <c r="P394" s="43">
        <f>N394+O394</f>
        <v>4500</v>
      </c>
    </row>
    <row r="395" spans="1:16" ht="11.25">
      <c r="A395" s="13" t="s">
        <v>5</v>
      </c>
      <c r="B395" s="11"/>
      <c r="C395" s="11"/>
      <c r="D395" s="43"/>
      <c r="E395" s="43"/>
      <c r="F395" s="43"/>
      <c r="G395" s="43"/>
      <c r="H395" s="43"/>
      <c r="I395" s="43"/>
      <c r="J395" s="43"/>
      <c r="K395" s="65"/>
      <c r="L395" s="65"/>
      <c r="M395" s="65"/>
      <c r="N395" s="43"/>
      <c r="O395" s="43"/>
      <c r="P395" s="43"/>
    </row>
    <row r="396" spans="1:16" ht="33.75">
      <c r="A396" s="8" t="s">
        <v>315</v>
      </c>
      <c r="B396" s="11"/>
      <c r="C396" s="11"/>
      <c r="D396" s="43"/>
      <c r="E396" s="14">
        <f>60+160+30</f>
        <v>250</v>
      </c>
      <c r="F396" s="43">
        <f aca="true" t="shared" si="55" ref="F396:F404">D396+E396</f>
        <v>250</v>
      </c>
      <c r="G396" s="43"/>
      <c r="H396" s="14">
        <f>60+160+30</f>
        <v>250</v>
      </c>
      <c r="I396" s="43"/>
      <c r="J396" s="43">
        <f aca="true" t="shared" si="56" ref="J396:J404">G396+H396</f>
        <v>250</v>
      </c>
      <c r="K396" s="65"/>
      <c r="L396" s="65"/>
      <c r="M396" s="65"/>
      <c r="N396" s="43"/>
      <c r="O396" s="14">
        <f>60+160+30</f>
        <v>250</v>
      </c>
      <c r="P396" s="43">
        <f aca="true" t="shared" si="57" ref="P396:P404">N396+O396</f>
        <v>250</v>
      </c>
    </row>
    <row r="397" spans="1:16" ht="33.75">
      <c r="A397" s="8" t="s">
        <v>316</v>
      </c>
      <c r="B397" s="11"/>
      <c r="C397" s="11"/>
      <c r="D397" s="43"/>
      <c r="E397" s="14">
        <v>24</v>
      </c>
      <c r="F397" s="43">
        <f t="shared" si="55"/>
        <v>24</v>
      </c>
      <c r="G397" s="43"/>
      <c r="H397" s="14">
        <v>24</v>
      </c>
      <c r="I397" s="43"/>
      <c r="J397" s="43">
        <f t="shared" si="56"/>
        <v>24</v>
      </c>
      <c r="K397" s="65"/>
      <c r="L397" s="65"/>
      <c r="M397" s="65"/>
      <c r="N397" s="43"/>
      <c r="O397" s="14">
        <v>24</v>
      </c>
      <c r="P397" s="43">
        <f t="shared" si="57"/>
        <v>24</v>
      </c>
    </row>
    <row r="398" spans="1:16" ht="33.75">
      <c r="A398" s="8" t="s">
        <v>317</v>
      </c>
      <c r="B398" s="11"/>
      <c r="C398" s="11"/>
      <c r="D398" s="43"/>
      <c r="E398" s="14">
        <v>90</v>
      </c>
      <c r="F398" s="43">
        <f t="shared" si="55"/>
        <v>90</v>
      </c>
      <c r="G398" s="43"/>
      <c r="H398" s="14">
        <v>90</v>
      </c>
      <c r="I398" s="43"/>
      <c r="J398" s="43">
        <f t="shared" si="56"/>
        <v>90</v>
      </c>
      <c r="K398" s="65"/>
      <c r="L398" s="65"/>
      <c r="M398" s="65"/>
      <c r="N398" s="43"/>
      <c r="O398" s="14">
        <v>90</v>
      </c>
      <c r="P398" s="43">
        <f t="shared" si="57"/>
        <v>90</v>
      </c>
    </row>
    <row r="399" spans="1:16" ht="22.5">
      <c r="A399" s="8" t="s">
        <v>318</v>
      </c>
      <c r="B399" s="11"/>
      <c r="C399" s="11"/>
      <c r="D399" s="43"/>
      <c r="E399" s="14">
        <v>30</v>
      </c>
      <c r="F399" s="43">
        <f t="shared" si="55"/>
        <v>30</v>
      </c>
      <c r="G399" s="43"/>
      <c r="H399" s="14">
        <v>30</v>
      </c>
      <c r="I399" s="43"/>
      <c r="J399" s="43">
        <f t="shared" si="56"/>
        <v>30</v>
      </c>
      <c r="K399" s="65"/>
      <c r="L399" s="65"/>
      <c r="M399" s="65"/>
      <c r="N399" s="43"/>
      <c r="O399" s="14">
        <v>30</v>
      </c>
      <c r="P399" s="43">
        <f t="shared" si="57"/>
        <v>30</v>
      </c>
    </row>
    <row r="400" spans="1:16" ht="11.25">
      <c r="A400" s="13" t="s">
        <v>7</v>
      </c>
      <c r="B400" s="68"/>
      <c r="C400" s="11"/>
      <c r="D400" s="43"/>
      <c r="E400" s="15">
        <f>E401+E402+E403+E404</f>
        <v>2470</v>
      </c>
      <c r="F400" s="43">
        <f t="shared" si="55"/>
        <v>2470</v>
      </c>
      <c r="G400" s="43"/>
      <c r="H400" s="15">
        <f>H401+H402+H403+H404</f>
        <v>2650</v>
      </c>
      <c r="I400" s="43"/>
      <c r="J400" s="43">
        <f t="shared" si="56"/>
        <v>2650</v>
      </c>
      <c r="K400" s="65"/>
      <c r="L400" s="65"/>
      <c r="M400" s="65"/>
      <c r="N400" s="43"/>
      <c r="O400" s="15">
        <f>O401+O402+O403+O404</f>
        <v>2815</v>
      </c>
      <c r="P400" s="43">
        <f t="shared" si="57"/>
        <v>2815</v>
      </c>
    </row>
    <row r="401" spans="1:16" ht="33.75">
      <c r="A401" s="11" t="s">
        <v>319</v>
      </c>
      <c r="B401" s="68"/>
      <c r="C401" s="11"/>
      <c r="D401" s="43"/>
      <c r="E401" s="15">
        <v>1550</v>
      </c>
      <c r="F401" s="43">
        <f t="shared" si="55"/>
        <v>1550</v>
      </c>
      <c r="G401" s="43"/>
      <c r="H401" s="15">
        <v>1660</v>
      </c>
      <c r="I401" s="43"/>
      <c r="J401" s="43">
        <f t="shared" si="56"/>
        <v>1660</v>
      </c>
      <c r="K401" s="65"/>
      <c r="L401" s="65"/>
      <c r="M401" s="65"/>
      <c r="N401" s="43"/>
      <c r="O401" s="15">
        <v>1760</v>
      </c>
      <c r="P401" s="43">
        <f t="shared" si="57"/>
        <v>1760</v>
      </c>
    </row>
    <row r="402" spans="1:16" ht="24.75" customHeight="1">
      <c r="A402" s="11" t="s">
        <v>320</v>
      </c>
      <c r="B402" s="68"/>
      <c r="C402" s="11"/>
      <c r="D402" s="43"/>
      <c r="E402" s="15">
        <v>510</v>
      </c>
      <c r="F402" s="43">
        <f t="shared" si="55"/>
        <v>510</v>
      </c>
      <c r="G402" s="43"/>
      <c r="H402" s="15">
        <v>550</v>
      </c>
      <c r="I402" s="43"/>
      <c r="J402" s="43">
        <f t="shared" si="56"/>
        <v>550</v>
      </c>
      <c r="K402" s="65"/>
      <c r="L402" s="65"/>
      <c r="M402" s="65"/>
      <c r="N402" s="43"/>
      <c r="O402" s="15">
        <v>585</v>
      </c>
      <c r="P402" s="43">
        <f t="shared" si="57"/>
        <v>585</v>
      </c>
    </row>
    <row r="403" spans="1:16" ht="33.75">
      <c r="A403" s="11" t="s">
        <v>321</v>
      </c>
      <c r="B403" s="11"/>
      <c r="C403" s="11"/>
      <c r="D403" s="43"/>
      <c r="E403" s="15">
        <v>280</v>
      </c>
      <c r="F403" s="43">
        <f t="shared" si="55"/>
        <v>280</v>
      </c>
      <c r="G403" s="43"/>
      <c r="H403" s="15">
        <v>300</v>
      </c>
      <c r="I403" s="43"/>
      <c r="J403" s="43">
        <f t="shared" si="56"/>
        <v>300</v>
      </c>
      <c r="K403" s="65"/>
      <c r="L403" s="65"/>
      <c r="M403" s="65"/>
      <c r="N403" s="43"/>
      <c r="O403" s="15">
        <v>320</v>
      </c>
      <c r="P403" s="43">
        <f t="shared" si="57"/>
        <v>320</v>
      </c>
    </row>
    <row r="404" spans="1:16" ht="22.5">
      <c r="A404" s="16" t="s">
        <v>322</v>
      </c>
      <c r="B404" s="11"/>
      <c r="C404" s="11"/>
      <c r="D404" s="43"/>
      <c r="E404" s="17">
        <v>130</v>
      </c>
      <c r="F404" s="43">
        <f t="shared" si="55"/>
        <v>130</v>
      </c>
      <c r="G404" s="43"/>
      <c r="H404" s="17">
        <v>140</v>
      </c>
      <c r="I404" s="43"/>
      <c r="J404" s="43">
        <f t="shared" si="56"/>
        <v>140</v>
      </c>
      <c r="K404" s="65"/>
      <c r="L404" s="65"/>
      <c r="M404" s="65"/>
      <c r="N404" s="43"/>
      <c r="O404" s="18">
        <v>150</v>
      </c>
      <c r="P404" s="43">
        <f t="shared" si="57"/>
        <v>150</v>
      </c>
    </row>
    <row r="405" spans="1:16" ht="45">
      <c r="A405" s="58" t="s">
        <v>401</v>
      </c>
      <c r="B405" s="11"/>
      <c r="C405" s="11"/>
      <c r="D405" s="43">
        <f>D407</f>
        <v>0</v>
      </c>
      <c r="E405" s="43">
        <f>E407</f>
        <v>264000</v>
      </c>
      <c r="F405" s="43">
        <f>F407</f>
        <v>264000</v>
      </c>
      <c r="G405" s="43"/>
      <c r="H405" s="43">
        <f>H407</f>
        <v>283200</v>
      </c>
      <c r="I405" s="43"/>
      <c r="J405" s="43">
        <f>J407</f>
        <v>283200</v>
      </c>
      <c r="K405" s="65"/>
      <c r="L405" s="65"/>
      <c r="M405" s="65"/>
      <c r="N405" s="43"/>
      <c r="O405" s="43">
        <f>O407</f>
        <v>300192</v>
      </c>
      <c r="P405" s="43">
        <f>P407</f>
        <v>300192</v>
      </c>
    </row>
    <row r="406" spans="1:16" ht="11.25">
      <c r="A406" s="19" t="s">
        <v>4</v>
      </c>
      <c r="B406" s="11"/>
      <c r="C406" s="11"/>
      <c r="D406" s="43"/>
      <c r="E406" s="17"/>
      <c r="F406" s="43"/>
      <c r="G406" s="43"/>
      <c r="H406" s="17"/>
      <c r="I406" s="43"/>
      <c r="J406" s="43"/>
      <c r="K406" s="65"/>
      <c r="L406" s="65"/>
      <c r="M406" s="65"/>
      <c r="N406" s="43"/>
      <c r="O406" s="18"/>
      <c r="P406" s="43"/>
    </row>
    <row r="407" spans="1:16" ht="22.5">
      <c r="A407" s="8" t="s">
        <v>323</v>
      </c>
      <c r="B407" s="11"/>
      <c r="C407" s="11"/>
      <c r="D407" s="43"/>
      <c r="E407" s="17">
        <v>264000</v>
      </c>
      <c r="F407" s="43">
        <f>D407+E407</f>
        <v>264000</v>
      </c>
      <c r="G407" s="43"/>
      <c r="H407" s="17">
        <f>H409*H411</f>
        <v>283200</v>
      </c>
      <c r="I407" s="43"/>
      <c r="J407" s="43">
        <f>G407+H407</f>
        <v>283200</v>
      </c>
      <c r="K407" s="65"/>
      <c r="L407" s="65"/>
      <c r="M407" s="65"/>
      <c r="N407" s="43"/>
      <c r="O407" s="18">
        <f>O409*O411</f>
        <v>300192</v>
      </c>
      <c r="P407" s="43">
        <f>N407+O407</f>
        <v>300192</v>
      </c>
    </row>
    <row r="408" spans="1:16" ht="11.25">
      <c r="A408" s="19" t="s">
        <v>5</v>
      </c>
      <c r="B408" s="11"/>
      <c r="C408" s="11"/>
      <c r="D408" s="43"/>
      <c r="E408" s="17"/>
      <c r="F408" s="43"/>
      <c r="G408" s="43"/>
      <c r="H408" s="17"/>
      <c r="I408" s="43"/>
      <c r="J408" s="43"/>
      <c r="K408" s="65"/>
      <c r="L408" s="65"/>
      <c r="M408" s="65"/>
      <c r="N408" s="43"/>
      <c r="O408" s="18"/>
      <c r="P408" s="43"/>
    </row>
    <row r="409" spans="1:16" ht="22.5">
      <c r="A409" s="20" t="s">
        <v>324</v>
      </c>
      <c r="B409" s="11"/>
      <c r="C409" s="11"/>
      <c r="D409" s="43"/>
      <c r="E409" s="21">
        <v>236</v>
      </c>
      <c r="F409" s="69">
        <f>D409+E409</f>
        <v>236</v>
      </c>
      <c r="G409" s="69"/>
      <c r="H409" s="21">
        <v>236</v>
      </c>
      <c r="I409" s="69"/>
      <c r="J409" s="69">
        <f>G409+H409</f>
        <v>236</v>
      </c>
      <c r="K409" s="70"/>
      <c r="L409" s="70"/>
      <c r="M409" s="70"/>
      <c r="N409" s="69"/>
      <c r="O409" s="21">
        <v>236</v>
      </c>
      <c r="P409" s="69">
        <f>N409+O409</f>
        <v>236</v>
      </c>
    </row>
    <row r="410" spans="1:16" ht="11.25">
      <c r="A410" s="19" t="s">
        <v>7</v>
      </c>
      <c r="B410" s="11"/>
      <c r="C410" s="11"/>
      <c r="D410" s="43"/>
      <c r="E410" s="17"/>
      <c r="F410" s="43"/>
      <c r="G410" s="43"/>
      <c r="H410" s="17"/>
      <c r="I410" s="43"/>
      <c r="J410" s="43"/>
      <c r="K410" s="65"/>
      <c r="L410" s="65"/>
      <c r="M410" s="65"/>
      <c r="N410" s="43"/>
      <c r="O410" s="18"/>
      <c r="P410" s="43"/>
    </row>
    <row r="411" spans="1:16" ht="22.5">
      <c r="A411" s="20" t="s">
        <v>325</v>
      </c>
      <c r="B411" s="11"/>
      <c r="C411" s="11"/>
      <c r="D411" s="43"/>
      <c r="E411" s="43">
        <v>1118.64</v>
      </c>
      <c r="F411" s="43">
        <f>D411+E411</f>
        <v>1118.64</v>
      </c>
      <c r="G411" s="43"/>
      <c r="H411" s="43">
        <v>1200</v>
      </c>
      <c r="I411" s="43"/>
      <c r="J411" s="43">
        <f>G411+H411</f>
        <v>1200</v>
      </c>
      <c r="K411" s="65"/>
      <c r="L411" s="65"/>
      <c r="M411" s="65"/>
      <c r="N411" s="43"/>
      <c r="O411" s="43">
        <v>1272</v>
      </c>
      <c r="P411" s="43">
        <f>N411+O411</f>
        <v>1272</v>
      </c>
    </row>
    <row r="412" spans="1:235" s="39" customFormat="1" ht="24" customHeight="1">
      <c r="A412" s="9" t="s">
        <v>402</v>
      </c>
      <c r="B412" s="9"/>
      <c r="C412" s="9"/>
      <c r="D412" s="10">
        <f>(D414*D416)</f>
        <v>64999.9999998</v>
      </c>
      <c r="E412" s="10"/>
      <c r="F412" s="10">
        <f>D412</f>
        <v>64999.9999998</v>
      </c>
      <c r="G412" s="10">
        <f>G414*G416</f>
        <v>70000</v>
      </c>
      <c r="H412" s="10"/>
      <c r="I412" s="10"/>
      <c r="J412" s="10">
        <f>G412</f>
        <v>70000</v>
      </c>
      <c r="K412" s="10"/>
      <c r="L412" s="10"/>
      <c r="M412" s="10"/>
      <c r="N412" s="10">
        <f>N414*N416</f>
        <v>74999.99999968</v>
      </c>
      <c r="O412" s="10"/>
      <c r="P412" s="10">
        <f>N412</f>
        <v>74999.99999968</v>
      </c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  <c r="DH412" s="38"/>
      <c r="DI412" s="38"/>
      <c r="DJ412" s="38"/>
      <c r="DK412" s="38"/>
      <c r="DL412" s="38"/>
      <c r="DM412" s="38"/>
      <c r="DN412" s="38"/>
      <c r="DO412" s="38"/>
      <c r="DP412" s="38"/>
      <c r="DQ412" s="38"/>
      <c r="DR412" s="38"/>
      <c r="DS412" s="38"/>
      <c r="DT412" s="38"/>
      <c r="DU412" s="38"/>
      <c r="DV412" s="38"/>
      <c r="DW412" s="38"/>
      <c r="DX412" s="38"/>
      <c r="DY412" s="38"/>
      <c r="DZ412" s="38"/>
      <c r="EA412" s="38"/>
      <c r="EB412" s="38"/>
      <c r="EC412" s="38"/>
      <c r="ED412" s="38"/>
      <c r="EE412" s="38"/>
      <c r="EF412" s="38"/>
      <c r="EG412" s="38"/>
      <c r="EH412" s="38"/>
      <c r="EI412" s="38"/>
      <c r="EJ412" s="38"/>
      <c r="EK412" s="38"/>
      <c r="EL412" s="38"/>
      <c r="EM412" s="38"/>
      <c r="EN412" s="38"/>
      <c r="EO412" s="38"/>
      <c r="EP412" s="38"/>
      <c r="EQ412" s="38"/>
      <c r="ER412" s="38"/>
      <c r="ES412" s="38"/>
      <c r="ET412" s="38"/>
      <c r="EU412" s="38"/>
      <c r="EV412" s="38"/>
      <c r="EW412" s="38"/>
      <c r="EX412" s="38"/>
      <c r="EY412" s="38"/>
      <c r="EZ412" s="38"/>
      <c r="FA412" s="38"/>
      <c r="FB412" s="38"/>
      <c r="FC412" s="38"/>
      <c r="FD412" s="38"/>
      <c r="FE412" s="38"/>
      <c r="FF412" s="38"/>
      <c r="FG412" s="38"/>
      <c r="FH412" s="38"/>
      <c r="FI412" s="38"/>
      <c r="FJ412" s="38"/>
      <c r="FK412" s="38"/>
      <c r="FL412" s="38"/>
      <c r="FM412" s="38"/>
      <c r="FN412" s="38"/>
      <c r="FO412" s="38"/>
      <c r="FP412" s="38"/>
      <c r="FQ412" s="38"/>
      <c r="FR412" s="38"/>
      <c r="FS412" s="38"/>
      <c r="FT412" s="38"/>
      <c r="FU412" s="38"/>
      <c r="FV412" s="38"/>
      <c r="FW412" s="38"/>
      <c r="FX412" s="38"/>
      <c r="FY412" s="38"/>
      <c r="FZ412" s="38"/>
      <c r="GA412" s="38"/>
      <c r="GB412" s="38"/>
      <c r="GC412" s="38"/>
      <c r="GD412" s="38"/>
      <c r="GE412" s="38"/>
      <c r="GF412" s="38"/>
      <c r="GG412" s="38"/>
      <c r="GH412" s="38"/>
      <c r="GI412" s="38"/>
      <c r="GJ412" s="38"/>
      <c r="GK412" s="38"/>
      <c r="GL412" s="38"/>
      <c r="GM412" s="38"/>
      <c r="GN412" s="38"/>
      <c r="GO412" s="38"/>
      <c r="GP412" s="38"/>
      <c r="GQ412" s="38"/>
      <c r="GR412" s="38"/>
      <c r="GS412" s="38"/>
      <c r="GT412" s="38"/>
      <c r="GU412" s="38"/>
      <c r="GV412" s="38"/>
      <c r="GW412" s="38"/>
      <c r="GX412" s="38"/>
      <c r="GY412" s="38"/>
      <c r="GZ412" s="38"/>
      <c r="HA412" s="38"/>
      <c r="HB412" s="38"/>
      <c r="HC412" s="38"/>
      <c r="HD412" s="38"/>
      <c r="HE412" s="38"/>
      <c r="HF412" s="38"/>
      <c r="HG412" s="38"/>
      <c r="HH412" s="38"/>
      <c r="HI412" s="38"/>
      <c r="HJ412" s="38"/>
      <c r="HK412" s="38"/>
      <c r="HL412" s="38"/>
      <c r="HM412" s="38"/>
      <c r="HN412" s="38"/>
      <c r="HO412" s="38"/>
      <c r="HP412" s="38"/>
      <c r="HQ412" s="38"/>
      <c r="HR412" s="38"/>
      <c r="HS412" s="38"/>
      <c r="HT412" s="38"/>
      <c r="HU412" s="38"/>
      <c r="HV412" s="38"/>
      <c r="HW412" s="38"/>
      <c r="HX412" s="38"/>
      <c r="HY412" s="38"/>
      <c r="HZ412" s="38"/>
      <c r="IA412" s="38"/>
    </row>
    <row r="413" spans="1:16" ht="12.75" customHeight="1">
      <c r="A413" s="13" t="s">
        <v>152</v>
      </c>
      <c r="B413" s="9"/>
      <c r="C413" s="9"/>
      <c r="D413" s="10"/>
      <c r="E413" s="10"/>
      <c r="F413" s="10"/>
      <c r="G413" s="10"/>
      <c r="H413" s="10"/>
      <c r="I413" s="10"/>
      <c r="J413" s="10"/>
      <c r="K413" s="65"/>
      <c r="L413" s="10"/>
      <c r="M413" s="10"/>
      <c r="N413" s="10"/>
      <c r="O413" s="10"/>
      <c r="P413" s="10"/>
    </row>
    <row r="414" spans="1:16" ht="24" customHeight="1">
      <c r="A414" s="8" t="s">
        <v>151</v>
      </c>
      <c r="B414" s="11"/>
      <c r="C414" s="11"/>
      <c r="D414" s="43">
        <v>5400</v>
      </c>
      <c r="E414" s="43"/>
      <c r="F414" s="43">
        <f>D414</f>
        <v>5400</v>
      </c>
      <c r="G414" s="43">
        <v>5600</v>
      </c>
      <c r="H414" s="43"/>
      <c r="I414" s="43"/>
      <c r="J414" s="43">
        <f>G414</f>
        <v>5600</v>
      </c>
      <c r="K414" s="65"/>
      <c r="L414" s="65"/>
      <c r="M414" s="65"/>
      <c r="N414" s="43">
        <v>5600</v>
      </c>
      <c r="O414" s="43"/>
      <c r="P414" s="43">
        <f>N414</f>
        <v>5600</v>
      </c>
    </row>
    <row r="415" spans="1:16" ht="11.25">
      <c r="A415" s="13" t="s">
        <v>7</v>
      </c>
      <c r="B415" s="11"/>
      <c r="C415" s="11"/>
      <c r="D415" s="43"/>
      <c r="E415" s="43"/>
      <c r="F415" s="43"/>
      <c r="G415" s="43"/>
      <c r="H415" s="43"/>
      <c r="I415" s="43"/>
      <c r="J415" s="43"/>
      <c r="K415" s="65"/>
      <c r="L415" s="65"/>
      <c r="M415" s="65"/>
      <c r="N415" s="43"/>
      <c r="O415" s="43"/>
      <c r="P415" s="43"/>
    </row>
    <row r="416" spans="1:16" ht="24" customHeight="1">
      <c r="A416" s="11" t="s">
        <v>153</v>
      </c>
      <c r="B416" s="11"/>
      <c r="C416" s="11"/>
      <c r="D416" s="43">
        <v>12.037037037</v>
      </c>
      <c r="E416" s="43"/>
      <c r="F416" s="43">
        <f>D416</f>
        <v>12.037037037</v>
      </c>
      <c r="G416" s="43">
        <v>12.5</v>
      </c>
      <c r="H416" s="43"/>
      <c r="I416" s="43"/>
      <c r="J416" s="43">
        <f>G416</f>
        <v>12.5</v>
      </c>
      <c r="K416" s="65"/>
      <c r="L416" s="65"/>
      <c r="M416" s="65"/>
      <c r="N416" s="43">
        <v>13.3928571428</v>
      </c>
      <c r="O416" s="43"/>
      <c r="P416" s="43">
        <f>N416</f>
        <v>13.3928571428</v>
      </c>
    </row>
    <row r="417" spans="1:235" s="39" customFormat="1" ht="90">
      <c r="A417" s="67" t="s">
        <v>403</v>
      </c>
      <c r="B417" s="9"/>
      <c r="C417" s="9"/>
      <c r="D417" s="148">
        <f>D419*D426+D421*D428+D420*D427+D422*D429+D423*D430+D424*D431</f>
        <v>404000</v>
      </c>
      <c r="E417" s="10"/>
      <c r="F417" s="10">
        <f>F419*F426+F421*F428+F420*F427+F422*F429+F423*F430+F424*F431</f>
        <v>404000</v>
      </c>
      <c r="G417" s="10">
        <f>G419*G426+G421*G428+G420*G427+G422*G429+G423*G430+G424*G431</f>
        <v>108000</v>
      </c>
      <c r="H417" s="10"/>
      <c r="I417" s="10"/>
      <c r="J417" s="10">
        <f>G417</f>
        <v>108000</v>
      </c>
      <c r="K417" s="10"/>
      <c r="L417" s="10"/>
      <c r="M417" s="10"/>
      <c r="N417" s="10">
        <f>N421*N428+N419*N426</f>
        <v>65000</v>
      </c>
      <c r="O417" s="10"/>
      <c r="P417" s="10">
        <f>N417</f>
        <v>65000</v>
      </c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38"/>
      <c r="FJ417" s="38"/>
      <c r="FK417" s="38"/>
      <c r="FL417" s="38"/>
      <c r="FM417" s="38"/>
      <c r="FN417" s="38"/>
      <c r="FO417" s="38"/>
      <c r="FP417" s="38"/>
      <c r="FQ417" s="38"/>
      <c r="FR417" s="38"/>
      <c r="FS417" s="38"/>
      <c r="FT417" s="38"/>
      <c r="FU417" s="38"/>
      <c r="FV417" s="38"/>
      <c r="FW417" s="38"/>
      <c r="FX417" s="38"/>
      <c r="FY417" s="38"/>
      <c r="FZ417" s="38"/>
      <c r="GA417" s="38"/>
      <c r="GB417" s="38"/>
      <c r="GC417" s="38"/>
      <c r="GD417" s="38"/>
      <c r="GE417" s="38"/>
      <c r="GF417" s="38"/>
      <c r="GG417" s="38"/>
      <c r="GH417" s="38"/>
      <c r="GI417" s="38"/>
      <c r="GJ417" s="38"/>
      <c r="GK417" s="38"/>
      <c r="GL417" s="38"/>
      <c r="GM417" s="38"/>
      <c r="GN417" s="38"/>
      <c r="GO417" s="38"/>
      <c r="GP417" s="38"/>
      <c r="GQ417" s="38"/>
      <c r="GR417" s="38"/>
      <c r="GS417" s="38"/>
      <c r="GT417" s="38"/>
      <c r="GU417" s="38"/>
      <c r="GV417" s="38"/>
      <c r="GW417" s="38"/>
      <c r="GX417" s="38"/>
      <c r="GY417" s="38"/>
      <c r="GZ417" s="38"/>
      <c r="HA417" s="38"/>
      <c r="HB417" s="38"/>
      <c r="HC417" s="38"/>
      <c r="HD417" s="38"/>
      <c r="HE417" s="38"/>
      <c r="HF417" s="38"/>
      <c r="HG417" s="38"/>
      <c r="HH417" s="38"/>
      <c r="HI417" s="38"/>
      <c r="HJ417" s="38"/>
      <c r="HK417" s="38"/>
      <c r="HL417" s="38"/>
      <c r="HM417" s="38"/>
      <c r="HN417" s="38"/>
      <c r="HO417" s="38"/>
      <c r="HP417" s="38"/>
      <c r="HQ417" s="38"/>
      <c r="HR417" s="38"/>
      <c r="HS417" s="38"/>
      <c r="HT417" s="38"/>
      <c r="HU417" s="38"/>
      <c r="HV417" s="38"/>
      <c r="HW417" s="38"/>
      <c r="HX417" s="38"/>
      <c r="HY417" s="38"/>
      <c r="HZ417" s="38"/>
      <c r="IA417" s="38"/>
    </row>
    <row r="418" spans="1:16" ht="11.25">
      <c r="A418" s="13" t="s">
        <v>152</v>
      </c>
      <c r="B418" s="9"/>
      <c r="C418" s="9"/>
      <c r="D418" s="10"/>
      <c r="E418" s="10"/>
      <c r="F418" s="10"/>
      <c r="G418" s="10"/>
      <c r="H418" s="10"/>
      <c r="I418" s="10"/>
      <c r="J418" s="10"/>
      <c r="K418" s="65"/>
      <c r="L418" s="65"/>
      <c r="M418" s="65"/>
      <c r="N418" s="43"/>
      <c r="O418" s="43"/>
      <c r="P418" s="43"/>
    </row>
    <row r="419" spans="1:16" ht="33" customHeight="1">
      <c r="A419" s="8" t="s">
        <v>271</v>
      </c>
      <c r="B419" s="9"/>
      <c r="C419" s="9"/>
      <c r="D419" s="43">
        <v>5</v>
      </c>
      <c r="E419" s="10"/>
      <c r="F419" s="43">
        <f>D419+E419</f>
        <v>5</v>
      </c>
      <c r="G419" s="43">
        <v>5</v>
      </c>
      <c r="H419" s="10"/>
      <c r="I419" s="43"/>
      <c r="J419" s="43">
        <f>G419+H419</f>
        <v>5</v>
      </c>
      <c r="K419" s="65"/>
      <c r="L419" s="65"/>
      <c r="M419" s="65"/>
      <c r="N419" s="43">
        <v>5</v>
      </c>
      <c r="O419" s="43"/>
      <c r="P419" s="43">
        <f>N419</f>
        <v>5</v>
      </c>
    </row>
    <row r="420" spans="1:16" ht="26.25" customHeight="1">
      <c r="A420" s="8" t="s">
        <v>276</v>
      </c>
      <c r="B420" s="9"/>
      <c r="C420" s="9"/>
      <c r="D420" s="43">
        <v>1</v>
      </c>
      <c r="E420" s="10"/>
      <c r="F420" s="43">
        <v>1</v>
      </c>
      <c r="G420" s="43"/>
      <c r="H420" s="10"/>
      <c r="I420" s="43"/>
      <c r="J420" s="43"/>
      <c r="K420" s="65"/>
      <c r="L420" s="65"/>
      <c r="M420" s="65"/>
      <c r="N420" s="43"/>
      <c r="O420" s="43"/>
      <c r="P420" s="43"/>
    </row>
    <row r="421" spans="1:16" ht="39" customHeight="1">
      <c r="A421" s="8" t="s">
        <v>228</v>
      </c>
      <c r="B421" s="11"/>
      <c r="C421" s="11"/>
      <c r="D421" s="43">
        <v>12</v>
      </c>
      <c r="E421" s="43"/>
      <c r="F421" s="43">
        <f>D421+E421</f>
        <v>12</v>
      </c>
      <c r="G421" s="43">
        <v>12</v>
      </c>
      <c r="H421" s="43"/>
      <c r="I421" s="43"/>
      <c r="J421" s="43">
        <f>G421+H421</f>
        <v>12</v>
      </c>
      <c r="K421" s="65"/>
      <c r="L421" s="65"/>
      <c r="M421" s="65"/>
      <c r="N421" s="43">
        <v>12</v>
      </c>
      <c r="O421" s="43"/>
      <c r="P421" s="43">
        <f>N421</f>
        <v>12</v>
      </c>
    </row>
    <row r="422" spans="1:16" ht="27.75" customHeight="1">
      <c r="A422" s="71" t="s">
        <v>329</v>
      </c>
      <c r="B422" s="11"/>
      <c r="C422" s="11"/>
      <c r="D422" s="43">
        <v>1</v>
      </c>
      <c r="E422" s="43"/>
      <c r="F422" s="43">
        <f>D422+E422</f>
        <v>1</v>
      </c>
      <c r="G422" s="43"/>
      <c r="H422" s="43"/>
      <c r="I422" s="43"/>
      <c r="J422" s="43"/>
      <c r="K422" s="65"/>
      <c r="L422" s="65"/>
      <c r="M422" s="65"/>
      <c r="N422" s="43"/>
      <c r="O422" s="43"/>
      <c r="P422" s="43"/>
    </row>
    <row r="423" spans="1:16" ht="30" customHeight="1">
      <c r="A423" s="71" t="s">
        <v>331</v>
      </c>
      <c r="B423" s="11"/>
      <c r="C423" s="11"/>
      <c r="D423" s="43">
        <v>1</v>
      </c>
      <c r="E423" s="43"/>
      <c r="F423" s="43">
        <f>D423+E423</f>
        <v>1</v>
      </c>
      <c r="G423" s="43"/>
      <c r="H423" s="43"/>
      <c r="I423" s="43"/>
      <c r="J423" s="43"/>
      <c r="K423" s="65"/>
      <c r="L423" s="65"/>
      <c r="M423" s="65"/>
      <c r="N423" s="43"/>
      <c r="O423" s="43"/>
      <c r="P423" s="43"/>
    </row>
    <row r="424" spans="1:16" ht="21.75" customHeight="1">
      <c r="A424" s="146" t="s">
        <v>365</v>
      </c>
      <c r="B424" s="11"/>
      <c r="C424" s="11"/>
      <c r="D424" s="43">
        <v>4</v>
      </c>
      <c r="E424" s="43"/>
      <c r="F424" s="43">
        <f>D424+E424</f>
        <v>4</v>
      </c>
      <c r="G424" s="43">
        <v>6</v>
      </c>
      <c r="H424" s="43"/>
      <c r="I424" s="43"/>
      <c r="J424" s="43">
        <v>6</v>
      </c>
      <c r="K424" s="65"/>
      <c r="L424" s="65"/>
      <c r="M424" s="65"/>
      <c r="N424" s="43"/>
      <c r="O424" s="43"/>
      <c r="P424" s="43"/>
    </row>
    <row r="425" spans="1:16" ht="11.25">
      <c r="A425" s="13" t="s">
        <v>7</v>
      </c>
      <c r="B425" s="11"/>
      <c r="C425" s="11"/>
      <c r="D425" s="43"/>
      <c r="E425" s="43"/>
      <c r="F425" s="43"/>
      <c r="G425" s="43"/>
      <c r="H425" s="43"/>
      <c r="I425" s="43"/>
      <c r="J425" s="43"/>
      <c r="K425" s="65"/>
      <c r="L425" s="65"/>
      <c r="M425" s="65"/>
      <c r="N425" s="43"/>
      <c r="O425" s="43"/>
      <c r="P425" s="43"/>
    </row>
    <row r="426" spans="1:16" ht="22.5">
      <c r="A426" s="11" t="s">
        <v>270</v>
      </c>
      <c r="B426" s="11"/>
      <c r="C426" s="11"/>
      <c r="D426" s="43">
        <v>8400</v>
      </c>
      <c r="E426" s="43"/>
      <c r="F426" s="43">
        <f>D426+E426</f>
        <v>8400</v>
      </c>
      <c r="G426" s="43">
        <v>9000</v>
      </c>
      <c r="H426" s="43"/>
      <c r="I426" s="43"/>
      <c r="J426" s="43">
        <f>G426+H426</f>
        <v>9000</v>
      </c>
      <c r="K426" s="65"/>
      <c r="L426" s="65"/>
      <c r="M426" s="65"/>
      <c r="N426" s="43">
        <v>10000</v>
      </c>
      <c r="O426" s="43"/>
      <c r="P426" s="43">
        <f>N426</f>
        <v>10000</v>
      </c>
    </row>
    <row r="427" spans="1:16" ht="22.5">
      <c r="A427" s="11" t="s">
        <v>275</v>
      </c>
      <c r="B427" s="11"/>
      <c r="C427" s="11"/>
      <c r="D427" s="43">
        <v>167000</v>
      </c>
      <c r="E427" s="43"/>
      <c r="F427" s="43">
        <f>D427+E427</f>
        <v>167000</v>
      </c>
      <c r="G427" s="43"/>
      <c r="H427" s="43"/>
      <c r="I427" s="43"/>
      <c r="J427" s="43"/>
      <c r="K427" s="65"/>
      <c r="L427" s="65"/>
      <c r="M427" s="65"/>
      <c r="N427" s="43"/>
      <c r="O427" s="43"/>
      <c r="P427" s="43"/>
    </row>
    <row r="428" spans="1:16" ht="33.75" customHeight="1">
      <c r="A428" s="11" t="s">
        <v>175</v>
      </c>
      <c r="B428" s="11"/>
      <c r="C428" s="11"/>
      <c r="D428" s="43">
        <f>10000/12</f>
        <v>833.3333333333334</v>
      </c>
      <c r="E428" s="43"/>
      <c r="F428" s="43">
        <f>D428+E428</f>
        <v>833.3333333333334</v>
      </c>
      <c r="G428" s="43">
        <f>12000/12</f>
        <v>1000</v>
      </c>
      <c r="H428" s="43"/>
      <c r="I428" s="43"/>
      <c r="J428" s="43">
        <f>G428+H428</f>
        <v>1000</v>
      </c>
      <c r="K428" s="65"/>
      <c r="L428" s="65"/>
      <c r="M428" s="65"/>
      <c r="N428" s="43">
        <f>15000/12</f>
        <v>1250</v>
      </c>
      <c r="O428" s="43"/>
      <c r="P428" s="43">
        <f>N428</f>
        <v>1250</v>
      </c>
    </row>
    <row r="429" spans="1:16" ht="30.75" customHeight="1">
      <c r="A429" s="11" t="s">
        <v>330</v>
      </c>
      <c r="B429" s="20"/>
      <c r="C429" s="20"/>
      <c r="D429" s="43">
        <v>150000</v>
      </c>
      <c r="E429" s="44"/>
      <c r="F429" s="44">
        <v>150000</v>
      </c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30.75" customHeight="1">
      <c r="A430" s="11" t="s">
        <v>332</v>
      </c>
      <c r="B430" s="20"/>
      <c r="C430" s="20"/>
      <c r="D430" s="44">
        <v>1000</v>
      </c>
      <c r="E430" s="44"/>
      <c r="F430" s="44">
        <v>1000</v>
      </c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21.75" customHeight="1">
      <c r="A431" s="147" t="s">
        <v>366</v>
      </c>
      <c r="B431" s="20"/>
      <c r="C431" s="20"/>
      <c r="D431" s="44">
        <v>8500</v>
      </c>
      <c r="E431" s="44"/>
      <c r="F431" s="44">
        <v>8500</v>
      </c>
      <c r="G431" s="44">
        <v>8500</v>
      </c>
      <c r="H431" s="44"/>
      <c r="I431" s="44"/>
      <c r="J431" s="44">
        <v>8500</v>
      </c>
      <c r="K431" s="44"/>
      <c r="L431" s="44"/>
      <c r="M431" s="44"/>
      <c r="N431" s="44"/>
      <c r="O431" s="44"/>
      <c r="P431" s="44"/>
    </row>
    <row r="432" spans="1:16" ht="21.75" customHeight="1">
      <c r="A432" s="153" t="s">
        <v>374</v>
      </c>
      <c r="B432" s="20"/>
      <c r="C432" s="20"/>
      <c r="D432" s="57">
        <f>D434</f>
        <v>150000</v>
      </c>
      <c r="E432" s="57"/>
      <c r="F432" s="57">
        <f>F434</f>
        <v>150000</v>
      </c>
      <c r="G432" s="57">
        <f>G434</f>
        <v>100000</v>
      </c>
      <c r="H432" s="57"/>
      <c r="I432" s="57">
        <f>I434</f>
        <v>0</v>
      </c>
      <c r="J432" s="57">
        <f>J434</f>
        <v>100000</v>
      </c>
      <c r="K432" s="44"/>
      <c r="L432" s="44"/>
      <c r="M432" s="44"/>
      <c r="N432" s="44"/>
      <c r="O432" s="44"/>
      <c r="P432" s="44"/>
    </row>
    <row r="433" spans="1:16" ht="21.75" customHeight="1">
      <c r="A433" s="149" t="s">
        <v>370</v>
      </c>
      <c r="B433" s="20"/>
      <c r="C433" s="20"/>
      <c r="D433" s="57"/>
      <c r="E433" s="57"/>
      <c r="F433" s="57"/>
      <c r="G433" s="57"/>
      <c r="H433" s="57"/>
      <c r="I433" s="57"/>
      <c r="J433" s="57"/>
      <c r="K433" s="44"/>
      <c r="L433" s="44"/>
      <c r="M433" s="44"/>
      <c r="N433" s="44"/>
      <c r="O433" s="44"/>
      <c r="P433" s="44"/>
    </row>
    <row r="434" spans="1:16" ht="21.75" customHeight="1">
      <c r="A434" s="150" t="s">
        <v>404</v>
      </c>
      <c r="B434" s="20"/>
      <c r="C434" s="20"/>
      <c r="D434" s="57">
        <f>D436</f>
        <v>150000</v>
      </c>
      <c r="E434" s="57"/>
      <c r="F434" s="57">
        <f>F436</f>
        <v>150000</v>
      </c>
      <c r="G434" s="57">
        <f>G436</f>
        <v>100000</v>
      </c>
      <c r="H434" s="57"/>
      <c r="I434" s="57">
        <f>I436</f>
        <v>0</v>
      </c>
      <c r="J434" s="57">
        <f>J436</f>
        <v>100000</v>
      </c>
      <c r="K434" s="44"/>
      <c r="L434" s="44"/>
      <c r="M434" s="44"/>
      <c r="N434" s="44"/>
      <c r="O434" s="44"/>
      <c r="P434" s="44"/>
    </row>
    <row r="435" spans="1:16" ht="21.75" customHeight="1">
      <c r="A435" s="151" t="s">
        <v>4</v>
      </c>
      <c r="B435" s="20"/>
      <c r="C435" s="20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21.75" customHeight="1">
      <c r="A436" s="149" t="s">
        <v>371</v>
      </c>
      <c r="B436" s="20"/>
      <c r="C436" s="20"/>
      <c r="D436" s="44">
        <f>D438*D440</f>
        <v>150000</v>
      </c>
      <c r="E436" s="44"/>
      <c r="F436" s="44">
        <f>F438*F440</f>
        <v>150000</v>
      </c>
      <c r="G436" s="44">
        <f>G438*G440</f>
        <v>100000</v>
      </c>
      <c r="H436" s="44"/>
      <c r="I436" s="44">
        <f>I438*I440</f>
        <v>0</v>
      </c>
      <c r="J436" s="44">
        <f>J438*J440</f>
        <v>100000</v>
      </c>
      <c r="K436" s="44"/>
      <c r="L436" s="44"/>
      <c r="M436" s="44"/>
      <c r="N436" s="44"/>
      <c r="O436" s="44"/>
      <c r="P436" s="44"/>
    </row>
    <row r="437" spans="1:16" ht="21.75" customHeight="1">
      <c r="A437" s="151" t="s">
        <v>5</v>
      </c>
      <c r="B437" s="20"/>
      <c r="C437" s="20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21.75" customHeight="1">
      <c r="A438" s="149" t="s">
        <v>372</v>
      </c>
      <c r="B438" s="20"/>
      <c r="C438" s="20"/>
      <c r="D438" s="44">
        <v>1</v>
      </c>
      <c r="E438" s="44"/>
      <c r="F438" s="44">
        <v>1</v>
      </c>
      <c r="G438" s="44">
        <v>2</v>
      </c>
      <c r="H438" s="44"/>
      <c r="I438" s="44"/>
      <c r="J438" s="44">
        <v>2</v>
      </c>
      <c r="K438" s="44"/>
      <c r="L438" s="44"/>
      <c r="M438" s="44"/>
      <c r="N438" s="44"/>
      <c r="O438" s="44"/>
      <c r="P438" s="44"/>
    </row>
    <row r="439" spans="1:16" ht="21.75" customHeight="1">
      <c r="A439" s="151" t="s">
        <v>7</v>
      </c>
      <c r="B439" s="20"/>
      <c r="C439" s="20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ht="21.75" customHeight="1">
      <c r="A440" s="152" t="s">
        <v>373</v>
      </c>
      <c r="B440" s="20"/>
      <c r="C440" s="20"/>
      <c r="D440" s="44">
        <v>150000</v>
      </c>
      <c r="E440" s="44"/>
      <c r="F440" s="44">
        <v>150000</v>
      </c>
      <c r="G440" s="44">
        <v>50000</v>
      </c>
      <c r="H440" s="44"/>
      <c r="I440" s="44"/>
      <c r="J440" s="44">
        <v>50000</v>
      </c>
      <c r="K440" s="44"/>
      <c r="L440" s="44"/>
      <c r="M440" s="44"/>
      <c r="N440" s="44"/>
      <c r="O440" s="44"/>
      <c r="P440" s="44"/>
    </row>
    <row r="441" spans="1:16" ht="16.5" customHeight="1">
      <c r="A441" s="37" t="s">
        <v>252</v>
      </c>
      <c r="B441" s="37"/>
      <c r="C441" s="37"/>
      <c r="D441" s="30">
        <f>D442</f>
        <v>8624700</v>
      </c>
      <c r="E441" s="30">
        <f>E442</f>
        <v>13705000</v>
      </c>
      <c r="F441" s="30">
        <f>F442</f>
        <v>22329700</v>
      </c>
      <c r="G441" s="30">
        <f>G442</f>
        <v>1600000</v>
      </c>
      <c r="H441" s="30"/>
      <c r="I441" s="30">
        <f>I442</f>
        <v>0</v>
      </c>
      <c r="J441" s="30">
        <f>G441</f>
        <v>1600000</v>
      </c>
      <c r="K441" s="30" t="e">
        <f>#REF!+K442</f>
        <v>#REF!</v>
      </c>
      <c r="L441" s="30" t="e">
        <f>#REF!+L442</f>
        <v>#REF!</v>
      </c>
      <c r="M441" s="30" t="e">
        <f>#REF!+M442</f>
        <v>#REF!</v>
      </c>
      <c r="N441" s="30">
        <f>N442</f>
        <v>1650000</v>
      </c>
      <c r="O441" s="30">
        <f>O442</f>
        <v>0</v>
      </c>
      <c r="P441" s="30">
        <f>N441</f>
        <v>1650000</v>
      </c>
    </row>
    <row r="442" spans="1:235" s="39" customFormat="1" ht="21.75" customHeight="1">
      <c r="A442" s="34" t="s">
        <v>405</v>
      </c>
      <c r="B442" s="35"/>
      <c r="C442" s="35"/>
      <c r="D442" s="36">
        <f>D444</f>
        <v>8624700</v>
      </c>
      <c r="E442" s="36">
        <f>SUM(E445)</f>
        <v>13705000</v>
      </c>
      <c r="F442" s="36">
        <f>D442+E442</f>
        <v>22329700</v>
      </c>
      <c r="G442" s="36">
        <f>G444</f>
        <v>1600000</v>
      </c>
      <c r="H442" s="36"/>
      <c r="I442" s="36">
        <f>I444</f>
        <v>0</v>
      </c>
      <c r="J442" s="36">
        <f>G442</f>
        <v>1600000</v>
      </c>
      <c r="K442" s="36"/>
      <c r="L442" s="36"/>
      <c r="M442" s="36"/>
      <c r="N442" s="36">
        <f>N444</f>
        <v>1650000</v>
      </c>
      <c r="O442" s="36">
        <f>O444</f>
        <v>0</v>
      </c>
      <c r="P442" s="36">
        <f>N442</f>
        <v>1650000</v>
      </c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ET442" s="38"/>
      <c r="EU442" s="38"/>
      <c r="EV442" s="38"/>
      <c r="EW442" s="38"/>
      <c r="EX442" s="38"/>
      <c r="EY442" s="38"/>
      <c r="EZ442" s="38"/>
      <c r="FA442" s="38"/>
      <c r="FB442" s="38"/>
      <c r="FC442" s="38"/>
      <c r="FD442" s="38"/>
      <c r="FE442" s="38"/>
      <c r="FF442" s="38"/>
      <c r="FG442" s="38"/>
      <c r="FH442" s="38"/>
      <c r="FI442" s="38"/>
      <c r="FJ442" s="38"/>
      <c r="FK442" s="38"/>
      <c r="FL442" s="38"/>
      <c r="FM442" s="38"/>
      <c r="FN442" s="38"/>
      <c r="FO442" s="38"/>
      <c r="FP442" s="38"/>
      <c r="FQ442" s="38"/>
      <c r="FR442" s="38"/>
      <c r="FS442" s="38"/>
      <c r="FT442" s="38"/>
      <c r="FU442" s="38"/>
      <c r="FV442" s="38"/>
      <c r="FW442" s="38"/>
      <c r="FX442" s="38"/>
      <c r="FY442" s="38"/>
      <c r="FZ442" s="38"/>
      <c r="GA442" s="38"/>
      <c r="GB442" s="38"/>
      <c r="GC442" s="38"/>
      <c r="GD442" s="38"/>
      <c r="GE442" s="38"/>
      <c r="GF442" s="38"/>
      <c r="GG442" s="38"/>
      <c r="GH442" s="38"/>
      <c r="GI442" s="38"/>
      <c r="GJ442" s="38"/>
      <c r="GK442" s="38"/>
      <c r="GL442" s="38"/>
      <c r="GM442" s="38"/>
      <c r="GN442" s="38"/>
      <c r="GO442" s="38"/>
      <c r="GP442" s="38"/>
      <c r="GQ442" s="38"/>
      <c r="GR442" s="38"/>
      <c r="GS442" s="38"/>
      <c r="GT442" s="38"/>
      <c r="GU442" s="38"/>
      <c r="GV442" s="38"/>
      <c r="GW442" s="38"/>
      <c r="GX442" s="38"/>
      <c r="GY442" s="38"/>
      <c r="GZ442" s="38"/>
      <c r="HA442" s="38"/>
      <c r="HB442" s="38"/>
      <c r="HC442" s="38"/>
      <c r="HD442" s="38"/>
      <c r="HE442" s="38"/>
      <c r="HF442" s="38"/>
      <c r="HG442" s="38"/>
      <c r="HH442" s="38"/>
      <c r="HI442" s="38"/>
      <c r="HJ442" s="38"/>
      <c r="HK442" s="38"/>
      <c r="HL442" s="38"/>
      <c r="HM442" s="38"/>
      <c r="HN442" s="38"/>
      <c r="HO442" s="38"/>
      <c r="HP442" s="38"/>
      <c r="HQ442" s="38"/>
      <c r="HR442" s="38"/>
      <c r="HS442" s="38"/>
      <c r="HT442" s="38"/>
      <c r="HU442" s="38"/>
      <c r="HV442" s="38"/>
      <c r="HW442" s="38"/>
      <c r="HX442" s="38"/>
      <c r="HY442" s="38"/>
      <c r="HZ442" s="38"/>
      <c r="IA442" s="38"/>
    </row>
    <row r="443" spans="1:16" ht="11.25">
      <c r="A443" s="5" t="s">
        <v>4</v>
      </c>
      <c r="B443" s="6"/>
      <c r="C443" s="6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35.25" customHeight="1">
      <c r="A444" s="8" t="s">
        <v>253</v>
      </c>
      <c r="B444" s="6"/>
      <c r="C444" s="6"/>
      <c r="D444" s="7">
        <f>8124700+500000</f>
        <v>8624700</v>
      </c>
      <c r="E444" s="7"/>
      <c r="F444" s="7">
        <f>D444</f>
        <v>8624700</v>
      </c>
      <c r="G444" s="7">
        <f>G447*G449</f>
        <v>1600000</v>
      </c>
      <c r="H444" s="7"/>
      <c r="I444" s="7"/>
      <c r="J444" s="7">
        <f>G444+H444</f>
        <v>1600000</v>
      </c>
      <c r="K444" s="7"/>
      <c r="L444" s="7"/>
      <c r="M444" s="7"/>
      <c r="N444" s="7">
        <f>N447*N449</f>
        <v>1650000</v>
      </c>
      <c r="O444" s="7"/>
      <c r="P444" s="7">
        <f>N444</f>
        <v>1650000</v>
      </c>
    </row>
    <row r="445" spans="1:16" ht="164.25" customHeight="1">
      <c r="A445" s="8" t="s">
        <v>333</v>
      </c>
      <c r="B445" s="6"/>
      <c r="C445" s="6"/>
      <c r="D445" s="7"/>
      <c r="E445" s="7">
        <v>13705000</v>
      </c>
      <c r="F445" s="7">
        <f>D445+E445</f>
        <v>13705000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1.25">
      <c r="A446" s="5" t="s">
        <v>5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39.75" customHeight="1">
      <c r="A447" s="8" t="s">
        <v>254</v>
      </c>
      <c r="B447" s="6"/>
      <c r="C447" s="6"/>
      <c r="D447" s="7">
        <v>2</v>
      </c>
      <c r="E447" s="7"/>
      <c r="F447" s="7">
        <f>D447</f>
        <v>2</v>
      </c>
      <c r="G447" s="7">
        <v>1</v>
      </c>
      <c r="H447" s="7"/>
      <c r="I447" s="7"/>
      <c r="J447" s="7">
        <f>G447+H447</f>
        <v>1</v>
      </c>
      <c r="K447" s="7"/>
      <c r="L447" s="7"/>
      <c r="M447" s="7"/>
      <c r="N447" s="7">
        <v>1</v>
      </c>
      <c r="O447" s="7"/>
      <c r="P447" s="7">
        <f>N447</f>
        <v>1</v>
      </c>
    </row>
    <row r="448" spans="1:16" ht="11.25">
      <c r="A448" s="5" t="s">
        <v>7</v>
      </c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40.5" customHeight="1">
      <c r="A449" s="8" t="s">
        <v>255</v>
      </c>
      <c r="B449" s="6"/>
      <c r="C449" s="6"/>
      <c r="D449" s="7">
        <v>3812350</v>
      </c>
      <c r="E449" s="7"/>
      <c r="F449" s="7">
        <f>F444/F447</f>
        <v>4312350</v>
      </c>
      <c r="G449" s="7">
        <v>1600000</v>
      </c>
      <c r="H449" s="7"/>
      <c r="I449" s="7"/>
      <c r="J449" s="7">
        <f>G449+H449</f>
        <v>1600000</v>
      </c>
      <c r="K449" s="7"/>
      <c r="L449" s="7"/>
      <c r="M449" s="7"/>
      <c r="N449" s="7">
        <v>1650000</v>
      </c>
      <c r="O449" s="7"/>
      <c r="P449" s="7">
        <f>P444/P447</f>
        <v>1650000</v>
      </c>
    </row>
    <row r="450" spans="1:17" ht="15" customHeight="1">
      <c r="A450" s="37" t="s">
        <v>258</v>
      </c>
      <c r="B450" s="6"/>
      <c r="C450" s="6"/>
      <c r="D450" s="36">
        <f>D452+D463+D470+D479+D486+D497+D504+D511+D518</f>
        <v>22123399.999999568</v>
      </c>
      <c r="E450" s="36">
        <f>E452+E463+E470+E479+E486+E497+E504+E511+E518</f>
        <v>1370000</v>
      </c>
      <c r="F450" s="36">
        <f>F452+F463+F470+F479+F486+F497+F504+F511+F518</f>
        <v>23493399.999999568</v>
      </c>
      <c r="G450" s="36">
        <f>G452+G463+G470+G479+G486+G497+G525+G532</f>
        <v>40980000.4</v>
      </c>
      <c r="H450" s="36">
        <f aca="true" t="shared" si="58" ref="H450:Q450">H452+H463+H470+H479+H486+H497</f>
        <v>1300000</v>
      </c>
      <c r="I450" s="36">
        <f t="shared" si="58"/>
        <v>0</v>
      </c>
      <c r="J450" s="36">
        <f>J452+J463+J470+J479+J486+J497+J525+J532</f>
        <v>42280000.4</v>
      </c>
      <c r="K450" s="36">
        <f t="shared" si="58"/>
        <v>0</v>
      </c>
      <c r="L450" s="36">
        <f t="shared" si="58"/>
        <v>0</v>
      </c>
      <c r="M450" s="36">
        <f t="shared" si="58"/>
        <v>0</v>
      </c>
      <c r="N450" s="36">
        <f t="shared" si="58"/>
        <v>7650000.00205</v>
      </c>
      <c r="O450" s="36">
        <f t="shared" si="58"/>
        <v>2000000</v>
      </c>
      <c r="P450" s="36">
        <f t="shared" si="58"/>
        <v>9650000.002050001</v>
      </c>
      <c r="Q450" s="36">
        <f t="shared" si="58"/>
        <v>0</v>
      </c>
    </row>
    <row r="451" spans="1:16" ht="23.25" customHeight="1">
      <c r="A451" s="8" t="s">
        <v>133</v>
      </c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235" s="39" customFormat="1" ht="55.5" customHeight="1">
      <c r="A452" s="34" t="s">
        <v>406</v>
      </c>
      <c r="B452" s="35"/>
      <c r="C452" s="35"/>
      <c r="D452" s="36">
        <f>SUM(D453)+D460</f>
        <v>19868000</v>
      </c>
      <c r="E452" s="36"/>
      <c r="F452" s="36">
        <f>SUM(F453)+F460</f>
        <v>19868000</v>
      </c>
      <c r="G452" s="36">
        <f>SUM(G453)+G460</f>
        <v>14500000</v>
      </c>
      <c r="H452" s="36"/>
      <c r="I452" s="36">
        <f aca="true" t="shared" si="59" ref="I452:N452">SUM(I453)+I460</f>
        <v>0</v>
      </c>
      <c r="J452" s="36">
        <f t="shared" si="59"/>
        <v>14500000</v>
      </c>
      <c r="K452" s="36">
        <f t="shared" si="59"/>
        <v>0</v>
      </c>
      <c r="L452" s="36">
        <f t="shared" si="59"/>
        <v>0</v>
      </c>
      <c r="M452" s="36">
        <f t="shared" si="59"/>
        <v>0</v>
      </c>
      <c r="N452" s="36">
        <f t="shared" si="59"/>
        <v>7000000</v>
      </c>
      <c r="O452" s="36"/>
      <c r="P452" s="36">
        <f>SUM(P453)+P460</f>
        <v>7000000</v>
      </c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ET452" s="38"/>
      <c r="EU452" s="38"/>
      <c r="EV452" s="38"/>
      <c r="EW452" s="38"/>
      <c r="EX452" s="38"/>
      <c r="EY452" s="38"/>
      <c r="EZ452" s="38"/>
      <c r="FA452" s="38"/>
      <c r="FB452" s="38"/>
      <c r="FC452" s="38"/>
      <c r="FD452" s="38"/>
      <c r="FE452" s="38"/>
      <c r="FF452" s="38"/>
      <c r="FG452" s="38"/>
      <c r="FH452" s="38"/>
      <c r="FI452" s="38"/>
      <c r="FJ452" s="38"/>
      <c r="FK452" s="38"/>
      <c r="FL452" s="38"/>
      <c r="FM452" s="38"/>
      <c r="FN452" s="38"/>
      <c r="FO452" s="38"/>
      <c r="FP452" s="38"/>
      <c r="FQ452" s="38"/>
      <c r="FR452" s="38"/>
      <c r="FS452" s="38"/>
      <c r="FT452" s="38"/>
      <c r="FU452" s="38"/>
      <c r="FV452" s="38"/>
      <c r="FW452" s="38"/>
      <c r="FX452" s="38"/>
      <c r="FY452" s="38"/>
      <c r="FZ452" s="38"/>
      <c r="GA452" s="38"/>
      <c r="GB452" s="38"/>
      <c r="GC452" s="38"/>
      <c r="GD452" s="38"/>
      <c r="GE452" s="38"/>
      <c r="GF452" s="38"/>
      <c r="GG452" s="38"/>
      <c r="GH452" s="38"/>
      <c r="GI452" s="38"/>
      <c r="GJ452" s="38"/>
      <c r="GK452" s="38"/>
      <c r="GL452" s="38"/>
      <c r="GM452" s="38"/>
      <c r="GN452" s="38"/>
      <c r="GO452" s="38"/>
      <c r="GP452" s="38"/>
      <c r="GQ452" s="38"/>
      <c r="GR452" s="38"/>
      <c r="GS452" s="38"/>
      <c r="GT452" s="38"/>
      <c r="GU452" s="38"/>
      <c r="GV452" s="38"/>
      <c r="GW452" s="38"/>
      <c r="GX452" s="38"/>
      <c r="GY452" s="38"/>
      <c r="GZ452" s="38"/>
      <c r="HA452" s="38"/>
      <c r="HB452" s="38"/>
      <c r="HC452" s="38"/>
      <c r="HD452" s="38"/>
      <c r="HE452" s="38"/>
      <c r="HF452" s="38"/>
      <c r="HG452" s="38"/>
      <c r="HH452" s="38"/>
      <c r="HI452" s="38"/>
      <c r="HJ452" s="38"/>
      <c r="HK452" s="38"/>
      <c r="HL452" s="38"/>
      <c r="HM452" s="38"/>
      <c r="HN452" s="38"/>
      <c r="HO452" s="38"/>
      <c r="HP452" s="38"/>
      <c r="HQ452" s="38"/>
      <c r="HR452" s="38"/>
      <c r="HS452" s="38"/>
      <c r="HT452" s="38"/>
      <c r="HU452" s="38"/>
      <c r="HV452" s="38"/>
      <c r="HW452" s="38"/>
      <c r="HX452" s="38"/>
      <c r="HY452" s="38"/>
      <c r="HZ452" s="38"/>
      <c r="IA452" s="38"/>
    </row>
    <row r="453" spans="1:235" s="39" customFormat="1" ht="39.75" customHeight="1">
      <c r="A453" s="34" t="s">
        <v>407</v>
      </c>
      <c r="B453" s="35"/>
      <c r="C453" s="35"/>
      <c r="D453" s="36">
        <f>SUM(D455)</f>
        <v>5868000</v>
      </c>
      <c r="E453" s="36"/>
      <c r="F453" s="36">
        <f>SUM(D453)</f>
        <v>5868000</v>
      </c>
      <c r="G453" s="36">
        <f>SUM(G455)</f>
        <v>10500000</v>
      </c>
      <c r="H453" s="36"/>
      <c r="I453" s="36"/>
      <c r="J453" s="36">
        <f>SUM(J455)</f>
        <v>10500000</v>
      </c>
      <c r="K453" s="36"/>
      <c r="L453" s="36"/>
      <c r="M453" s="36"/>
      <c r="N453" s="36">
        <f>SUM(N455)</f>
        <v>7000000</v>
      </c>
      <c r="O453" s="36"/>
      <c r="P453" s="36">
        <f>P455</f>
        <v>7000000</v>
      </c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  <c r="DL453" s="38"/>
      <c r="DM453" s="38"/>
      <c r="DN453" s="38"/>
      <c r="DO453" s="38"/>
      <c r="DP453" s="38"/>
      <c r="DQ453" s="38"/>
      <c r="DR453" s="38"/>
      <c r="DS453" s="38"/>
      <c r="DT453" s="38"/>
      <c r="DU453" s="38"/>
      <c r="DV453" s="38"/>
      <c r="DW453" s="38"/>
      <c r="DX453" s="38"/>
      <c r="DY453" s="38"/>
      <c r="DZ453" s="38"/>
      <c r="EA453" s="38"/>
      <c r="EB453" s="38"/>
      <c r="EC453" s="38"/>
      <c r="ED453" s="38"/>
      <c r="EE453" s="38"/>
      <c r="EF453" s="38"/>
      <c r="EG453" s="38"/>
      <c r="EH453" s="38"/>
      <c r="EI453" s="38"/>
      <c r="EJ453" s="38"/>
      <c r="EK453" s="38"/>
      <c r="EL453" s="38"/>
      <c r="EM453" s="38"/>
      <c r="EN453" s="38"/>
      <c r="EO453" s="38"/>
      <c r="EP453" s="38"/>
      <c r="EQ453" s="38"/>
      <c r="ER453" s="38"/>
      <c r="ES453" s="38"/>
      <c r="ET453" s="38"/>
      <c r="EU453" s="38"/>
      <c r="EV453" s="38"/>
      <c r="EW453" s="38"/>
      <c r="EX453" s="38"/>
      <c r="EY453" s="38"/>
      <c r="EZ453" s="38"/>
      <c r="FA453" s="38"/>
      <c r="FB453" s="38"/>
      <c r="FC453" s="38"/>
      <c r="FD453" s="38"/>
      <c r="FE453" s="38"/>
      <c r="FF453" s="38"/>
      <c r="FG453" s="38"/>
      <c r="FH453" s="38"/>
      <c r="FI453" s="38"/>
      <c r="FJ453" s="38"/>
      <c r="FK453" s="38"/>
      <c r="FL453" s="38"/>
      <c r="FM453" s="38"/>
      <c r="FN453" s="38"/>
      <c r="FO453" s="38"/>
      <c r="FP453" s="38"/>
      <c r="FQ453" s="38"/>
      <c r="FR453" s="38"/>
      <c r="FS453" s="38"/>
      <c r="FT453" s="38"/>
      <c r="FU453" s="38"/>
      <c r="FV453" s="38"/>
      <c r="FW453" s="38"/>
      <c r="FX453" s="38"/>
      <c r="FY453" s="38"/>
      <c r="FZ453" s="38"/>
      <c r="GA453" s="38"/>
      <c r="GB453" s="38"/>
      <c r="GC453" s="38"/>
      <c r="GD453" s="38"/>
      <c r="GE453" s="38"/>
      <c r="GF453" s="38"/>
      <c r="GG453" s="38"/>
      <c r="GH453" s="38"/>
      <c r="GI453" s="38"/>
      <c r="GJ453" s="38"/>
      <c r="GK453" s="38"/>
      <c r="GL453" s="38"/>
      <c r="GM453" s="38"/>
      <c r="GN453" s="38"/>
      <c r="GO453" s="38"/>
      <c r="GP453" s="38"/>
      <c r="GQ453" s="38"/>
      <c r="GR453" s="38"/>
      <c r="GS453" s="38"/>
      <c r="GT453" s="38"/>
      <c r="GU453" s="38"/>
      <c r="GV453" s="38"/>
      <c r="GW453" s="38"/>
      <c r="GX453" s="38"/>
      <c r="GY453" s="38"/>
      <c r="GZ453" s="38"/>
      <c r="HA453" s="38"/>
      <c r="HB453" s="38"/>
      <c r="HC453" s="38"/>
      <c r="HD453" s="38"/>
      <c r="HE453" s="38"/>
      <c r="HF453" s="38"/>
      <c r="HG453" s="38"/>
      <c r="HH453" s="38"/>
      <c r="HI453" s="38"/>
      <c r="HJ453" s="38"/>
      <c r="HK453" s="38"/>
      <c r="HL453" s="38"/>
      <c r="HM453" s="38"/>
      <c r="HN453" s="38"/>
      <c r="HO453" s="38"/>
      <c r="HP453" s="38"/>
      <c r="HQ453" s="38"/>
      <c r="HR453" s="38"/>
      <c r="HS453" s="38"/>
      <c r="HT453" s="38"/>
      <c r="HU453" s="38"/>
      <c r="HV453" s="38"/>
      <c r="HW453" s="38"/>
      <c r="HX453" s="38"/>
      <c r="HY453" s="38"/>
      <c r="HZ453" s="38"/>
      <c r="IA453" s="38"/>
    </row>
    <row r="454" spans="1:16" ht="12" customHeight="1">
      <c r="A454" s="5" t="s">
        <v>4</v>
      </c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3.5" customHeight="1">
      <c r="A455" s="8" t="s">
        <v>43</v>
      </c>
      <c r="B455" s="6"/>
      <c r="C455" s="6"/>
      <c r="D455" s="7">
        <f>6000000-180000-320000+180000+60000+90000+38000</f>
        <v>5868000</v>
      </c>
      <c r="E455" s="7"/>
      <c r="F455" s="7">
        <f>D455</f>
        <v>5868000</v>
      </c>
      <c r="G455" s="7">
        <f>6500000+4000000</f>
        <v>10500000</v>
      </c>
      <c r="H455" s="7"/>
      <c r="I455" s="7"/>
      <c r="J455" s="7">
        <f>SUM(G455)</f>
        <v>10500000</v>
      </c>
      <c r="K455" s="7"/>
      <c r="L455" s="7"/>
      <c r="M455" s="7"/>
      <c r="N455" s="7">
        <v>7000000</v>
      </c>
      <c r="O455" s="7"/>
      <c r="P455" s="7">
        <f>N455</f>
        <v>7000000</v>
      </c>
    </row>
    <row r="456" spans="1:16" ht="12" customHeight="1">
      <c r="A456" s="5" t="s">
        <v>5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51" customHeight="1">
      <c r="A457" s="8" t="s">
        <v>256</v>
      </c>
      <c r="B457" s="6"/>
      <c r="C457" s="6"/>
      <c r="D457" s="7">
        <v>12</v>
      </c>
      <c r="E457" s="7"/>
      <c r="F457" s="7">
        <v>12</v>
      </c>
      <c r="G457" s="7">
        <v>12</v>
      </c>
      <c r="H457" s="7"/>
      <c r="I457" s="7"/>
      <c r="J457" s="7">
        <v>12</v>
      </c>
      <c r="K457" s="7"/>
      <c r="L457" s="7"/>
      <c r="M457" s="7"/>
      <c r="N457" s="7">
        <v>12</v>
      </c>
      <c r="O457" s="7"/>
      <c r="P457" s="7">
        <v>12</v>
      </c>
    </row>
    <row r="458" spans="1:16" ht="11.25">
      <c r="A458" s="5" t="s">
        <v>7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6" customHeight="1">
      <c r="A459" s="8" t="s">
        <v>257</v>
      </c>
      <c r="B459" s="6"/>
      <c r="C459" s="6"/>
      <c r="D459" s="7">
        <f>SUM(D455)/D457</f>
        <v>489000</v>
      </c>
      <c r="E459" s="7"/>
      <c r="F459" s="7">
        <f>D459</f>
        <v>489000</v>
      </c>
      <c r="G459" s="7">
        <f>SUM(G455)/G457</f>
        <v>875000</v>
      </c>
      <c r="H459" s="7"/>
      <c r="I459" s="7"/>
      <c r="J459" s="7">
        <f>SUM(J455)/J457</f>
        <v>875000</v>
      </c>
      <c r="K459" s="7"/>
      <c r="L459" s="7"/>
      <c r="M459" s="7"/>
      <c r="N459" s="7">
        <f>SUM(N455)/N457</f>
        <v>583333.3333333334</v>
      </c>
      <c r="O459" s="7"/>
      <c r="P459" s="7">
        <f>SUM(P455)/P457</f>
        <v>583333.3333333334</v>
      </c>
    </row>
    <row r="460" spans="1:16" ht="36" customHeight="1">
      <c r="A460" s="34" t="s">
        <v>408</v>
      </c>
      <c r="B460" s="6"/>
      <c r="C460" s="6"/>
      <c r="D460" s="7">
        <f>D462</f>
        <v>14000000</v>
      </c>
      <c r="E460" s="7"/>
      <c r="F460" s="7">
        <f>F462</f>
        <v>14000000</v>
      </c>
      <c r="G460" s="7">
        <f>G462</f>
        <v>4000000</v>
      </c>
      <c r="H460" s="7"/>
      <c r="I460" s="7"/>
      <c r="J460" s="7">
        <f>G460</f>
        <v>4000000</v>
      </c>
      <c r="K460" s="7"/>
      <c r="L460" s="7"/>
      <c r="M460" s="7"/>
      <c r="N460" s="7"/>
      <c r="O460" s="7"/>
      <c r="P460" s="7"/>
    </row>
    <row r="461" spans="1:16" ht="16.5" customHeight="1">
      <c r="A461" s="5" t="s">
        <v>4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2.75" customHeight="1">
      <c r="A462" s="5" t="s">
        <v>43</v>
      </c>
      <c r="B462" s="6"/>
      <c r="C462" s="6"/>
      <c r="D462" s="7">
        <f>3000000+2000000+3000000+1000000+3000000+2000000</f>
        <v>14000000</v>
      </c>
      <c r="E462" s="7"/>
      <c r="F462" s="7">
        <f>3000000+2000000+3000000+1000000+3000000+2000000</f>
        <v>14000000</v>
      </c>
      <c r="G462" s="7">
        <f>0+4000000</f>
        <v>4000000</v>
      </c>
      <c r="H462" s="7"/>
      <c r="I462" s="7"/>
      <c r="J462" s="7">
        <f>G462</f>
        <v>4000000</v>
      </c>
      <c r="K462" s="7"/>
      <c r="L462" s="7"/>
      <c r="M462" s="7"/>
      <c r="N462" s="7"/>
      <c r="O462" s="7"/>
      <c r="P462" s="7"/>
    </row>
    <row r="463" spans="1:235" s="39" customFormat="1" ht="25.5" customHeight="1">
      <c r="A463" s="34" t="s">
        <v>409</v>
      </c>
      <c r="B463" s="35"/>
      <c r="C463" s="35"/>
      <c r="D463" s="36">
        <f>D465</f>
        <v>70000</v>
      </c>
      <c r="E463" s="36"/>
      <c r="F463" s="36">
        <f>D463+E463</f>
        <v>70000</v>
      </c>
      <c r="G463" s="36">
        <f>G467*G469</f>
        <v>0</v>
      </c>
      <c r="H463" s="36"/>
      <c r="I463" s="36"/>
      <c r="J463" s="36">
        <f>G463</f>
        <v>0</v>
      </c>
      <c r="K463" s="36"/>
      <c r="L463" s="36"/>
      <c r="M463" s="36"/>
      <c r="N463" s="36">
        <f>N469*N467</f>
        <v>0</v>
      </c>
      <c r="O463" s="36"/>
      <c r="P463" s="36">
        <f>N463</f>
        <v>0</v>
      </c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  <c r="DH463" s="38"/>
      <c r="DI463" s="38"/>
      <c r="DJ463" s="38"/>
      <c r="DK463" s="38"/>
      <c r="DL463" s="38"/>
      <c r="DM463" s="38"/>
      <c r="DN463" s="38"/>
      <c r="DO463" s="38"/>
      <c r="DP463" s="38"/>
      <c r="DQ463" s="38"/>
      <c r="DR463" s="38"/>
      <c r="DS463" s="38"/>
      <c r="DT463" s="38"/>
      <c r="DU463" s="38"/>
      <c r="DV463" s="38"/>
      <c r="DW463" s="38"/>
      <c r="DX463" s="38"/>
      <c r="DY463" s="38"/>
      <c r="DZ463" s="38"/>
      <c r="EA463" s="38"/>
      <c r="EB463" s="38"/>
      <c r="EC463" s="38"/>
      <c r="ED463" s="38"/>
      <c r="EE463" s="38"/>
      <c r="EF463" s="38"/>
      <c r="EG463" s="38"/>
      <c r="EH463" s="38"/>
      <c r="EI463" s="38"/>
      <c r="EJ463" s="38"/>
      <c r="EK463" s="38"/>
      <c r="EL463" s="38"/>
      <c r="EM463" s="38"/>
      <c r="EN463" s="38"/>
      <c r="EO463" s="38"/>
      <c r="EP463" s="38"/>
      <c r="EQ463" s="38"/>
      <c r="ER463" s="38"/>
      <c r="ES463" s="38"/>
      <c r="ET463" s="38"/>
      <c r="EU463" s="38"/>
      <c r="EV463" s="38"/>
      <c r="EW463" s="38"/>
      <c r="EX463" s="38"/>
      <c r="EY463" s="38"/>
      <c r="EZ463" s="38"/>
      <c r="FA463" s="38"/>
      <c r="FB463" s="38"/>
      <c r="FC463" s="38"/>
      <c r="FD463" s="38"/>
      <c r="FE463" s="38"/>
      <c r="FF463" s="38"/>
      <c r="FG463" s="38"/>
      <c r="FH463" s="38"/>
      <c r="FI463" s="38"/>
      <c r="FJ463" s="38"/>
      <c r="FK463" s="38"/>
      <c r="FL463" s="38"/>
      <c r="FM463" s="38"/>
      <c r="FN463" s="38"/>
      <c r="FO463" s="38"/>
      <c r="FP463" s="38"/>
      <c r="FQ463" s="38"/>
      <c r="FR463" s="38"/>
      <c r="FS463" s="38"/>
      <c r="FT463" s="38"/>
      <c r="FU463" s="38"/>
      <c r="FV463" s="38"/>
      <c r="FW463" s="38"/>
      <c r="FX463" s="38"/>
      <c r="FY463" s="38"/>
      <c r="FZ463" s="38"/>
      <c r="GA463" s="38"/>
      <c r="GB463" s="38"/>
      <c r="GC463" s="38"/>
      <c r="GD463" s="38"/>
      <c r="GE463" s="38"/>
      <c r="GF463" s="38"/>
      <c r="GG463" s="38"/>
      <c r="GH463" s="38"/>
      <c r="GI463" s="38"/>
      <c r="GJ463" s="38"/>
      <c r="GK463" s="38"/>
      <c r="GL463" s="38"/>
      <c r="GM463" s="38"/>
      <c r="GN463" s="38"/>
      <c r="GO463" s="38"/>
      <c r="GP463" s="38"/>
      <c r="GQ463" s="38"/>
      <c r="GR463" s="38"/>
      <c r="GS463" s="38"/>
      <c r="GT463" s="38"/>
      <c r="GU463" s="38"/>
      <c r="GV463" s="38"/>
      <c r="GW463" s="38"/>
      <c r="GX463" s="38"/>
      <c r="GY463" s="38"/>
      <c r="GZ463" s="38"/>
      <c r="HA463" s="38"/>
      <c r="HB463" s="38"/>
      <c r="HC463" s="38"/>
      <c r="HD463" s="38"/>
      <c r="HE463" s="38"/>
      <c r="HF463" s="38"/>
      <c r="HG463" s="38"/>
      <c r="HH463" s="38"/>
      <c r="HI463" s="38"/>
      <c r="HJ463" s="38"/>
      <c r="HK463" s="38"/>
      <c r="HL463" s="38"/>
      <c r="HM463" s="38"/>
      <c r="HN463" s="38"/>
      <c r="HO463" s="38"/>
      <c r="HP463" s="38"/>
      <c r="HQ463" s="38"/>
      <c r="HR463" s="38"/>
      <c r="HS463" s="38"/>
      <c r="HT463" s="38"/>
      <c r="HU463" s="38"/>
      <c r="HV463" s="38"/>
      <c r="HW463" s="38"/>
      <c r="HX463" s="38"/>
      <c r="HY463" s="38"/>
      <c r="HZ463" s="38"/>
      <c r="IA463" s="38"/>
    </row>
    <row r="464" spans="1:16" ht="11.25">
      <c r="A464" s="5" t="s">
        <v>4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4.25" customHeight="1">
      <c r="A465" s="8" t="s">
        <v>43</v>
      </c>
      <c r="B465" s="6"/>
      <c r="C465" s="6"/>
      <c r="D465" s="7">
        <f>D467*D469</f>
        <v>70000</v>
      </c>
      <c r="E465" s="7"/>
      <c r="F465" s="7">
        <f>D465+E465</f>
        <v>70000</v>
      </c>
      <c r="G465" s="7"/>
      <c r="H465" s="7"/>
      <c r="I465" s="7"/>
      <c r="J465" s="7">
        <f>G465</f>
        <v>0</v>
      </c>
      <c r="K465" s="7"/>
      <c r="L465" s="7"/>
      <c r="M465" s="7"/>
      <c r="N465" s="7"/>
      <c r="O465" s="7"/>
      <c r="P465" s="7">
        <f>N465</f>
        <v>0</v>
      </c>
    </row>
    <row r="466" spans="1:16" ht="11.25">
      <c r="A466" s="5" t="s">
        <v>5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3.25" customHeight="1">
      <c r="A467" s="8" t="s">
        <v>134</v>
      </c>
      <c r="B467" s="6"/>
      <c r="C467" s="6"/>
      <c r="D467" s="7">
        <v>2</v>
      </c>
      <c r="E467" s="7"/>
      <c r="F467" s="7">
        <f>D467+E467</f>
        <v>2</v>
      </c>
      <c r="G467" s="7"/>
      <c r="H467" s="7"/>
      <c r="I467" s="7"/>
      <c r="J467" s="7">
        <v>0</v>
      </c>
      <c r="K467" s="7"/>
      <c r="L467" s="7"/>
      <c r="M467" s="7"/>
      <c r="N467" s="7"/>
      <c r="O467" s="7"/>
      <c r="P467" s="7">
        <v>0</v>
      </c>
    </row>
    <row r="468" spans="1:16" ht="11.25">
      <c r="A468" s="5" t="s">
        <v>7</v>
      </c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24.75" customHeight="1">
      <c r="A469" s="8" t="s">
        <v>135</v>
      </c>
      <c r="B469" s="6"/>
      <c r="C469" s="6"/>
      <c r="D469" s="7">
        <v>35000</v>
      </c>
      <c r="E469" s="7"/>
      <c r="F469" s="7">
        <f>D469+E469</f>
        <v>35000</v>
      </c>
      <c r="G469" s="7"/>
      <c r="H469" s="7"/>
      <c r="I469" s="7"/>
      <c r="J469" s="7">
        <f>G469</f>
        <v>0</v>
      </c>
      <c r="K469" s="7"/>
      <c r="L469" s="7"/>
      <c r="M469" s="7"/>
      <c r="N469" s="7"/>
      <c r="O469" s="7"/>
      <c r="P469" s="7">
        <v>0</v>
      </c>
    </row>
    <row r="470" spans="1:235" s="39" customFormat="1" ht="15" customHeight="1">
      <c r="A470" s="34" t="s">
        <v>410</v>
      </c>
      <c r="B470" s="35"/>
      <c r="C470" s="35"/>
      <c r="D470" s="36">
        <f>D472</f>
        <v>150399.999999935</v>
      </c>
      <c r="E470" s="36"/>
      <c r="F470" s="36">
        <f>D470</f>
        <v>150399.999999935</v>
      </c>
      <c r="G470" s="36">
        <f>G472</f>
        <v>200000.4</v>
      </c>
      <c r="H470" s="36"/>
      <c r="I470" s="36"/>
      <c r="J470" s="30">
        <f aca="true" t="shared" si="60" ref="J470:J478">G470</f>
        <v>200000.4</v>
      </c>
      <c r="K470" s="36"/>
      <c r="L470" s="36"/>
      <c r="M470" s="36"/>
      <c r="N470" s="36"/>
      <c r="O470" s="36"/>
      <c r="P470" s="36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ET470" s="38"/>
      <c r="EU470" s="38"/>
      <c r="EV470" s="38"/>
      <c r="EW470" s="38"/>
      <c r="EX470" s="38"/>
      <c r="EY470" s="38"/>
      <c r="EZ470" s="38"/>
      <c r="FA470" s="38"/>
      <c r="FB470" s="38"/>
      <c r="FC470" s="38"/>
      <c r="FD470" s="38"/>
      <c r="FE470" s="38"/>
      <c r="FF470" s="38"/>
      <c r="FG470" s="38"/>
      <c r="FH470" s="38"/>
      <c r="FI470" s="38"/>
      <c r="FJ470" s="38"/>
      <c r="FK470" s="38"/>
      <c r="FL470" s="38"/>
      <c r="FM470" s="38"/>
      <c r="FN470" s="38"/>
      <c r="FO470" s="38"/>
      <c r="FP470" s="38"/>
      <c r="FQ470" s="38"/>
      <c r="FR470" s="38"/>
      <c r="FS470" s="38"/>
      <c r="FT470" s="38"/>
      <c r="FU470" s="38"/>
      <c r="FV470" s="38"/>
      <c r="FW470" s="38"/>
      <c r="FX470" s="38"/>
      <c r="FY470" s="38"/>
      <c r="FZ470" s="38"/>
      <c r="GA470" s="38"/>
      <c r="GB470" s="38"/>
      <c r="GC470" s="38"/>
      <c r="GD470" s="38"/>
      <c r="GE470" s="38"/>
      <c r="GF470" s="38"/>
      <c r="GG470" s="38"/>
      <c r="GH470" s="38"/>
      <c r="GI470" s="38"/>
      <c r="GJ470" s="38"/>
      <c r="GK470" s="38"/>
      <c r="GL470" s="38"/>
      <c r="GM470" s="38"/>
      <c r="GN470" s="38"/>
      <c r="GO470" s="38"/>
      <c r="GP470" s="38"/>
      <c r="GQ470" s="38"/>
      <c r="GR470" s="38"/>
      <c r="GS470" s="38"/>
      <c r="GT470" s="38"/>
      <c r="GU470" s="38"/>
      <c r="GV470" s="38"/>
      <c r="GW470" s="38"/>
      <c r="GX470" s="38"/>
      <c r="GY470" s="38"/>
      <c r="GZ470" s="38"/>
      <c r="HA470" s="38"/>
      <c r="HB470" s="38"/>
      <c r="HC470" s="38"/>
      <c r="HD470" s="38"/>
      <c r="HE470" s="38"/>
      <c r="HF470" s="38"/>
      <c r="HG470" s="38"/>
      <c r="HH470" s="38"/>
      <c r="HI470" s="38"/>
      <c r="HJ470" s="38"/>
      <c r="HK470" s="38"/>
      <c r="HL470" s="38"/>
      <c r="HM470" s="38"/>
      <c r="HN470" s="38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</row>
    <row r="471" spans="1:16" ht="12" customHeight="1">
      <c r="A471" s="5" t="s">
        <v>4</v>
      </c>
      <c r="B471" s="6"/>
      <c r="C471" s="6"/>
      <c r="D471" s="7"/>
      <c r="E471" s="7"/>
      <c r="F471" s="7"/>
      <c r="G471" s="7"/>
      <c r="H471" s="7"/>
      <c r="I471" s="7"/>
      <c r="J471" s="7">
        <f t="shared" si="60"/>
        <v>0</v>
      </c>
      <c r="K471" s="7"/>
      <c r="L471" s="7"/>
      <c r="M471" s="7"/>
      <c r="N471" s="7"/>
      <c r="O471" s="7"/>
      <c r="P471" s="7"/>
    </row>
    <row r="472" spans="1:16" ht="12" customHeight="1">
      <c r="A472" s="8" t="s">
        <v>43</v>
      </c>
      <c r="B472" s="6"/>
      <c r="C472" s="6"/>
      <c r="D472" s="7">
        <f>(D474*D477)+(D475*D478)</f>
        <v>150399.999999935</v>
      </c>
      <c r="E472" s="7"/>
      <c r="F472" s="7">
        <f>D472</f>
        <v>150399.999999935</v>
      </c>
      <c r="G472" s="7">
        <f>(G474*G477)+(G475*G478)</f>
        <v>200000.4</v>
      </c>
      <c r="H472" s="7"/>
      <c r="I472" s="7"/>
      <c r="J472" s="7">
        <f t="shared" si="60"/>
        <v>200000.4</v>
      </c>
      <c r="K472" s="7"/>
      <c r="L472" s="7"/>
      <c r="M472" s="7"/>
      <c r="N472" s="7"/>
      <c r="O472" s="7"/>
      <c r="P472" s="7"/>
    </row>
    <row r="473" spans="1:16" ht="12" customHeight="1">
      <c r="A473" s="5" t="s">
        <v>5</v>
      </c>
      <c r="B473" s="6"/>
      <c r="C473" s="6"/>
      <c r="D473" s="7"/>
      <c r="E473" s="7"/>
      <c r="F473" s="7"/>
      <c r="G473" s="7"/>
      <c r="H473" s="7"/>
      <c r="I473" s="7"/>
      <c r="J473" s="7">
        <f t="shared" si="60"/>
        <v>0</v>
      </c>
      <c r="K473" s="7"/>
      <c r="L473" s="7"/>
      <c r="M473" s="7"/>
      <c r="N473" s="7"/>
      <c r="O473" s="7"/>
      <c r="P473" s="7"/>
    </row>
    <row r="474" spans="1:16" ht="24.75" customHeight="1">
      <c r="A474" s="8" t="s">
        <v>156</v>
      </c>
      <c r="B474" s="6"/>
      <c r="C474" s="6"/>
      <c r="D474" s="7">
        <v>57</v>
      </c>
      <c r="E474" s="7"/>
      <c r="F474" s="7">
        <v>57</v>
      </c>
      <c r="G474" s="7">
        <v>57</v>
      </c>
      <c r="H474" s="7"/>
      <c r="I474" s="7"/>
      <c r="J474" s="7">
        <f t="shared" si="60"/>
        <v>57</v>
      </c>
      <c r="K474" s="7"/>
      <c r="L474" s="7"/>
      <c r="M474" s="7"/>
      <c r="N474" s="7"/>
      <c r="O474" s="7"/>
      <c r="P474" s="7"/>
    </row>
    <row r="475" spans="1:16" ht="15.75" customHeight="1">
      <c r="A475" s="8" t="s">
        <v>154</v>
      </c>
      <c r="B475" s="6"/>
      <c r="C475" s="6"/>
      <c r="D475" s="7">
        <v>145</v>
      </c>
      <c r="E475" s="7"/>
      <c r="F475" s="7">
        <f>D475</f>
        <v>145</v>
      </c>
      <c r="G475" s="7">
        <v>145</v>
      </c>
      <c r="H475" s="7"/>
      <c r="I475" s="7"/>
      <c r="J475" s="7">
        <f t="shared" si="60"/>
        <v>145</v>
      </c>
      <c r="K475" s="7"/>
      <c r="L475" s="7"/>
      <c r="M475" s="7"/>
      <c r="N475" s="7"/>
      <c r="O475" s="7"/>
      <c r="P475" s="7"/>
    </row>
    <row r="476" spans="1:16" ht="12.75" customHeight="1">
      <c r="A476" s="5" t="s">
        <v>7</v>
      </c>
      <c r="B476" s="6"/>
      <c r="C476" s="6"/>
      <c r="D476" s="7"/>
      <c r="E476" s="7"/>
      <c r="F476" s="7"/>
      <c r="G476" s="7"/>
      <c r="H476" s="7"/>
      <c r="I476" s="7"/>
      <c r="J476" s="7">
        <f t="shared" si="60"/>
        <v>0</v>
      </c>
      <c r="K476" s="7"/>
      <c r="L476" s="7"/>
      <c r="M476" s="7"/>
      <c r="N476" s="7"/>
      <c r="O476" s="7"/>
      <c r="P476" s="7"/>
    </row>
    <row r="477" spans="1:16" ht="24.75" customHeight="1">
      <c r="A477" s="8" t="s">
        <v>155</v>
      </c>
      <c r="B477" s="6"/>
      <c r="C477" s="6"/>
      <c r="D477" s="7">
        <v>1950.89</v>
      </c>
      <c r="E477" s="7"/>
      <c r="F477" s="7">
        <f>D477</f>
        <v>1950.89</v>
      </c>
      <c r="G477" s="7">
        <v>2596.5</v>
      </c>
      <c r="H477" s="7"/>
      <c r="I477" s="7"/>
      <c r="J477" s="7">
        <f t="shared" si="60"/>
        <v>2596.5</v>
      </c>
      <c r="K477" s="7"/>
      <c r="L477" s="7"/>
      <c r="M477" s="7"/>
      <c r="N477" s="7"/>
      <c r="O477" s="7"/>
      <c r="P477" s="7"/>
    </row>
    <row r="478" spans="1:16" ht="24.75" customHeight="1">
      <c r="A478" s="8" t="s">
        <v>157</v>
      </c>
      <c r="B478" s="6"/>
      <c r="C478" s="6"/>
      <c r="D478" s="7">
        <v>270.339793103</v>
      </c>
      <c r="E478" s="7"/>
      <c r="F478" s="7">
        <f>D478</f>
        <v>270.339793103</v>
      </c>
      <c r="G478" s="7">
        <v>358.62</v>
      </c>
      <c r="H478" s="7"/>
      <c r="I478" s="7"/>
      <c r="J478" s="7">
        <f t="shared" si="60"/>
        <v>358.62</v>
      </c>
      <c r="K478" s="7"/>
      <c r="L478" s="7"/>
      <c r="M478" s="7"/>
      <c r="N478" s="7"/>
      <c r="O478" s="7"/>
      <c r="P478" s="7"/>
    </row>
    <row r="479" spans="1:235" s="39" customFormat="1" ht="25.5" customHeight="1">
      <c r="A479" s="34" t="s">
        <v>411</v>
      </c>
      <c r="B479" s="35"/>
      <c r="C479" s="35"/>
      <c r="D479" s="36">
        <f>D481</f>
        <v>399999.99999963003</v>
      </c>
      <c r="E479" s="36"/>
      <c r="F479" s="36">
        <f>D479</f>
        <v>399999.99999963003</v>
      </c>
      <c r="G479" s="36">
        <f>G481</f>
        <v>450000</v>
      </c>
      <c r="H479" s="36"/>
      <c r="I479" s="36"/>
      <c r="J479" s="36">
        <f>G479+H479</f>
        <v>450000</v>
      </c>
      <c r="K479" s="36"/>
      <c r="L479" s="36"/>
      <c r="M479" s="36"/>
      <c r="N479" s="36">
        <f>N481</f>
        <v>500000.00204999995</v>
      </c>
      <c r="O479" s="36"/>
      <c r="P479" s="36">
        <f>N479</f>
        <v>500000.00204999995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ET479" s="38"/>
      <c r="EU479" s="38"/>
      <c r="EV479" s="38"/>
      <c r="EW479" s="38"/>
      <c r="EX479" s="38"/>
      <c r="EY479" s="38"/>
      <c r="EZ479" s="38"/>
      <c r="FA479" s="38"/>
      <c r="FB479" s="38"/>
      <c r="FC479" s="38"/>
      <c r="FD479" s="38"/>
      <c r="FE479" s="38"/>
      <c r="FF479" s="38"/>
      <c r="FG479" s="38"/>
      <c r="FH479" s="38"/>
      <c r="FI479" s="38"/>
      <c r="FJ479" s="38"/>
      <c r="FK479" s="38"/>
      <c r="FL479" s="38"/>
      <c r="FM479" s="38"/>
      <c r="FN479" s="38"/>
      <c r="FO479" s="38"/>
      <c r="FP479" s="38"/>
      <c r="FQ479" s="38"/>
      <c r="FR479" s="38"/>
      <c r="FS479" s="38"/>
      <c r="FT479" s="38"/>
      <c r="FU479" s="38"/>
      <c r="FV479" s="38"/>
      <c r="FW479" s="38"/>
      <c r="FX479" s="38"/>
      <c r="FY479" s="38"/>
      <c r="FZ479" s="38"/>
      <c r="GA479" s="38"/>
      <c r="GB479" s="38"/>
      <c r="GC479" s="38"/>
      <c r="GD479" s="38"/>
      <c r="GE479" s="38"/>
      <c r="GF479" s="38"/>
      <c r="GG479" s="38"/>
      <c r="GH479" s="38"/>
      <c r="GI479" s="38"/>
      <c r="GJ479" s="38"/>
      <c r="GK479" s="38"/>
      <c r="GL479" s="38"/>
      <c r="GM479" s="38"/>
      <c r="GN479" s="38"/>
      <c r="GO479" s="38"/>
      <c r="GP479" s="38"/>
      <c r="GQ479" s="38"/>
      <c r="GR479" s="38"/>
      <c r="GS479" s="38"/>
      <c r="GT479" s="38"/>
      <c r="GU479" s="38"/>
      <c r="GV479" s="38"/>
      <c r="GW479" s="38"/>
      <c r="GX479" s="38"/>
      <c r="GY479" s="38"/>
      <c r="GZ479" s="38"/>
      <c r="HA479" s="38"/>
      <c r="HB479" s="38"/>
      <c r="HC479" s="38"/>
      <c r="HD479" s="38"/>
      <c r="HE479" s="38"/>
      <c r="HF479" s="38"/>
      <c r="HG479" s="38"/>
      <c r="HH479" s="38"/>
      <c r="HI479" s="38"/>
      <c r="HJ479" s="38"/>
      <c r="HK479" s="38"/>
      <c r="HL479" s="38"/>
      <c r="HM479" s="38"/>
      <c r="HN479" s="38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</row>
    <row r="480" spans="1:16" ht="11.25" customHeight="1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36"/>
    </row>
    <row r="481" spans="1:16" ht="14.25" customHeight="1">
      <c r="A481" s="8" t="s">
        <v>43</v>
      </c>
      <c r="B481" s="6"/>
      <c r="C481" s="6"/>
      <c r="D481" s="7">
        <f>D483*D485</f>
        <v>399999.99999963003</v>
      </c>
      <c r="E481" s="7"/>
      <c r="F481" s="7">
        <f>D481+E481</f>
        <v>399999.99999963003</v>
      </c>
      <c r="G481" s="7">
        <f>G483*G485</f>
        <v>450000</v>
      </c>
      <c r="H481" s="7"/>
      <c r="I481" s="7"/>
      <c r="J481" s="7">
        <f>G481+H481</f>
        <v>450000</v>
      </c>
      <c r="K481" s="7"/>
      <c r="L481" s="7"/>
      <c r="M481" s="7"/>
      <c r="N481" s="7">
        <f>N483*N485</f>
        <v>500000.00204999995</v>
      </c>
      <c r="O481" s="7"/>
      <c r="P481" s="36">
        <f>N481</f>
        <v>500000.00204999995</v>
      </c>
    </row>
    <row r="482" spans="1:16" ht="10.5" customHeight="1">
      <c r="A482" s="5" t="s">
        <v>5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36"/>
    </row>
    <row r="483" spans="1:16" ht="24.75" customHeight="1">
      <c r="A483" s="8" t="s">
        <v>162</v>
      </c>
      <c r="B483" s="6"/>
      <c r="C483" s="6"/>
      <c r="D483" s="7">
        <v>307</v>
      </c>
      <c r="E483" s="7"/>
      <c r="F483" s="7">
        <f>D483</f>
        <v>307</v>
      </c>
      <c r="G483" s="7">
        <v>300</v>
      </c>
      <c r="H483" s="7"/>
      <c r="I483" s="7"/>
      <c r="J483" s="7">
        <f>G483+H483</f>
        <v>300</v>
      </c>
      <c r="K483" s="7"/>
      <c r="L483" s="7"/>
      <c r="M483" s="7"/>
      <c r="N483" s="7">
        <v>213</v>
      </c>
      <c r="O483" s="7"/>
      <c r="P483" s="36">
        <f>N483</f>
        <v>213</v>
      </c>
    </row>
    <row r="484" spans="1:16" ht="11.25">
      <c r="A484" s="5" t="s">
        <v>7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36"/>
    </row>
    <row r="485" spans="1:16" ht="24.75" customHeight="1">
      <c r="A485" s="8" t="s">
        <v>163</v>
      </c>
      <c r="B485" s="6"/>
      <c r="C485" s="6"/>
      <c r="D485" s="7">
        <v>1302.93159609</v>
      </c>
      <c r="E485" s="7"/>
      <c r="F485" s="7">
        <f>D485</f>
        <v>1302.93159609</v>
      </c>
      <c r="G485" s="7">
        <f>450000/300</f>
        <v>1500</v>
      </c>
      <c r="H485" s="7"/>
      <c r="I485" s="7"/>
      <c r="J485" s="7">
        <f>G485+H485</f>
        <v>1500</v>
      </c>
      <c r="K485" s="7"/>
      <c r="L485" s="7"/>
      <c r="M485" s="7"/>
      <c r="N485" s="7">
        <v>2347.41785</v>
      </c>
      <c r="O485" s="7"/>
      <c r="P485" s="36">
        <f>N485</f>
        <v>2347.41785</v>
      </c>
    </row>
    <row r="486" spans="1:235" s="39" customFormat="1" ht="36.75" customHeight="1">
      <c r="A486" s="34" t="s">
        <v>412</v>
      </c>
      <c r="B486" s="35"/>
      <c r="C486" s="35"/>
      <c r="D486" s="36">
        <f>700000+35000+10000</f>
        <v>745000</v>
      </c>
      <c r="E486" s="36">
        <f>E488</f>
        <v>1000000</v>
      </c>
      <c r="F486" s="36">
        <f>D486+E486</f>
        <v>1745000</v>
      </c>
      <c r="G486" s="36">
        <v>200000</v>
      </c>
      <c r="H486" s="36">
        <v>1300000</v>
      </c>
      <c r="I486" s="36"/>
      <c r="J486" s="36">
        <f>G486+H486</f>
        <v>1500000</v>
      </c>
      <c r="K486" s="36"/>
      <c r="L486" s="36"/>
      <c r="M486" s="36"/>
      <c r="N486" s="36">
        <f>N491*N494</f>
        <v>0</v>
      </c>
      <c r="O486" s="36">
        <f>O491*O494</f>
        <v>2000000</v>
      </c>
      <c r="P486" s="36">
        <f>O486+N486</f>
        <v>2000000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</row>
    <row r="487" spans="1:16" ht="11.25">
      <c r="A487" s="5" t="s">
        <v>4</v>
      </c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36"/>
    </row>
    <row r="488" spans="1:16" ht="22.5">
      <c r="A488" s="8" t="s">
        <v>357</v>
      </c>
      <c r="B488" s="6"/>
      <c r="C488" s="6"/>
      <c r="D488" s="7">
        <v>700000</v>
      </c>
      <c r="E488" s="7">
        <f>E491*E494</f>
        <v>1000000</v>
      </c>
      <c r="F488" s="7">
        <f>D488+E488</f>
        <v>1700000</v>
      </c>
      <c r="G488" s="7">
        <v>200000</v>
      </c>
      <c r="H488" s="7">
        <v>1300000</v>
      </c>
      <c r="I488" s="7"/>
      <c r="J488" s="7">
        <f>G488+H488</f>
        <v>1500000</v>
      </c>
      <c r="K488" s="7"/>
      <c r="L488" s="7"/>
      <c r="M488" s="7"/>
      <c r="N488" s="7"/>
      <c r="O488" s="7">
        <f>O491*O494</f>
        <v>2000000</v>
      </c>
      <c r="P488" s="7">
        <f>O488+N488</f>
        <v>2000000</v>
      </c>
    </row>
    <row r="489" spans="1:16" ht="22.5">
      <c r="A489" s="8" t="s">
        <v>360</v>
      </c>
      <c r="B489" s="6"/>
      <c r="C489" s="6"/>
      <c r="D489" s="7">
        <f>35000+10000</f>
        <v>45000</v>
      </c>
      <c r="E489" s="7"/>
      <c r="F489" s="7">
        <f>D489+E489</f>
        <v>45000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1.25">
      <c r="A490" s="5" t="s">
        <v>5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22.5">
      <c r="A491" s="72" t="s">
        <v>184</v>
      </c>
      <c r="B491" s="6"/>
      <c r="C491" s="6"/>
      <c r="D491" s="7">
        <v>6</v>
      </c>
      <c r="E491" s="7">
        <v>2</v>
      </c>
      <c r="F491" s="7">
        <f>D491+E491</f>
        <v>8</v>
      </c>
      <c r="G491" s="7">
        <v>1</v>
      </c>
      <c r="H491" s="7">
        <v>3</v>
      </c>
      <c r="I491" s="7"/>
      <c r="J491" s="7">
        <f>G491+H491</f>
        <v>4</v>
      </c>
      <c r="K491" s="7"/>
      <c r="L491" s="7"/>
      <c r="M491" s="7"/>
      <c r="N491" s="7"/>
      <c r="O491" s="7">
        <v>4</v>
      </c>
      <c r="P491" s="7">
        <f>O491+N491</f>
        <v>4</v>
      </c>
    </row>
    <row r="492" spans="1:16" ht="22.5">
      <c r="A492" s="72" t="s">
        <v>358</v>
      </c>
      <c r="B492" s="6"/>
      <c r="C492" s="6"/>
      <c r="D492" s="7">
        <v>1</v>
      </c>
      <c r="E492" s="7"/>
      <c r="F492" s="7">
        <f>D492+E492</f>
        <v>1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1.25">
      <c r="A493" s="5" t="s">
        <v>7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33.75">
      <c r="A494" s="8" t="s">
        <v>204</v>
      </c>
      <c r="B494" s="6"/>
      <c r="C494" s="6"/>
      <c r="D494" s="7">
        <v>116666.66</v>
      </c>
      <c r="E494" s="7">
        <v>500000</v>
      </c>
      <c r="F494" s="7">
        <f>D494+E494</f>
        <v>616666.66</v>
      </c>
      <c r="G494" s="7">
        <v>200000</v>
      </c>
      <c r="H494" s="7">
        <v>433333.33</v>
      </c>
      <c r="I494" s="7"/>
      <c r="J494" s="7">
        <f>G494+H494</f>
        <v>633333.3300000001</v>
      </c>
      <c r="K494" s="7"/>
      <c r="L494" s="7"/>
      <c r="M494" s="7"/>
      <c r="N494" s="7"/>
      <c r="O494" s="7">
        <v>500000</v>
      </c>
      <c r="P494" s="7">
        <f>O494+N494</f>
        <v>500000</v>
      </c>
    </row>
    <row r="495" spans="1:16" ht="22.5">
      <c r="A495" s="8" t="s">
        <v>359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1.25">
      <c r="A496" s="8"/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235" s="39" customFormat="1" ht="24.75" customHeight="1">
      <c r="A497" s="34" t="s">
        <v>413</v>
      </c>
      <c r="B497" s="35"/>
      <c r="C497" s="35"/>
      <c r="D497" s="36">
        <f>D499</f>
        <v>100000</v>
      </c>
      <c r="E497" s="36"/>
      <c r="F497" s="36">
        <f>D497+E497</f>
        <v>100000</v>
      </c>
      <c r="G497" s="36">
        <f>G501*G503</f>
        <v>20130000</v>
      </c>
      <c r="H497" s="36"/>
      <c r="I497" s="36"/>
      <c r="J497" s="36">
        <f>G497+H497</f>
        <v>20130000</v>
      </c>
      <c r="K497" s="36"/>
      <c r="L497" s="36"/>
      <c r="M497" s="36"/>
      <c r="N497" s="36">
        <f>N503*N501</f>
        <v>150000</v>
      </c>
      <c r="O497" s="36">
        <f>O503*O501</f>
        <v>0</v>
      </c>
      <c r="P497" s="36">
        <f>P503*P501</f>
        <v>150000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  <c r="FZ497" s="38"/>
      <c r="GA497" s="38"/>
      <c r="GB497" s="38"/>
      <c r="GC497" s="38"/>
      <c r="GD497" s="38"/>
      <c r="GE497" s="38"/>
      <c r="GF497" s="38"/>
      <c r="GG497" s="38"/>
      <c r="GH497" s="38"/>
      <c r="GI497" s="38"/>
      <c r="GJ497" s="38"/>
      <c r="GK497" s="38"/>
      <c r="GL497" s="38"/>
      <c r="GM497" s="38"/>
      <c r="GN497" s="38"/>
      <c r="GO497" s="38"/>
      <c r="GP497" s="38"/>
      <c r="GQ497" s="38"/>
      <c r="GR497" s="38"/>
      <c r="GS497" s="38"/>
      <c r="GT497" s="38"/>
      <c r="GU497" s="38"/>
      <c r="GV497" s="38"/>
      <c r="GW497" s="38"/>
      <c r="GX497" s="38"/>
      <c r="GY497" s="38"/>
      <c r="GZ497" s="38"/>
      <c r="HA497" s="38"/>
      <c r="HB497" s="38"/>
      <c r="HC497" s="38"/>
      <c r="HD497" s="38"/>
      <c r="HE497" s="38"/>
      <c r="HF497" s="38"/>
      <c r="HG497" s="38"/>
      <c r="HH497" s="38"/>
      <c r="HI497" s="38"/>
      <c r="HJ497" s="38"/>
      <c r="HK497" s="38"/>
      <c r="HL497" s="38"/>
      <c r="HM497" s="38"/>
      <c r="HN497" s="38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</row>
    <row r="498" spans="1:16" ht="11.25">
      <c r="A498" s="5" t="s">
        <v>4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1.25">
      <c r="A499" s="8" t="s">
        <v>43</v>
      </c>
      <c r="B499" s="6"/>
      <c r="C499" s="6"/>
      <c r="D499" s="7">
        <f>D501*D503</f>
        <v>100000</v>
      </c>
      <c r="E499" s="7"/>
      <c r="F499" s="7">
        <f>D499+E499</f>
        <v>100000</v>
      </c>
      <c r="G499" s="7">
        <f>G501*G503</f>
        <v>20130000</v>
      </c>
      <c r="H499" s="7"/>
      <c r="I499" s="7"/>
      <c r="J499" s="7">
        <f>G499+H499</f>
        <v>20130000</v>
      </c>
      <c r="K499" s="7"/>
      <c r="L499" s="7"/>
      <c r="M499" s="7"/>
      <c r="N499" s="7">
        <f>N501*N503</f>
        <v>150000</v>
      </c>
      <c r="O499" s="7"/>
      <c r="P499" s="7">
        <f>N499+O499</f>
        <v>150000</v>
      </c>
    </row>
    <row r="500" spans="1:16" ht="11.25">
      <c r="A500" s="5" t="s">
        <v>5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4.25" customHeight="1">
      <c r="A501" s="8" t="s">
        <v>197</v>
      </c>
      <c r="B501" s="6"/>
      <c r="C501" s="6"/>
      <c r="D501" s="7">
        <v>8</v>
      </c>
      <c r="E501" s="7"/>
      <c r="F501" s="7">
        <f>D501+E501</f>
        <v>8</v>
      </c>
      <c r="G501" s="7">
        <f>8+31</f>
        <v>39</v>
      </c>
      <c r="H501" s="7"/>
      <c r="I501" s="7"/>
      <c r="J501" s="7">
        <f>G501+H501</f>
        <v>39</v>
      </c>
      <c r="K501" s="7"/>
      <c r="L501" s="7"/>
      <c r="M501" s="7"/>
      <c r="N501" s="7">
        <v>8</v>
      </c>
      <c r="O501" s="7"/>
      <c r="P501" s="7">
        <f>N501+O501</f>
        <v>8</v>
      </c>
    </row>
    <row r="502" spans="1:16" ht="12" customHeight="1">
      <c r="A502" s="5" t="s">
        <v>7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4.75" customHeight="1">
      <c r="A503" s="8" t="s">
        <v>178</v>
      </c>
      <c r="B503" s="6"/>
      <c r="C503" s="6"/>
      <c r="D503" s="7">
        <f>100000/8</f>
        <v>12500</v>
      </c>
      <c r="E503" s="7"/>
      <c r="F503" s="7">
        <f>D503+E503</f>
        <v>12500</v>
      </c>
      <c r="G503" s="7">
        <f>20130000/39</f>
        <v>516153.8461538461</v>
      </c>
      <c r="H503" s="7"/>
      <c r="I503" s="7"/>
      <c r="J503" s="7">
        <f>G503+H503</f>
        <v>516153.8461538461</v>
      </c>
      <c r="K503" s="7"/>
      <c r="L503" s="7"/>
      <c r="M503" s="7"/>
      <c r="N503" s="7">
        <f>150000/8</f>
        <v>18750</v>
      </c>
      <c r="O503" s="7"/>
      <c r="P503" s="7">
        <f>N503+O503</f>
        <v>18750</v>
      </c>
    </row>
    <row r="504" spans="1:17" ht="33.75">
      <c r="A504" s="34" t="s">
        <v>414</v>
      </c>
      <c r="B504" s="35"/>
      <c r="C504" s="35"/>
      <c r="D504" s="22"/>
      <c r="E504" s="36">
        <f>E506</f>
        <v>50000</v>
      </c>
      <c r="F504" s="36">
        <f>F506</f>
        <v>50000</v>
      </c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73"/>
    </row>
    <row r="505" spans="1:17" ht="11.25">
      <c r="A505" s="5" t="s">
        <v>4</v>
      </c>
      <c r="B505" s="6"/>
      <c r="C505" s="6"/>
      <c r="D505" s="2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3"/>
    </row>
    <row r="506" spans="1:17" ht="11.25">
      <c r="A506" s="8" t="s">
        <v>43</v>
      </c>
      <c r="B506" s="6"/>
      <c r="C506" s="6"/>
      <c r="D506" s="22"/>
      <c r="E506" s="7">
        <f>E508*E510</f>
        <v>50000</v>
      </c>
      <c r="F506" s="7">
        <f>F508*F510</f>
        <v>50000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4"/>
    </row>
    <row r="507" spans="1:17" ht="11.25">
      <c r="A507" s="5" t="s">
        <v>5</v>
      </c>
      <c r="B507" s="6"/>
      <c r="C507" s="6"/>
      <c r="D507" s="2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4"/>
    </row>
    <row r="508" spans="1:17" ht="22.5">
      <c r="A508" s="8" t="s">
        <v>197</v>
      </c>
      <c r="B508" s="6"/>
      <c r="C508" s="6"/>
      <c r="D508" s="22"/>
      <c r="E508" s="7">
        <v>1</v>
      </c>
      <c r="F508" s="7">
        <v>1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4">
        <v>5500</v>
      </c>
    </row>
    <row r="509" spans="1:17" ht="11.25">
      <c r="A509" s="5" t="s">
        <v>7</v>
      </c>
      <c r="B509" s="6"/>
      <c r="C509" s="6"/>
      <c r="D509" s="22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24"/>
    </row>
    <row r="510" spans="1:17" ht="22.5">
      <c r="A510" s="8" t="s">
        <v>178</v>
      </c>
      <c r="B510" s="6"/>
      <c r="C510" s="6"/>
      <c r="D510" s="22"/>
      <c r="E510" s="7">
        <v>50000</v>
      </c>
      <c r="F510" s="7">
        <v>50000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24"/>
    </row>
    <row r="511" spans="1:17" ht="33.75">
      <c r="A511" s="34" t="s">
        <v>415</v>
      </c>
      <c r="B511" s="35"/>
      <c r="C511" s="35"/>
      <c r="D511" s="36">
        <f>D513</f>
        <v>790000</v>
      </c>
      <c r="E511" s="36"/>
      <c r="F511" s="36">
        <f>F513</f>
        <v>790000</v>
      </c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24"/>
    </row>
    <row r="512" spans="1:17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24"/>
    </row>
    <row r="513" spans="1:17" ht="11.25">
      <c r="A513" s="8" t="s">
        <v>43</v>
      </c>
      <c r="B513" s="6"/>
      <c r="C513" s="6"/>
      <c r="D513" s="7">
        <f>D515*D517</f>
        <v>790000</v>
      </c>
      <c r="E513" s="7"/>
      <c r="F513" s="7">
        <f>F515*F517</f>
        <v>790000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24"/>
    </row>
    <row r="514" spans="1:17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</row>
    <row r="515" spans="1:17" ht="22.5">
      <c r="A515" s="8" t="s">
        <v>197</v>
      </c>
      <c r="B515" s="6"/>
      <c r="C515" s="6"/>
      <c r="D515" s="7">
        <v>1</v>
      </c>
      <c r="E515" s="7"/>
      <c r="F515" s="7">
        <v>1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24"/>
    </row>
    <row r="516" spans="1:17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24"/>
    </row>
    <row r="517" spans="1:17" ht="22.5">
      <c r="A517" s="8" t="s">
        <v>178</v>
      </c>
      <c r="B517" s="6"/>
      <c r="C517" s="6"/>
      <c r="D517" s="7">
        <v>790000</v>
      </c>
      <c r="E517" s="7"/>
      <c r="F517" s="7">
        <v>790000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24"/>
    </row>
    <row r="518" spans="1:17" ht="36" customHeight="1">
      <c r="A518" s="34" t="s">
        <v>416</v>
      </c>
      <c r="B518" s="35"/>
      <c r="C518" s="35"/>
      <c r="D518" s="36"/>
      <c r="E518" s="36">
        <f>E520</f>
        <v>320000</v>
      </c>
      <c r="F518" s="36">
        <f>F520</f>
        <v>320000</v>
      </c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24"/>
    </row>
    <row r="519" spans="1:17" ht="11.25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24"/>
    </row>
    <row r="520" spans="1:17" ht="11.25">
      <c r="A520" s="8" t="s">
        <v>43</v>
      </c>
      <c r="B520" s="6"/>
      <c r="C520" s="6"/>
      <c r="D520" s="7"/>
      <c r="E520" s="7">
        <f>E522*E524</f>
        <v>320000</v>
      </c>
      <c r="F520" s="7">
        <f>F522*F524</f>
        <v>320000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24"/>
    </row>
    <row r="521" spans="1:17" ht="11.25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</row>
    <row r="522" spans="1:17" ht="22.5">
      <c r="A522" s="8" t="s">
        <v>197</v>
      </c>
      <c r="B522" s="6"/>
      <c r="C522" s="6"/>
      <c r="D522" s="7"/>
      <c r="E522" s="7">
        <v>1</v>
      </c>
      <c r="F522" s="7">
        <v>1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</row>
    <row r="523" spans="1:17" ht="11.25">
      <c r="A523" s="5" t="s">
        <v>7</v>
      </c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24"/>
    </row>
    <row r="524" spans="1:235" ht="11.25">
      <c r="A524" s="8" t="s">
        <v>334</v>
      </c>
      <c r="B524" s="6"/>
      <c r="C524" s="6"/>
      <c r="D524" s="7"/>
      <c r="E524" s="7">
        <v>320000</v>
      </c>
      <c r="F524" s="7">
        <v>320000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  <c r="FQ524" s="53"/>
      <c r="FR524" s="53"/>
      <c r="FS524" s="53"/>
      <c r="FT524" s="53"/>
      <c r="FU524" s="53"/>
      <c r="FV524" s="53"/>
      <c r="FW524" s="53"/>
      <c r="FX524" s="53"/>
      <c r="FY524" s="53"/>
      <c r="FZ524" s="53"/>
      <c r="GA524" s="53"/>
      <c r="GB524" s="53"/>
      <c r="GC524" s="53"/>
      <c r="GD524" s="53"/>
      <c r="GE524" s="53"/>
      <c r="GF524" s="53"/>
      <c r="GG524" s="53"/>
      <c r="GH524" s="53"/>
      <c r="GI524" s="53"/>
      <c r="GJ524" s="53"/>
      <c r="GK524" s="53"/>
      <c r="GL524" s="53"/>
      <c r="GM524" s="53"/>
      <c r="GN524" s="53"/>
      <c r="GO524" s="53"/>
      <c r="GP524" s="53"/>
      <c r="GQ524" s="53"/>
      <c r="GR524" s="53"/>
      <c r="GS524" s="53"/>
      <c r="GT524" s="53"/>
      <c r="GU524" s="53"/>
      <c r="GV524" s="53"/>
      <c r="GW524" s="53"/>
      <c r="GX524" s="53"/>
      <c r="GY524" s="53"/>
      <c r="GZ524" s="53"/>
      <c r="HA524" s="53"/>
      <c r="HB524" s="53"/>
      <c r="HC524" s="53"/>
      <c r="HD524" s="53"/>
      <c r="HE524" s="53"/>
      <c r="HF524" s="53"/>
      <c r="HG524" s="53"/>
      <c r="HH524" s="53"/>
      <c r="HI524" s="53"/>
      <c r="HJ524" s="53"/>
      <c r="HK524" s="53"/>
      <c r="HL524" s="53"/>
      <c r="HM524" s="53"/>
      <c r="HN524" s="53"/>
      <c r="HO524" s="53"/>
      <c r="HP524" s="53"/>
      <c r="HQ524" s="53"/>
      <c r="HR524" s="53"/>
      <c r="HS524" s="53"/>
      <c r="HT524" s="53"/>
      <c r="HU524" s="53"/>
      <c r="HV524" s="53"/>
      <c r="HW524" s="53"/>
      <c r="HX524" s="53"/>
      <c r="HY524" s="53"/>
      <c r="HZ524" s="53"/>
      <c r="IA524" s="53"/>
    </row>
    <row r="525" spans="1:17" ht="24" customHeight="1">
      <c r="A525" s="34" t="s">
        <v>417</v>
      </c>
      <c r="B525" s="35"/>
      <c r="C525" s="35"/>
      <c r="D525" s="36"/>
      <c r="E525" s="36">
        <f>E527</f>
        <v>0</v>
      </c>
      <c r="F525" s="36">
        <f>F527</f>
        <v>0</v>
      </c>
      <c r="G525" s="36">
        <f>G527</f>
        <v>2300000</v>
      </c>
      <c r="H525" s="36"/>
      <c r="I525" s="36"/>
      <c r="J525" s="36">
        <f>J527</f>
        <v>2300000</v>
      </c>
      <c r="K525" s="36"/>
      <c r="L525" s="36"/>
      <c r="M525" s="36"/>
      <c r="N525" s="36"/>
      <c r="O525" s="36"/>
      <c r="P525" s="36"/>
      <c r="Q525" s="24"/>
    </row>
    <row r="526" spans="1:17" ht="11.25">
      <c r="A526" s="5" t="s">
        <v>4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11.25">
      <c r="A527" s="8" t="s">
        <v>43</v>
      </c>
      <c r="B527" s="6"/>
      <c r="C527" s="6"/>
      <c r="D527" s="7"/>
      <c r="E527" s="7">
        <f>E529*E531</f>
        <v>0</v>
      </c>
      <c r="F527" s="7">
        <f>F529*F531</f>
        <v>0</v>
      </c>
      <c r="G527" s="7">
        <f>G529*G531</f>
        <v>2300000</v>
      </c>
      <c r="H527" s="7"/>
      <c r="I527" s="7"/>
      <c r="J527" s="7">
        <f>G527</f>
        <v>2300000</v>
      </c>
      <c r="K527" s="7"/>
      <c r="L527" s="7"/>
      <c r="M527" s="7"/>
      <c r="N527" s="7"/>
      <c r="O527" s="7"/>
      <c r="P527" s="7"/>
      <c r="Q527" s="24"/>
    </row>
    <row r="528" spans="1:17" ht="11.25">
      <c r="A528" s="5" t="s">
        <v>5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22.5">
      <c r="A529" s="8" t="s">
        <v>197</v>
      </c>
      <c r="B529" s="6"/>
      <c r="C529" s="6"/>
      <c r="D529" s="7"/>
      <c r="E529" s="7">
        <v>0</v>
      </c>
      <c r="F529" s="7">
        <v>0</v>
      </c>
      <c r="G529" s="7">
        <v>1</v>
      </c>
      <c r="H529" s="7"/>
      <c r="I529" s="7"/>
      <c r="J529" s="7">
        <f>G529</f>
        <v>1</v>
      </c>
      <c r="K529" s="7"/>
      <c r="L529" s="7"/>
      <c r="M529" s="7"/>
      <c r="N529" s="7"/>
      <c r="O529" s="7"/>
      <c r="P529" s="7"/>
      <c r="Q529" s="24"/>
    </row>
    <row r="530" spans="1:17" ht="11.25">
      <c r="A530" s="5" t="s">
        <v>7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235" ht="11.25">
      <c r="A531" s="8" t="s">
        <v>334</v>
      </c>
      <c r="B531" s="6"/>
      <c r="C531" s="6"/>
      <c r="D531" s="7"/>
      <c r="E531" s="7"/>
      <c r="F531" s="7">
        <v>0</v>
      </c>
      <c r="G531" s="7">
        <v>2300000</v>
      </c>
      <c r="H531" s="7"/>
      <c r="I531" s="7"/>
      <c r="J531" s="7">
        <f>G531</f>
        <v>2300000</v>
      </c>
      <c r="K531" s="7"/>
      <c r="L531" s="7"/>
      <c r="M531" s="7"/>
      <c r="N531" s="7"/>
      <c r="O531" s="7"/>
      <c r="P531" s="7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235" ht="33.75">
      <c r="A532" s="34" t="s">
        <v>427</v>
      </c>
      <c r="B532" s="6"/>
      <c r="C532" s="6"/>
      <c r="D532" s="7"/>
      <c r="E532" s="7"/>
      <c r="F532" s="7"/>
      <c r="G532" s="36">
        <f>G534</f>
        <v>3200000</v>
      </c>
      <c r="H532" s="7"/>
      <c r="I532" s="7"/>
      <c r="J532" s="36">
        <f>G532</f>
        <v>3200000</v>
      </c>
      <c r="K532" s="7"/>
      <c r="L532" s="7"/>
      <c r="M532" s="7"/>
      <c r="N532" s="7"/>
      <c r="O532" s="7"/>
      <c r="P532" s="7"/>
      <c r="Q532" s="24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  <c r="DG532" s="53"/>
      <c r="DH532" s="53"/>
      <c r="DI532" s="53"/>
      <c r="DJ532" s="53"/>
      <c r="DK532" s="53"/>
      <c r="DL532" s="53"/>
      <c r="DM532" s="53"/>
      <c r="DN532" s="53"/>
      <c r="DO532" s="53"/>
      <c r="DP532" s="53"/>
      <c r="DQ532" s="53"/>
      <c r="DR532" s="53"/>
      <c r="DS532" s="53"/>
      <c r="DT532" s="53"/>
      <c r="DU532" s="53"/>
      <c r="DV532" s="53"/>
      <c r="DW532" s="53"/>
      <c r="DX532" s="53"/>
      <c r="DY532" s="53"/>
      <c r="DZ532" s="53"/>
      <c r="EA532" s="53"/>
      <c r="EB532" s="53"/>
      <c r="EC532" s="53"/>
      <c r="ED532" s="53"/>
      <c r="EE532" s="53"/>
      <c r="EF532" s="53"/>
      <c r="EG532" s="53"/>
      <c r="EH532" s="53"/>
      <c r="EI532" s="53"/>
      <c r="EJ532" s="53"/>
      <c r="EK532" s="53"/>
      <c r="EL532" s="53"/>
      <c r="EM532" s="53"/>
      <c r="EN532" s="53"/>
      <c r="EO532" s="53"/>
      <c r="EP532" s="53"/>
      <c r="EQ532" s="53"/>
      <c r="ER532" s="53"/>
      <c r="ES532" s="53"/>
      <c r="ET532" s="53"/>
      <c r="EU532" s="53"/>
      <c r="EV532" s="53"/>
      <c r="EW532" s="53"/>
      <c r="EX532" s="53"/>
      <c r="EY532" s="53"/>
      <c r="EZ532" s="53"/>
      <c r="FA532" s="53"/>
      <c r="FB532" s="53"/>
      <c r="FC532" s="53"/>
      <c r="FD532" s="53"/>
      <c r="FE532" s="53"/>
      <c r="FF532" s="53"/>
      <c r="FG532" s="53"/>
      <c r="FH532" s="53"/>
      <c r="FI532" s="53"/>
      <c r="FJ532" s="53"/>
      <c r="FK532" s="53"/>
      <c r="FL532" s="53"/>
      <c r="FM532" s="53"/>
      <c r="FN532" s="53"/>
      <c r="FO532" s="53"/>
      <c r="FP532" s="53"/>
      <c r="FQ532" s="53"/>
      <c r="FR532" s="53"/>
      <c r="FS532" s="53"/>
      <c r="FT532" s="53"/>
      <c r="FU532" s="53"/>
      <c r="FV532" s="53"/>
      <c r="FW532" s="53"/>
      <c r="FX532" s="53"/>
      <c r="FY532" s="53"/>
      <c r="FZ532" s="53"/>
      <c r="GA532" s="53"/>
      <c r="GB532" s="53"/>
      <c r="GC532" s="53"/>
      <c r="GD532" s="53"/>
      <c r="GE532" s="53"/>
      <c r="GF532" s="53"/>
      <c r="GG532" s="53"/>
      <c r="GH532" s="53"/>
      <c r="GI532" s="53"/>
      <c r="GJ532" s="53"/>
      <c r="GK532" s="53"/>
      <c r="GL532" s="53"/>
      <c r="GM532" s="53"/>
      <c r="GN532" s="53"/>
      <c r="GO532" s="53"/>
      <c r="GP532" s="53"/>
      <c r="GQ532" s="53"/>
      <c r="GR532" s="53"/>
      <c r="GS532" s="53"/>
      <c r="GT532" s="53"/>
      <c r="GU532" s="53"/>
      <c r="GV532" s="53"/>
      <c r="GW532" s="53"/>
      <c r="GX532" s="53"/>
      <c r="GY532" s="53"/>
      <c r="GZ532" s="53"/>
      <c r="HA532" s="53"/>
      <c r="HB532" s="53"/>
      <c r="HC532" s="53"/>
      <c r="HD532" s="53"/>
      <c r="HE532" s="53"/>
      <c r="HF532" s="53"/>
      <c r="HG532" s="53"/>
      <c r="HH532" s="53"/>
      <c r="HI532" s="53"/>
      <c r="HJ532" s="53"/>
      <c r="HK532" s="53"/>
      <c r="HL532" s="53"/>
      <c r="HM532" s="53"/>
      <c r="HN532" s="53"/>
      <c r="HO532" s="53"/>
      <c r="HP532" s="53"/>
      <c r="HQ532" s="53"/>
      <c r="HR532" s="53"/>
      <c r="HS532" s="53"/>
      <c r="HT532" s="53"/>
      <c r="HU532" s="53"/>
      <c r="HV532" s="53"/>
      <c r="HW532" s="53"/>
      <c r="HX532" s="53"/>
      <c r="HY532" s="53"/>
      <c r="HZ532" s="53"/>
      <c r="IA532" s="53"/>
    </row>
    <row r="533" spans="1:235" ht="11.25">
      <c r="A533" s="5" t="s">
        <v>4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  <c r="DG533" s="53"/>
      <c r="DH533" s="53"/>
      <c r="DI533" s="53"/>
      <c r="DJ533" s="53"/>
      <c r="DK533" s="53"/>
      <c r="DL533" s="53"/>
      <c r="DM533" s="53"/>
      <c r="DN533" s="53"/>
      <c r="DO533" s="53"/>
      <c r="DP533" s="53"/>
      <c r="DQ533" s="53"/>
      <c r="DR533" s="53"/>
      <c r="DS533" s="53"/>
      <c r="DT533" s="53"/>
      <c r="DU533" s="53"/>
      <c r="DV533" s="53"/>
      <c r="DW533" s="53"/>
      <c r="DX533" s="53"/>
      <c r="DY533" s="53"/>
      <c r="DZ533" s="53"/>
      <c r="EA533" s="53"/>
      <c r="EB533" s="53"/>
      <c r="EC533" s="53"/>
      <c r="ED533" s="53"/>
      <c r="EE533" s="53"/>
      <c r="EF533" s="53"/>
      <c r="EG533" s="53"/>
      <c r="EH533" s="53"/>
      <c r="EI533" s="53"/>
      <c r="EJ533" s="53"/>
      <c r="EK533" s="53"/>
      <c r="EL533" s="53"/>
      <c r="EM533" s="53"/>
      <c r="EN533" s="53"/>
      <c r="EO533" s="53"/>
      <c r="EP533" s="53"/>
      <c r="EQ533" s="53"/>
      <c r="ER533" s="53"/>
      <c r="ES533" s="53"/>
      <c r="ET533" s="53"/>
      <c r="EU533" s="53"/>
      <c r="EV533" s="53"/>
      <c r="EW533" s="53"/>
      <c r="EX533" s="53"/>
      <c r="EY533" s="53"/>
      <c r="EZ533" s="53"/>
      <c r="FA533" s="53"/>
      <c r="FB533" s="53"/>
      <c r="FC533" s="53"/>
      <c r="FD533" s="53"/>
      <c r="FE533" s="53"/>
      <c r="FF533" s="53"/>
      <c r="FG533" s="53"/>
      <c r="FH533" s="53"/>
      <c r="FI533" s="53"/>
      <c r="FJ533" s="53"/>
      <c r="FK533" s="53"/>
      <c r="FL533" s="53"/>
      <c r="FM533" s="53"/>
      <c r="FN533" s="53"/>
      <c r="FO533" s="53"/>
      <c r="FP533" s="53"/>
      <c r="FQ533" s="53"/>
      <c r="FR533" s="53"/>
      <c r="FS533" s="53"/>
      <c r="FT533" s="53"/>
      <c r="FU533" s="53"/>
      <c r="FV533" s="53"/>
      <c r="FW533" s="53"/>
      <c r="FX533" s="53"/>
      <c r="FY533" s="53"/>
      <c r="FZ533" s="53"/>
      <c r="GA533" s="53"/>
      <c r="GB533" s="53"/>
      <c r="GC533" s="53"/>
      <c r="GD533" s="53"/>
      <c r="GE533" s="53"/>
      <c r="GF533" s="53"/>
      <c r="GG533" s="53"/>
      <c r="GH533" s="53"/>
      <c r="GI533" s="53"/>
      <c r="GJ533" s="53"/>
      <c r="GK533" s="53"/>
      <c r="GL533" s="53"/>
      <c r="GM533" s="53"/>
      <c r="GN533" s="53"/>
      <c r="GO533" s="53"/>
      <c r="GP533" s="53"/>
      <c r="GQ533" s="53"/>
      <c r="GR533" s="53"/>
      <c r="GS533" s="53"/>
      <c r="GT533" s="53"/>
      <c r="GU533" s="53"/>
      <c r="GV533" s="53"/>
      <c r="GW533" s="53"/>
      <c r="GX533" s="53"/>
      <c r="GY533" s="53"/>
      <c r="GZ533" s="53"/>
      <c r="HA533" s="53"/>
      <c r="HB533" s="53"/>
      <c r="HC533" s="53"/>
      <c r="HD533" s="53"/>
      <c r="HE533" s="53"/>
      <c r="HF533" s="53"/>
      <c r="HG533" s="53"/>
      <c r="HH533" s="53"/>
      <c r="HI533" s="53"/>
      <c r="HJ533" s="53"/>
      <c r="HK533" s="53"/>
      <c r="HL533" s="53"/>
      <c r="HM533" s="53"/>
      <c r="HN533" s="53"/>
      <c r="HO533" s="53"/>
      <c r="HP533" s="53"/>
      <c r="HQ533" s="53"/>
      <c r="HR533" s="53"/>
      <c r="HS533" s="53"/>
      <c r="HT533" s="53"/>
      <c r="HU533" s="53"/>
      <c r="HV533" s="53"/>
      <c r="HW533" s="53"/>
      <c r="HX533" s="53"/>
      <c r="HY533" s="53"/>
      <c r="HZ533" s="53"/>
      <c r="IA533" s="53"/>
    </row>
    <row r="534" spans="1:235" ht="11.25">
      <c r="A534" s="8" t="s">
        <v>43</v>
      </c>
      <c r="B534" s="6"/>
      <c r="C534" s="6"/>
      <c r="D534" s="7"/>
      <c r="E534" s="7"/>
      <c r="F534" s="7"/>
      <c r="G534" s="7">
        <v>3200000</v>
      </c>
      <c r="H534" s="7"/>
      <c r="I534" s="7"/>
      <c r="J534" s="7">
        <f>G534</f>
        <v>3200000</v>
      </c>
      <c r="K534" s="7"/>
      <c r="L534" s="7"/>
      <c r="M534" s="7"/>
      <c r="N534" s="7"/>
      <c r="O534" s="7"/>
      <c r="P534" s="7"/>
      <c r="Q534" s="24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  <c r="CZ534" s="53"/>
      <c r="DA534" s="53"/>
      <c r="DB534" s="53"/>
      <c r="DC534" s="53"/>
      <c r="DD534" s="53"/>
      <c r="DE534" s="53"/>
      <c r="DF534" s="53"/>
      <c r="DG534" s="53"/>
      <c r="DH534" s="53"/>
      <c r="DI534" s="53"/>
      <c r="DJ534" s="53"/>
      <c r="DK534" s="53"/>
      <c r="DL534" s="53"/>
      <c r="DM534" s="53"/>
      <c r="DN534" s="53"/>
      <c r="DO534" s="53"/>
      <c r="DP534" s="53"/>
      <c r="DQ534" s="53"/>
      <c r="DR534" s="53"/>
      <c r="DS534" s="53"/>
      <c r="DT534" s="53"/>
      <c r="DU534" s="53"/>
      <c r="DV534" s="53"/>
      <c r="DW534" s="53"/>
      <c r="DX534" s="53"/>
      <c r="DY534" s="53"/>
      <c r="DZ534" s="53"/>
      <c r="EA534" s="53"/>
      <c r="EB534" s="53"/>
      <c r="EC534" s="53"/>
      <c r="ED534" s="53"/>
      <c r="EE534" s="53"/>
      <c r="EF534" s="53"/>
      <c r="EG534" s="53"/>
      <c r="EH534" s="53"/>
      <c r="EI534" s="53"/>
      <c r="EJ534" s="53"/>
      <c r="EK534" s="53"/>
      <c r="EL534" s="53"/>
      <c r="EM534" s="53"/>
      <c r="EN534" s="53"/>
      <c r="EO534" s="53"/>
      <c r="EP534" s="53"/>
      <c r="EQ534" s="53"/>
      <c r="ER534" s="53"/>
      <c r="ES534" s="53"/>
      <c r="ET534" s="53"/>
      <c r="EU534" s="53"/>
      <c r="EV534" s="53"/>
      <c r="EW534" s="53"/>
      <c r="EX534" s="53"/>
      <c r="EY534" s="53"/>
      <c r="EZ534" s="53"/>
      <c r="FA534" s="53"/>
      <c r="FB534" s="53"/>
      <c r="FC534" s="53"/>
      <c r="FD534" s="53"/>
      <c r="FE534" s="53"/>
      <c r="FF534" s="53"/>
      <c r="FG534" s="53"/>
      <c r="FH534" s="53"/>
      <c r="FI534" s="53"/>
      <c r="FJ534" s="53"/>
      <c r="FK534" s="53"/>
      <c r="FL534" s="53"/>
      <c r="FM534" s="53"/>
      <c r="FN534" s="53"/>
      <c r="FO534" s="53"/>
      <c r="FP534" s="53"/>
      <c r="FQ534" s="53"/>
      <c r="FR534" s="53"/>
      <c r="FS534" s="53"/>
      <c r="FT534" s="53"/>
      <c r="FU534" s="53"/>
      <c r="FV534" s="53"/>
      <c r="FW534" s="53"/>
      <c r="FX534" s="53"/>
      <c r="FY534" s="53"/>
      <c r="FZ534" s="53"/>
      <c r="GA534" s="53"/>
      <c r="GB534" s="53"/>
      <c r="GC534" s="53"/>
      <c r="GD534" s="53"/>
      <c r="GE534" s="53"/>
      <c r="GF534" s="53"/>
      <c r="GG534" s="53"/>
      <c r="GH534" s="53"/>
      <c r="GI534" s="53"/>
      <c r="GJ534" s="53"/>
      <c r="GK534" s="53"/>
      <c r="GL534" s="53"/>
      <c r="GM534" s="53"/>
      <c r="GN534" s="53"/>
      <c r="GO534" s="53"/>
      <c r="GP534" s="53"/>
      <c r="GQ534" s="53"/>
      <c r="GR534" s="53"/>
      <c r="GS534" s="53"/>
      <c r="GT534" s="53"/>
      <c r="GU534" s="53"/>
      <c r="GV534" s="53"/>
      <c r="GW534" s="53"/>
      <c r="GX534" s="53"/>
      <c r="GY534" s="53"/>
      <c r="GZ534" s="53"/>
      <c r="HA534" s="53"/>
      <c r="HB534" s="53"/>
      <c r="HC534" s="53"/>
      <c r="HD534" s="53"/>
      <c r="HE534" s="53"/>
      <c r="HF534" s="53"/>
      <c r="HG534" s="53"/>
      <c r="HH534" s="53"/>
      <c r="HI534" s="53"/>
      <c r="HJ534" s="53"/>
      <c r="HK534" s="53"/>
      <c r="HL534" s="53"/>
      <c r="HM534" s="53"/>
      <c r="HN534" s="53"/>
      <c r="HO534" s="53"/>
      <c r="HP534" s="53"/>
      <c r="HQ534" s="53"/>
      <c r="HR534" s="53"/>
      <c r="HS534" s="53"/>
      <c r="HT534" s="53"/>
      <c r="HU534" s="53"/>
      <c r="HV534" s="53"/>
      <c r="HW534" s="53"/>
      <c r="HX534" s="53"/>
      <c r="HY534" s="53"/>
      <c r="HZ534" s="53"/>
      <c r="IA534" s="53"/>
    </row>
    <row r="535" spans="1:235" ht="11.25">
      <c r="A535" s="5" t="s">
        <v>5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  <c r="DG535" s="53"/>
      <c r="DH535" s="53"/>
      <c r="DI535" s="53"/>
      <c r="DJ535" s="53"/>
      <c r="DK535" s="53"/>
      <c r="DL535" s="53"/>
      <c r="DM535" s="53"/>
      <c r="DN535" s="53"/>
      <c r="DO535" s="53"/>
      <c r="DP535" s="53"/>
      <c r="DQ535" s="53"/>
      <c r="DR535" s="53"/>
      <c r="DS535" s="53"/>
      <c r="DT535" s="53"/>
      <c r="DU535" s="53"/>
      <c r="DV535" s="53"/>
      <c r="DW535" s="53"/>
      <c r="DX535" s="53"/>
      <c r="DY535" s="53"/>
      <c r="DZ535" s="53"/>
      <c r="EA535" s="53"/>
      <c r="EB535" s="53"/>
      <c r="EC535" s="53"/>
      <c r="ED535" s="53"/>
      <c r="EE535" s="53"/>
      <c r="EF535" s="53"/>
      <c r="EG535" s="53"/>
      <c r="EH535" s="53"/>
      <c r="EI535" s="53"/>
      <c r="EJ535" s="53"/>
      <c r="EK535" s="53"/>
      <c r="EL535" s="53"/>
      <c r="EM535" s="53"/>
      <c r="EN535" s="53"/>
      <c r="EO535" s="53"/>
      <c r="EP535" s="53"/>
      <c r="EQ535" s="53"/>
      <c r="ER535" s="53"/>
      <c r="ES535" s="53"/>
      <c r="ET535" s="53"/>
      <c r="EU535" s="53"/>
      <c r="EV535" s="53"/>
      <c r="EW535" s="53"/>
      <c r="EX535" s="53"/>
      <c r="EY535" s="53"/>
      <c r="EZ535" s="53"/>
      <c r="FA535" s="53"/>
      <c r="FB535" s="53"/>
      <c r="FC535" s="53"/>
      <c r="FD535" s="53"/>
      <c r="FE535" s="53"/>
      <c r="FF535" s="53"/>
      <c r="FG535" s="53"/>
      <c r="FH535" s="53"/>
      <c r="FI535" s="53"/>
      <c r="FJ535" s="53"/>
      <c r="FK535" s="53"/>
      <c r="FL535" s="53"/>
      <c r="FM535" s="53"/>
      <c r="FN535" s="53"/>
      <c r="FO535" s="53"/>
      <c r="FP535" s="53"/>
      <c r="FQ535" s="53"/>
      <c r="FR535" s="53"/>
      <c r="FS535" s="53"/>
      <c r="FT535" s="53"/>
      <c r="FU535" s="53"/>
      <c r="FV535" s="53"/>
      <c r="FW535" s="53"/>
      <c r="FX535" s="53"/>
      <c r="FY535" s="53"/>
      <c r="FZ535" s="53"/>
      <c r="GA535" s="53"/>
      <c r="GB535" s="53"/>
      <c r="GC535" s="53"/>
      <c r="GD535" s="53"/>
      <c r="GE535" s="53"/>
      <c r="GF535" s="53"/>
      <c r="GG535" s="53"/>
      <c r="GH535" s="53"/>
      <c r="GI535" s="53"/>
      <c r="GJ535" s="53"/>
      <c r="GK535" s="53"/>
      <c r="GL535" s="53"/>
      <c r="GM535" s="53"/>
      <c r="GN535" s="53"/>
      <c r="GO535" s="53"/>
      <c r="GP535" s="53"/>
      <c r="GQ535" s="53"/>
      <c r="GR535" s="53"/>
      <c r="GS535" s="53"/>
      <c r="GT535" s="53"/>
      <c r="GU535" s="53"/>
      <c r="GV535" s="53"/>
      <c r="GW535" s="53"/>
      <c r="GX535" s="53"/>
      <c r="GY535" s="53"/>
      <c r="GZ535" s="53"/>
      <c r="HA535" s="53"/>
      <c r="HB535" s="53"/>
      <c r="HC535" s="53"/>
      <c r="HD535" s="53"/>
      <c r="HE535" s="53"/>
      <c r="HF535" s="53"/>
      <c r="HG535" s="53"/>
      <c r="HH535" s="53"/>
      <c r="HI535" s="53"/>
      <c r="HJ535" s="53"/>
      <c r="HK535" s="53"/>
      <c r="HL535" s="53"/>
      <c r="HM535" s="53"/>
      <c r="HN535" s="53"/>
      <c r="HO535" s="53"/>
      <c r="HP535" s="53"/>
      <c r="HQ535" s="53"/>
      <c r="HR535" s="53"/>
      <c r="HS535" s="53"/>
      <c r="HT535" s="53"/>
      <c r="HU535" s="53"/>
      <c r="HV535" s="53"/>
      <c r="HW535" s="53"/>
      <c r="HX535" s="53"/>
      <c r="HY535" s="53"/>
      <c r="HZ535" s="53"/>
      <c r="IA535" s="53"/>
    </row>
    <row r="536" spans="1:235" ht="22.5">
      <c r="A536" s="8" t="s">
        <v>197</v>
      </c>
      <c r="B536" s="6"/>
      <c r="C536" s="6"/>
      <c r="D536" s="7"/>
      <c r="E536" s="7"/>
      <c r="F536" s="7"/>
      <c r="G536" s="7">
        <v>59</v>
      </c>
      <c r="H536" s="7"/>
      <c r="I536" s="7"/>
      <c r="J536" s="7">
        <f>G536</f>
        <v>59</v>
      </c>
      <c r="K536" s="7"/>
      <c r="L536" s="7"/>
      <c r="M536" s="7"/>
      <c r="N536" s="7"/>
      <c r="O536" s="7"/>
      <c r="P536" s="7"/>
      <c r="Q536" s="24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  <c r="DG536" s="53"/>
      <c r="DH536" s="53"/>
      <c r="DI536" s="53"/>
      <c r="DJ536" s="53"/>
      <c r="DK536" s="53"/>
      <c r="DL536" s="53"/>
      <c r="DM536" s="53"/>
      <c r="DN536" s="53"/>
      <c r="DO536" s="53"/>
      <c r="DP536" s="53"/>
      <c r="DQ536" s="53"/>
      <c r="DR536" s="53"/>
      <c r="DS536" s="53"/>
      <c r="DT536" s="53"/>
      <c r="DU536" s="53"/>
      <c r="DV536" s="53"/>
      <c r="DW536" s="53"/>
      <c r="DX536" s="53"/>
      <c r="DY536" s="53"/>
      <c r="DZ536" s="53"/>
      <c r="EA536" s="53"/>
      <c r="EB536" s="53"/>
      <c r="EC536" s="53"/>
      <c r="ED536" s="53"/>
      <c r="EE536" s="53"/>
      <c r="EF536" s="53"/>
      <c r="EG536" s="53"/>
      <c r="EH536" s="53"/>
      <c r="EI536" s="53"/>
      <c r="EJ536" s="53"/>
      <c r="EK536" s="53"/>
      <c r="EL536" s="53"/>
      <c r="EM536" s="53"/>
      <c r="EN536" s="53"/>
      <c r="EO536" s="53"/>
      <c r="EP536" s="53"/>
      <c r="EQ536" s="53"/>
      <c r="ER536" s="53"/>
      <c r="ES536" s="53"/>
      <c r="ET536" s="53"/>
      <c r="EU536" s="53"/>
      <c r="EV536" s="53"/>
      <c r="EW536" s="53"/>
      <c r="EX536" s="53"/>
      <c r="EY536" s="53"/>
      <c r="EZ536" s="53"/>
      <c r="FA536" s="53"/>
      <c r="FB536" s="53"/>
      <c r="FC536" s="53"/>
      <c r="FD536" s="53"/>
      <c r="FE536" s="53"/>
      <c r="FF536" s="53"/>
      <c r="FG536" s="53"/>
      <c r="FH536" s="53"/>
      <c r="FI536" s="53"/>
      <c r="FJ536" s="53"/>
      <c r="FK536" s="53"/>
      <c r="FL536" s="53"/>
      <c r="FM536" s="53"/>
      <c r="FN536" s="53"/>
      <c r="FO536" s="53"/>
      <c r="FP536" s="53"/>
      <c r="FQ536" s="53"/>
      <c r="FR536" s="53"/>
      <c r="FS536" s="53"/>
      <c r="FT536" s="53"/>
      <c r="FU536" s="53"/>
      <c r="FV536" s="53"/>
      <c r="FW536" s="53"/>
      <c r="FX536" s="53"/>
      <c r="FY536" s="53"/>
      <c r="FZ536" s="53"/>
      <c r="GA536" s="53"/>
      <c r="GB536" s="53"/>
      <c r="GC536" s="53"/>
      <c r="GD536" s="53"/>
      <c r="GE536" s="53"/>
      <c r="GF536" s="53"/>
      <c r="GG536" s="53"/>
      <c r="GH536" s="53"/>
      <c r="GI536" s="53"/>
      <c r="GJ536" s="53"/>
      <c r="GK536" s="53"/>
      <c r="GL536" s="53"/>
      <c r="GM536" s="53"/>
      <c r="GN536" s="53"/>
      <c r="GO536" s="53"/>
      <c r="GP536" s="53"/>
      <c r="GQ536" s="53"/>
      <c r="GR536" s="53"/>
      <c r="GS536" s="53"/>
      <c r="GT536" s="53"/>
      <c r="GU536" s="53"/>
      <c r="GV536" s="53"/>
      <c r="GW536" s="53"/>
      <c r="GX536" s="53"/>
      <c r="GY536" s="53"/>
      <c r="GZ536" s="53"/>
      <c r="HA536" s="53"/>
      <c r="HB536" s="53"/>
      <c r="HC536" s="53"/>
      <c r="HD536" s="53"/>
      <c r="HE536" s="53"/>
      <c r="HF536" s="53"/>
      <c r="HG536" s="53"/>
      <c r="HH536" s="53"/>
      <c r="HI536" s="53"/>
      <c r="HJ536" s="53"/>
      <c r="HK536" s="53"/>
      <c r="HL536" s="53"/>
      <c r="HM536" s="53"/>
      <c r="HN536" s="53"/>
      <c r="HO536" s="53"/>
      <c r="HP536" s="53"/>
      <c r="HQ536" s="53"/>
      <c r="HR536" s="53"/>
      <c r="HS536" s="53"/>
      <c r="HT536" s="53"/>
      <c r="HU536" s="53"/>
      <c r="HV536" s="53"/>
      <c r="HW536" s="53"/>
      <c r="HX536" s="53"/>
      <c r="HY536" s="53"/>
      <c r="HZ536" s="53"/>
      <c r="IA536" s="53"/>
    </row>
    <row r="537" spans="1:235" ht="11.25">
      <c r="A537" s="5" t="s">
        <v>7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  <c r="HZ537" s="53"/>
      <c r="IA537" s="53"/>
    </row>
    <row r="538" spans="1:235" ht="11.25">
      <c r="A538" s="8" t="s">
        <v>334</v>
      </c>
      <c r="B538" s="6"/>
      <c r="C538" s="6"/>
      <c r="D538" s="7"/>
      <c r="E538" s="7"/>
      <c r="F538" s="7"/>
      <c r="G538" s="7">
        <v>54237.29</v>
      </c>
      <c r="H538" s="7"/>
      <c r="I538" s="7"/>
      <c r="J538" s="7">
        <f>G538</f>
        <v>54237.29</v>
      </c>
      <c r="K538" s="7"/>
      <c r="L538" s="7"/>
      <c r="M538" s="7"/>
      <c r="N538" s="7"/>
      <c r="O538" s="7"/>
      <c r="P538" s="7"/>
      <c r="Q538" s="24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  <c r="DG538" s="53"/>
      <c r="DH538" s="53"/>
      <c r="DI538" s="53"/>
      <c r="DJ538" s="53"/>
      <c r="DK538" s="53"/>
      <c r="DL538" s="53"/>
      <c r="DM538" s="53"/>
      <c r="DN538" s="53"/>
      <c r="DO538" s="53"/>
      <c r="DP538" s="53"/>
      <c r="DQ538" s="53"/>
      <c r="DR538" s="53"/>
      <c r="DS538" s="53"/>
      <c r="DT538" s="53"/>
      <c r="DU538" s="53"/>
      <c r="DV538" s="53"/>
      <c r="DW538" s="53"/>
      <c r="DX538" s="53"/>
      <c r="DY538" s="53"/>
      <c r="DZ538" s="53"/>
      <c r="EA538" s="53"/>
      <c r="EB538" s="53"/>
      <c r="EC538" s="53"/>
      <c r="ED538" s="53"/>
      <c r="EE538" s="53"/>
      <c r="EF538" s="53"/>
      <c r="EG538" s="53"/>
      <c r="EH538" s="53"/>
      <c r="EI538" s="53"/>
      <c r="EJ538" s="53"/>
      <c r="EK538" s="53"/>
      <c r="EL538" s="53"/>
      <c r="EM538" s="53"/>
      <c r="EN538" s="53"/>
      <c r="EO538" s="53"/>
      <c r="EP538" s="53"/>
      <c r="EQ538" s="53"/>
      <c r="ER538" s="53"/>
      <c r="ES538" s="53"/>
      <c r="ET538" s="53"/>
      <c r="EU538" s="53"/>
      <c r="EV538" s="53"/>
      <c r="EW538" s="53"/>
      <c r="EX538" s="53"/>
      <c r="EY538" s="53"/>
      <c r="EZ538" s="53"/>
      <c r="FA538" s="53"/>
      <c r="FB538" s="53"/>
      <c r="FC538" s="53"/>
      <c r="FD538" s="53"/>
      <c r="FE538" s="53"/>
      <c r="FF538" s="53"/>
      <c r="FG538" s="53"/>
      <c r="FH538" s="53"/>
      <c r="FI538" s="53"/>
      <c r="FJ538" s="53"/>
      <c r="FK538" s="53"/>
      <c r="FL538" s="53"/>
      <c r="FM538" s="53"/>
      <c r="FN538" s="53"/>
      <c r="FO538" s="53"/>
      <c r="FP538" s="53"/>
      <c r="FQ538" s="53"/>
      <c r="FR538" s="53"/>
      <c r="FS538" s="53"/>
      <c r="FT538" s="53"/>
      <c r="FU538" s="53"/>
      <c r="FV538" s="53"/>
      <c r="FW538" s="53"/>
      <c r="FX538" s="53"/>
      <c r="FY538" s="53"/>
      <c r="FZ538" s="53"/>
      <c r="GA538" s="53"/>
      <c r="GB538" s="53"/>
      <c r="GC538" s="53"/>
      <c r="GD538" s="53"/>
      <c r="GE538" s="53"/>
      <c r="GF538" s="53"/>
      <c r="GG538" s="53"/>
      <c r="GH538" s="53"/>
      <c r="GI538" s="53"/>
      <c r="GJ538" s="53"/>
      <c r="GK538" s="53"/>
      <c r="GL538" s="53"/>
      <c r="GM538" s="53"/>
      <c r="GN538" s="53"/>
      <c r="GO538" s="53"/>
      <c r="GP538" s="53"/>
      <c r="GQ538" s="53"/>
      <c r="GR538" s="53"/>
      <c r="GS538" s="53"/>
      <c r="GT538" s="53"/>
      <c r="GU538" s="53"/>
      <c r="GV538" s="53"/>
      <c r="GW538" s="53"/>
      <c r="GX538" s="53"/>
      <c r="GY538" s="53"/>
      <c r="GZ538" s="53"/>
      <c r="HA538" s="53"/>
      <c r="HB538" s="53"/>
      <c r="HC538" s="53"/>
      <c r="HD538" s="53"/>
      <c r="HE538" s="53"/>
      <c r="HF538" s="53"/>
      <c r="HG538" s="53"/>
      <c r="HH538" s="53"/>
      <c r="HI538" s="53"/>
      <c r="HJ538" s="53"/>
      <c r="HK538" s="53"/>
      <c r="HL538" s="53"/>
      <c r="HM538" s="53"/>
      <c r="HN538" s="53"/>
      <c r="HO538" s="53"/>
      <c r="HP538" s="53"/>
      <c r="HQ538" s="53"/>
      <c r="HR538" s="53"/>
      <c r="HS538" s="53"/>
      <c r="HT538" s="53"/>
      <c r="HU538" s="53"/>
      <c r="HV538" s="53"/>
      <c r="HW538" s="53"/>
      <c r="HX538" s="53"/>
      <c r="HY538" s="53"/>
      <c r="HZ538" s="53"/>
      <c r="IA538" s="53"/>
    </row>
    <row r="539" spans="1:235" ht="11.25">
      <c r="A539" s="8"/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s="139" customFormat="1" ht="11.25">
      <c r="A540" s="154" t="s">
        <v>259</v>
      </c>
      <c r="B540" s="136"/>
      <c r="C540" s="136"/>
      <c r="D540" s="145">
        <f>D542</f>
        <v>1500000</v>
      </c>
      <c r="E540" s="145">
        <v>0</v>
      </c>
      <c r="F540" s="145">
        <f>D540</f>
        <v>1500000</v>
      </c>
      <c r="G540" s="145">
        <f>G542</f>
        <v>1800000</v>
      </c>
      <c r="H540" s="145"/>
      <c r="I540" s="145">
        <f>I542</f>
        <v>0</v>
      </c>
      <c r="J540" s="145">
        <f>J542</f>
        <v>1800000</v>
      </c>
      <c r="K540" s="145"/>
      <c r="L540" s="145"/>
      <c r="M540" s="145"/>
      <c r="N540" s="145">
        <f>N542</f>
        <v>1500000</v>
      </c>
      <c r="O540" s="145"/>
      <c r="P540" s="145">
        <f>P542</f>
        <v>1500000</v>
      </c>
      <c r="Q540" s="156"/>
    </row>
    <row r="541" spans="1:235" ht="54.75" customHeight="1">
      <c r="A541" s="8" t="s">
        <v>165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17" s="76" customFormat="1" ht="22.5">
      <c r="A542" s="34" t="s">
        <v>428</v>
      </c>
      <c r="B542" s="37"/>
      <c r="C542" s="37"/>
      <c r="D542" s="57">
        <f>D543+D550</f>
        <v>1500000</v>
      </c>
      <c r="E542" s="57"/>
      <c r="F542" s="57">
        <f>D542</f>
        <v>1500000</v>
      </c>
      <c r="G542" s="30">
        <f>G543+G550</f>
        <v>1800000</v>
      </c>
      <c r="H542" s="30"/>
      <c r="I542" s="30"/>
      <c r="J542" s="30">
        <f>G542</f>
        <v>1800000</v>
      </c>
      <c r="K542" s="30"/>
      <c r="L542" s="30"/>
      <c r="M542" s="30"/>
      <c r="N542" s="30">
        <f>N543+N550</f>
        <v>1500000</v>
      </c>
      <c r="O542" s="30"/>
      <c r="P542" s="30">
        <f>N542</f>
        <v>1500000</v>
      </c>
      <c r="Q542" s="75"/>
    </row>
    <row r="543" spans="1:17" s="79" customFormat="1" ht="45">
      <c r="A543" s="77" t="s">
        <v>429</v>
      </c>
      <c r="B543" s="35"/>
      <c r="C543" s="35"/>
      <c r="D543" s="45">
        <f>D547*D549</f>
        <v>1300000</v>
      </c>
      <c r="E543" s="45"/>
      <c r="F543" s="45">
        <f>D543+E543</f>
        <v>1300000</v>
      </c>
      <c r="G543" s="36">
        <f>G547*G549</f>
        <v>1500000</v>
      </c>
      <c r="H543" s="36">
        <f aca="true" t="shared" si="61" ref="H543:O543">H547*H549</f>
        <v>0</v>
      </c>
      <c r="I543" s="36">
        <f t="shared" si="61"/>
        <v>0</v>
      </c>
      <c r="J543" s="36">
        <f>G543</f>
        <v>1500000</v>
      </c>
      <c r="K543" s="36">
        <f t="shared" si="61"/>
        <v>0</v>
      </c>
      <c r="L543" s="36">
        <f t="shared" si="61"/>
        <v>0</v>
      </c>
      <c r="M543" s="36">
        <f t="shared" si="61"/>
        <v>0</v>
      </c>
      <c r="N543" s="36">
        <f>N547*N549</f>
        <v>1300000</v>
      </c>
      <c r="O543" s="36">
        <f t="shared" si="61"/>
        <v>0</v>
      </c>
      <c r="P543" s="36">
        <f>N543</f>
        <v>1300000</v>
      </c>
      <c r="Q543" s="78"/>
    </row>
    <row r="544" spans="1:17" s="52" customFormat="1" ht="11.25">
      <c r="A544" s="5" t="s">
        <v>4</v>
      </c>
      <c r="B544" s="37"/>
      <c r="C544" s="37"/>
      <c r="D544" s="80"/>
      <c r="E544" s="80"/>
      <c r="F544" s="81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75"/>
    </row>
    <row r="545" spans="1:17" s="52" customFormat="1" ht="27.75" customHeight="1">
      <c r="A545" s="8" t="s">
        <v>166</v>
      </c>
      <c r="B545" s="37"/>
      <c r="C545" s="37"/>
      <c r="D545" s="49">
        <v>520</v>
      </c>
      <c r="E545" s="80"/>
      <c r="F545" s="81"/>
      <c r="G545" s="7">
        <v>500</v>
      </c>
      <c r="H545" s="30"/>
      <c r="I545" s="30"/>
      <c r="J545" s="7">
        <f>G545+H545</f>
        <v>500</v>
      </c>
      <c r="K545" s="30"/>
      <c r="L545" s="30"/>
      <c r="M545" s="30"/>
      <c r="N545" s="7">
        <v>520</v>
      </c>
      <c r="O545" s="7"/>
      <c r="P545" s="7">
        <f>N545+O545</f>
        <v>520</v>
      </c>
      <c r="Q545" s="75"/>
    </row>
    <row r="546" spans="1:17" s="52" customFormat="1" ht="11.25">
      <c r="A546" s="5" t="s">
        <v>5</v>
      </c>
      <c r="B546" s="37"/>
      <c r="C546" s="37"/>
      <c r="D546" s="80"/>
      <c r="E546" s="80"/>
      <c r="F546" s="81"/>
      <c r="G546" s="30"/>
      <c r="H546" s="30"/>
      <c r="I546" s="30"/>
      <c r="J546" s="7"/>
      <c r="K546" s="30"/>
      <c r="L546" s="30"/>
      <c r="M546" s="30"/>
      <c r="N546" s="30"/>
      <c r="O546" s="30"/>
      <c r="P546" s="7"/>
      <c r="Q546" s="75"/>
    </row>
    <row r="547" spans="1:17" s="52" customFormat="1" ht="22.5">
      <c r="A547" s="8" t="s">
        <v>167</v>
      </c>
      <c r="B547" s="37"/>
      <c r="C547" s="37"/>
      <c r="D547" s="49">
        <v>520</v>
      </c>
      <c r="E547" s="80"/>
      <c r="F547" s="81"/>
      <c r="G547" s="7">
        <f>G545</f>
        <v>500</v>
      </c>
      <c r="H547" s="7"/>
      <c r="I547" s="7"/>
      <c r="J547" s="7">
        <f>G547+H547</f>
        <v>500</v>
      </c>
      <c r="K547" s="7">
        <f>K545</f>
        <v>0</v>
      </c>
      <c r="L547" s="7">
        <f>L545</f>
        <v>0</v>
      </c>
      <c r="M547" s="7">
        <f>M545</f>
        <v>0</v>
      </c>
      <c r="N547" s="7">
        <v>520</v>
      </c>
      <c r="O547" s="7"/>
      <c r="P547" s="7">
        <f>N547+O547</f>
        <v>520</v>
      </c>
      <c r="Q547" s="75"/>
    </row>
    <row r="548" spans="1:17" s="52" customFormat="1" ht="11.25">
      <c r="A548" s="5" t="s">
        <v>7</v>
      </c>
      <c r="B548" s="37"/>
      <c r="C548" s="37"/>
      <c r="D548" s="80"/>
      <c r="E548" s="80"/>
      <c r="F548" s="81"/>
      <c r="G548" s="30"/>
      <c r="H548" s="30"/>
      <c r="I548" s="30"/>
      <c r="J548" s="7"/>
      <c r="K548" s="30"/>
      <c r="L548" s="30"/>
      <c r="M548" s="30"/>
      <c r="N548" s="30"/>
      <c r="O548" s="30"/>
      <c r="P548" s="7"/>
      <c r="Q548" s="75"/>
    </row>
    <row r="549" spans="1:17" s="52" customFormat="1" ht="17.25" customHeight="1">
      <c r="A549" s="8" t="s">
        <v>168</v>
      </c>
      <c r="B549" s="37"/>
      <c r="C549" s="37"/>
      <c r="D549" s="80">
        <v>2500</v>
      </c>
      <c r="E549" s="80"/>
      <c r="F549" s="81"/>
      <c r="G549" s="7">
        <v>3000</v>
      </c>
      <c r="H549" s="30"/>
      <c r="I549" s="30"/>
      <c r="J549" s="7">
        <f>G549+H549</f>
        <v>3000</v>
      </c>
      <c r="K549" s="30"/>
      <c r="L549" s="30"/>
      <c r="M549" s="30"/>
      <c r="N549" s="7">
        <v>2500</v>
      </c>
      <c r="O549" s="7"/>
      <c r="P549" s="7">
        <f>N549+O549</f>
        <v>2500</v>
      </c>
      <c r="Q549" s="75"/>
    </row>
    <row r="550" spans="1:17" s="83" customFormat="1" ht="65.25" customHeight="1">
      <c r="A550" s="77" t="s">
        <v>430</v>
      </c>
      <c r="B550" s="34"/>
      <c r="C550" s="34"/>
      <c r="D550" s="45">
        <f>D554*D557</f>
        <v>200000</v>
      </c>
      <c r="E550" s="45"/>
      <c r="F550" s="45">
        <f>D550+E550</f>
        <v>200000</v>
      </c>
      <c r="G550" s="36">
        <f>G554*G557</f>
        <v>300000</v>
      </c>
      <c r="H550" s="36">
        <f aca="true" t="shared" si="62" ref="H550:P550">H554*H557</f>
        <v>0</v>
      </c>
      <c r="I550" s="36">
        <f t="shared" si="62"/>
        <v>0</v>
      </c>
      <c r="J550" s="36">
        <f t="shared" si="62"/>
        <v>300000</v>
      </c>
      <c r="K550" s="36">
        <f t="shared" si="62"/>
        <v>0</v>
      </c>
      <c r="L550" s="36">
        <f t="shared" si="62"/>
        <v>0</v>
      </c>
      <c r="M550" s="36">
        <f t="shared" si="62"/>
        <v>0</v>
      </c>
      <c r="N550" s="36">
        <f t="shared" si="62"/>
        <v>200000</v>
      </c>
      <c r="O550" s="36">
        <f t="shared" si="62"/>
        <v>0</v>
      </c>
      <c r="P550" s="36">
        <f t="shared" si="62"/>
        <v>200000</v>
      </c>
      <c r="Q550" s="82"/>
    </row>
    <row r="551" spans="1:235" ht="11.25">
      <c r="A551" s="5" t="s">
        <v>4</v>
      </c>
      <c r="B551" s="6"/>
      <c r="C551" s="6"/>
      <c r="D551" s="84"/>
      <c r="E551" s="84"/>
      <c r="F551" s="84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33.75">
      <c r="A552" s="8" t="s">
        <v>166</v>
      </c>
      <c r="B552" s="6"/>
      <c r="C552" s="6"/>
      <c r="D552" s="44">
        <v>6</v>
      </c>
      <c r="E552" s="44"/>
      <c r="F552" s="44">
        <f>D552</f>
        <v>6</v>
      </c>
      <c r="G552" s="44">
        <v>6</v>
      </c>
      <c r="H552" s="44"/>
      <c r="I552" s="44"/>
      <c r="J552" s="7">
        <f>G552+H552</f>
        <v>6</v>
      </c>
      <c r="K552" s="44">
        <f>H552</f>
        <v>0</v>
      </c>
      <c r="L552" s="44">
        <f>J552</f>
        <v>6</v>
      </c>
      <c r="M552" s="44">
        <f>K552</f>
        <v>0</v>
      </c>
      <c r="N552" s="44">
        <v>4</v>
      </c>
      <c r="O552" s="44"/>
      <c r="P552" s="44">
        <f>N552</f>
        <v>4</v>
      </c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5</v>
      </c>
      <c r="B553" s="6"/>
      <c r="C553" s="6"/>
      <c r="D553" s="44"/>
      <c r="E553" s="44"/>
      <c r="F553" s="44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2.25" customHeight="1">
      <c r="A554" s="8" t="s">
        <v>167</v>
      </c>
      <c r="B554" s="6"/>
      <c r="C554" s="6"/>
      <c r="D554" s="44">
        <v>6</v>
      </c>
      <c r="E554" s="44"/>
      <c r="F554" s="44">
        <f>D554</f>
        <v>6</v>
      </c>
      <c r="G554" s="7">
        <v>6</v>
      </c>
      <c r="H554" s="7"/>
      <c r="I554" s="7"/>
      <c r="J554" s="7">
        <f>G554+H554</f>
        <v>6</v>
      </c>
      <c r="K554" s="7"/>
      <c r="L554" s="7"/>
      <c r="M554" s="7"/>
      <c r="N554" s="7">
        <v>4</v>
      </c>
      <c r="O554" s="7"/>
      <c r="P554" s="7">
        <f>N554</f>
        <v>4</v>
      </c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22.5">
      <c r="A555" s="8" t="s">
        <v>164</v>
      </c>
      <c r="B555" s="6"/>
      <c r="C555" s="6"/>
      <c r="D555" s="44"/>
      <c r="E555" s="44"/>
      <c r="F555" s="44">
        <f>D555</f>
        <v>0</v>
      </c>
      <c r="G555" s="7"/>
      <c r="H555" s="7"/>
      <c r="I555" s="7"/>
      <c r="J555" s="7">
        <f>G555+H555</f>
        <v>0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7</v>
      </c>
      <c r="B556" s="6"/>
      <c r="C556" s="6"/>
      <c r="D556" s="44"/>
      <c r="E556" s="44"/>
      <c r="F556" s="44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22.5">
      <c r="A557" s="8" t="s">
        <v>168</v>
      </c>
      <c r="B557" s="6"/>
      <c r="C557" s="6"/>
      <c r="D557" s="44">
        <f>200000/6</f>
        <v>33333.333333333336</v>
      </c>
      <c r="E557" s="44"/>
      <c r="F557" s="44">
        <f>D557</f>
        <v>33333.333333333336</v>
      </c>
      <c r="G557" s="7">
        <v>50000</v>
      </c>
      <c r="H557" s="7"/>
      <c r="I557" s="7"/>
      <c r="J557" s="7">
        <f>G557+H557</f>
        <v>50000</v>
      </c>
      <c r="K557" s="7"/>
      <c r="L557" s="7"/>
      <c r="M557" s="7"/>
      <c r="N557" s="7">
        <v>50000</v>
      </c>
      <c r="O557" s="7"/>
      <c r="P557" s="7">
        <f>N557</f>
        <v>50000</v>
      </c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37" t="s">
        <v>260</v>
      </c>
      <c r="B558" s="6"/>
      <c r="C558" s="6"/>
      <c r="D558" s="36">
        <f>D560</f>
        <v>0</v>
      </c>
      <c r="E558" s="36">
        <f aca="true" t="shared" si="63" ref="E558:P558">E560</f>
        <v>127784300</v>
      </c>
      <c r="F558" s="36">
        <f t="shared" si="63"/>
        <v>127784300</v>
      </c>
      <c r="G558" s="36">
        <f t="shared" si="63"/>
        <v>0</v>
      </c>
      <c r="H558" s="36">
        <f t="shared" si="63"/>
        <v>87960272</v>
      </c>
      <c r="I558" s="36">
        <f t="shared" si="63"/>
        <v>0</v>
      </c>
      <c r="J558" s="36">
        <f t="shared" si="63"/>
        <v>87960272</v>
      </c>
      <c r="K558" s="36">
        <f t="shared" si="63"/>
        <v>0</v>
      </c>
      <c r="L558" s="36">
        <f t="shared" si="63"/>
        <v>0</v>
      </c>
      <c r="M558" s="36">
        <f t="shared" si="63"/>
        <v>0</v>
      </c>
      <c r="N558" s="36">
        <f t="shared" si="63"/>
        <v>0</v>
      </c>
      <c r="O558" s="36">
        <f t="shared" si="63"/>
        <v>0</v>
      </c>
      <c r="P558" s="36">
        <f t="shared" si="63"/>
        <v>0</v>
      </c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22.5">
      <c r="A559" s="8" t="s">
        <v>170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17" s="159" customFormat="1" ht="33.75">
      <c r="A560" s="157" t="s">
        <v>431</v>
      </c>
      <c r="B560" s="141"/>
      <c r="C560" s="141"/>
      <c r="D560" s="145"/>
      <c r="E560" s="145">
        <f>E562</f>
        <v>127784300</v>
      </c>
      <c r="F560" s="145">
        <f>D560+E560</f>
        <v>127784300</v>
      </c>
      <c r="G560" s="145"/>
      <c r="H560" s="145">
        <f>H564*H566</f>
        <v>87960272</v>
      </c>
      <c r="I560" s="145">
        <f>I562</f>
        <v>0</v>
      </c>
      <c r="J560" s="145">
        <f>H560+I560</f>
        <v>87960272</v>
      </c>
      <c r="K560" s="145"/>
      <c r="L560" s="145"/>
      <c r="M560" s="145"/>
      <c r="N560" s="145"/>
      <c r="O560" s="145">
        <f>O564*O566</f>
        <v>0</v>
      </c>
      <c r="P560" s="145">
        <f>O560</f>
        <v>0</v>
      </c>
      <c r="Q560" s="158"/>
    </row>
    <row r="561" spans="1:235" ht="11.25">
      <c r="A561" s="5" t="s">
        <v>4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8" t="s">
        <v>43</v>
      </c>
      <c r="B562" s="6"/>
      <c r="C562" s="6"/>
      <c r="D562" s="7"/>
      <c r="E562" s="7">
        <v>127784300</v>
      </c>
      <c r="F562" s="7">
        <f>D562+E562</f>
        <v>127784300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5</v>
      </c>
      <c r="B563" s="6"/>
      <c r="C563" s="6"/>
      <c r="D563" s="7"/>
      <c r="E563" s="7"/>
      <c r="F563" s="7">
        <f>D563+E563</f>
        <v>0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33.75">
      <c r="A564" s="8" t="s">
        <v>171</v>
      </c>
      <c r="B564" s="6"/>
      <c r="C564" s="6"/>
      <c r="D564" s="7"/>
      <c r="E564" s="7">
        <v>10</v>
      </c>
      <c r="F564" s="7">
        <f>D564+E564</f>
        <v>10</v>
      </c>
      <c r="G564" s="7"/>
      <c r="H564" s="7">
        <v>5</v>
      </c>
      <c r="I564" s="7"/>
      <c r="J564" s="7">
        <v>5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7</v>
      </c>
      <c r="B565" s="6"/>
      <c r="C565" s="6"/>
      <c r="D565" s="7"/>
      <c r="E565" s="7"/>
      <c r="F565" s="7">
        <f>D565+E565</f>
        <v>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24.75" customHeight="1">
      <c r="A566" s="8" t="s">
        <v>172</v>
      </c>
      <c r="B566" s="6"/>
      <c r="C566" s="6"/>
      <c r="D566" s="7"/>
      <c r="E566" s="7">
        <f>399355600/9</f>
        <v>44372844.44444445</v>
      </c>
      <c r="F566" s="7">
        <f>D566+E566</f>
        <v>44372844.44444445</v>
      </c>
      <c r="G566" s="7"/>
      <c r="H566" s="7">
        <v>17592054.4</v>
      </c>
      <c r="I566" s="7"/>
      <c r="J566" s="7">
        <v>17592054.4</v>
      </c>
      <c r="K566" s="7"/>
      <c r="L566" s="7"/>
      <c r="M566" s="7"/>
      <c r="N566" s="7"/>
      <c r="O566" s="7"/>
      <c r="P566" s="85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37" t="s">
        <v>261</v>
      </c>
      <c r="B567" s="6"/>
      <c r="C567" s="6"/>
      <c r="D567" s="36">
        <f>D569</f>
        <v>760000</v>
      </c>
      <c r="E567" s="36">
        <f aca="true" t="shared" si="64" ref="E567:P567">E569</f>
        <v>1220000</v>
      </c>
      <c r="F567" s="36">
        <f t="shared" si="64"/>
        <v>1980000</v>
      </c>
      <c r="G567" s="36">
        <f t="shared" si="64"/>
        <v>0</v>
      </c>
      <c r="H567" s="36">
        <f t="shared" si="64"/>
        <v>7000000</v>
      </c>
      <c r="I567" s="36">
        <f t="shared" si="64"/>
        <v>7000000</v>
      </c>
      <c r="J567" s="36">
        <f t="shared" si="64"/>
        <v>7000000</v>
      </c>
      <c r="K567" s="36">
        <f t="shared" si="64"/>
        <v>0</v>
      </c>
      <c r="L567" s="36">
        <f t="shared" si="64"/>
        <v>0</v>
      </c>
      <c r="M567" s="36">
        <f t="shared" si="64"/>
        <v>0</v>
      </c>
      <c r="N567" s="36">
        <f t="shared" si="64"/>
        <v>760000</v>
      </c>
      <c r="O567" s="36">
        <f t="shared" si="64"/>
        <v>7240000</v>
      </c>
      <c r="P567" s="36">
        <f t="shared" si="64"/>
        <v>8000000</v>
      </c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56.25">
      <c r="A568" s="8" t="s">
        <v>181</v>
      </c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39" customFormat="1" ht="36" customHeight="1">
      <c r="A569" s="34" t="s">
        <v>432</v>
      </c>
      <c r="B569" s="35"/>
      <c r="C569" s="35"/>
      <c r="D569" s="36">
        <f>D571</f>
        <v>760000</v>
      </c>
      <c r="E569" s="36">
        <f>E571</f>
        <v>1220000</v>
      </c>
      <c r="F569" s="36">
        <f>D569+E569</f>
        <v>1980000</v>
      </c>
      <c r="G569" s="36">
        <f>G571</f>
        <v>0</v>
      </c>
      <c r="H569" s="36">
        <f>H571</f>
        <v>7000000</v>
      </c>
      <c r="I569" s="36">
        <f>G569+H569</f>
        <v>7000000</v>
      </c>
      <c r="J569" s="36">
        <f>G569+H569</f>
        <v>7000000</v>
      </c>
      <c r="K569" s="36"/>
      <c r="L569" s="36"/>
      <c r="M569" s="36"/>
      <c r="N569" s="36">
        <f>N573*N575</f>
        <v>760000</v>
      </c>
      <c r="O569" s="36">
        <f>O573*O575</f>
        <v>7240000</v>
      </c>
      <c r="P569" s="36">
        <f>N569+O569</f>
        <v>8000000</v>
      </c>
      <c r="Q569" s="78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>
        <f>D573*D575</f>
        <v>760000</v>
      </c>
      <c r="E571" s="7">
        <f>E573*E575</f>
        <v>1220000</v>
      </c>
      <c r="F571" s="7">
        <f>D571+E571</f>
        <v>1980000</v>
      </c>
      <c r="G571" s="7">
        <f>G573*G575</f>
        <v>0</v>
      </c>
      <c r="H571" s="7">
        <f>H573*H575</f>
        <v>7000000</v>
      </c>
      <c r="I571" s="7"/>
      <c r="J571" s="7">
        <f>G571+H571</f>
        <v>7000000</v>
      </c>
      <c r="K571" s="7"/>
      <c r="L571" s="7"/>
      <c r="M571" s="7"/>
      <c r="N571" s="7">
        <f>N573*N575</f>
        <v>760000</v>
      </c>
      <c r="O571" s="7">
        <f>O573*O575</f>
        <v>7240000</v>
      </c>
      <c r="P571" s="7">
        <f>N571+O571</f>
        <v>8000000</v>
      </c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22.5">
      <c r="A573" s="8" t="s">
        <v>182</v>
      </c>
      <c r="B573" s="6"/>
      <c r="C573" s="6"/>
      <c r="D573" s="7">
        <v>1</v>
      </c>
      <c r="E573" s="7">
        <v>1</v>
      </c>
      <c r="F573" s="7">
        <f>D573+E573</f>
        <v>2</v>
      </c>
      <c r="G573" s="7">
        <v>0</v>
      </c>
      <c r="H573" s="7">
        <v>1</v>
      </c>
      <c r="I573" s="7"/>
      <c r="J573" s="7">
        <v>1</v>
      </c>
      <c r="K573" s="7"/>
      <c r="L573" s="7"/>
      <c r="M573" s="7"/>
      <c r="N573" s="7">
        <v>1</v>
      </c>
      <c r="O573" s="7">
        <v>1</v>
      </c>
      <c r="P573" s="7">
        <v>1</v>
      </c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183</v>
      </c>
      <c r="B575" s="6"/>
      <c r="C575" s="6"/>
      <c r="D575" s="7">
        <v>760000</v>
      </c>
      <c r="E575" s="7">
        <v>1220000</v>
      </c>
      <c r="F575" s="7">
        <f>D575+E575</f>
        <v>1980000</v>
      </c>
      <c r="G575" s="7">
        <v>0</v>
      </c>
      <c r="H575" s="7">
        <v>7000000</v>
      </c>
      <c r="I575" s="7"/>
      <c r="J575" s="23">
        <f>J571/J573</f>
        <v>7000000</v>
      </c>
      <c r="K575" s="23"/>
      <c r="L575" s="23"/>
      <c r="M575" s="23"/>
      <c r="N575" s="23">
        <v>760000</v>
      </c>
      <c r="O575" s="23">
        <v>7240000</v>
      </c>
      <c r="P575" s="7">
        <f>N575+O575</f>
        <v>8000000</v>
      </c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17" s="52" customFormat="1" ht="11.25">
      <c r="A576" s="37" t="s">
        <v>350</v>
      </c>
      <c r="B576" s="37"/>
      <c r="C576" s="37"/>
      <c r="D576" s="30">
        <f>D580</f>
        <v>0</v>
      </c>
      <c r="E576" s="30">
        <f>E580</f>
        <v>2275980</v>
      </c>
      <c r="F576" s="30">
        <f>D576+E576</f>
        <v>2275980</v>
      </c>
      <c r="G576" s="30">
        <v>0</v>
      </c>
      <c r="H576" s="30">
        <f>H578</f>
        <v>1108600</v>
      </c>
      <c r="I576" s="30" t="e">
        <f>#REF!</f>
        <v>#REF!</v>
      </c>
      <c r="J576" s="129">
        <f>J578</f>
        <v>1108600</v>
      </c>
      <c r="K576" s="129" t="e">
        <f>#REF!</f>
        <v>#REF!</v>
      </c>
      <c r="L576" s="129" t="e">
        <f>#REF!</f>
        <v>#REF!</v>
      </c>
      <c r="M576" s="129" t="e">
        <f>#REF!</f>
        <v>#REF!</v>
      </c>
      <c r="N576" s="129">
        <v>0</v>
      </c>
      <c r="O576" s="129">
        <v>0</v>
      </c>
      <c r="P576" s="30">
        <v>0</v>
      </c>
      <c r="Q576" s="75" t="e">
        <f>#REF!</f>
        <v>#REF!</v>
      </c>
    </row>
    <row r="577" spans="1:235" ht="33.75">
      <c r="A577" s="8" t="s">
        <v>351</v>
      </c>
      <c r="B577" s="6"/>
      <c r="C577" s="6"/>
      <c r="D577" s="7"/>
      <c r="E577" s="7"/>
      <c r="F577" s="7"/>
      <c r="G577" s="7"/>
      <c r="H577" s="7"/>
      <c r="I577" s="7"/>
      <c r="J577" s="23"/>
      <c r="K577" s="23"/>
      <c r="L577" s="23"/>
      <c r="M577" s="23"/>
      <c r="N577" s="23"/>
      <c r="O577" s="23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17" s="52" customFormat="1" ht="22.5">
      <c r="A578" s="34" t="s">
        <v>433</v>
      </c>
      <c r="B578" s="37"/>
      <c r="C578" s="37"/>
      <c r="D578" s="30"/>
      <c r="E578" s="30">
        <v>2275980</v>
      </c>
      <c r="F578" s="30">
        <v>2275980</v>
      </c>
      <c r="G578" s="30"/>
      <c r="H578" s="30">
        <f>H580</f>
        <v>1108600</v>
      </c>
      <c r="I578" s="30"/>
      <c r="J578" s="129">
        <f>H578</f>
        <v>1108600</v>
      </c>
      <c r="K578" s="129"/>
      <c r="L578" s="129"/>
      <c r="M578" s="129"/>
      <c r="N578" s="129"/>
      <c r="O578" s="129"/>
      <c r="P578" s="30"/>
      <c r="Q578" s="75"/>
    </row>
    <row r="579" spans="1:235" ht="11.25">
      <c r="A579" s="5" t="s">
        <v>4</v>
      </c>
      <c r="B579" s="6"/>
      <c r="C579" s="6"/>
      <c r="D579" s="7"/>
      <c r="E579" s="7"/>
      <c r="F579" s="7"/>
      <c r="G579" s="7"/>
      <c r="H579" s="7"/>
      <c r="I579" s="7"/>
      <c r="J579" s="23"/>
      <c r="K579" s="23"/>
      <c r="L579" s="23"/>
      <c r="M579" s="23"/>
      <c r="N579" s="23"/>
      <c r="O579" s="23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11.25">
      <c r="A580" s="8" t="s">
        <v>43</v>
      </c>
      <c r="B580" s="6"/>
      <c r="C580" s="6"/>
      <c r="D580" s="7"/>
      <c r="E580" s="7">
        <f>2178000+97980</f>
        <v>2275980</v>
      </c>
      <c r="F580" s="7">
        <f>D580+E580</f>
        <v>2275980</v>
      </c>
      <c r="G580" s="7"/>
      <c r="H580" s="7">
        <v>1108600</v>
      </c>
      <c r="I580" s="7"/>
      <c r="J580" s="23">
        <f>H580</f>
        <v>1108600</v>
      </c>
      <c r="K580" s="23"/>
      <c r="L580" s="23"/>
      <c r="M580" s="23"/>
      <c r="N580" s="23"/>
      <c r="O580" s="23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5</v>
      </c>
      <c r="B581" s="6"/>
      <c r="C581" s="6"/>
      <c r="D581" s="7"/>
      <c r="E581" s="7"/>
      <c r="F581" s="7"/>
      <c r="G581" s="7"/>
      <c r="H581" s="7"/>
      <c r="I581" s="7"/>
      <c r="J581" s="23"/>
      <c r="K581" s="23"/>
      <c r="L581" s="23"/>
      <c r="M581" s="23"/>
      <c r="N581" s="23"/>
      <c r="O581" s="23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22.5">
      <c r="A582" s="8" t="s">
        <v>352</v>
      </c>
      <c r="B582" s="6"/>
      <c r="C582" s="6"/>
      <c r="D582" s="7"/>
      <c r="E582" s="7">
        <v>63</v>
      </c>
      <c r="F582" s="7">
        <v>63</v>
      </c>
      <c r="G582" s="7"/>
      <c r="H582" s="7">
        <v>22</v>
      </c>
      <c r="I582" s="7"/>
      <c r="J582" s="23">
        <f>H582</f>
        <v>22</v>
      </c>
      <c r="K582" s="23"/>
      <c r="L582" s="23"/>
      <c r="M582" s="23"/>
      <c r="N582" s="23"/>
      <c r="O582" s="23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7</v>
      </c>
      <c r="B583" s="6"/>
      <c r="C583" s="6"/>
      <c r="D583" s="7"/>
      <c r="E583" s="7"/>
      <c r="F583" s="7"/>
      <c r="G583" s="7"/>
      <c r="H583" s="7"/>
      <c r="I583" s="7"/>
      <c r="J583" s="23"/>
      <c r="K583" s="23"/>
      <c r="L583" s="23"/>
      <c r="M583" s="23"/>
      <c r="N583" s="23"/>
      <c r="O583" s="23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353</v>
      </c>
      <c r="B584" s="6"/>
      <c r="C584" s="6"/>
      <c r="D584" s="7"/>
      <c r="E584" s="7">
        <v>36300</v>
      </c>
      <c r="F584" s="7">
        <v>36300</v>
      </c>
      <c r="G584" s="7"/>
      <c r="H584" s="7">
        <v>50390.91</v>
      </c>
      <c r="I584" s="7"/>
      <c r="J584" s="23">
        <f>H584</f>
        <v>50390.91</v>
      </c>
      <c r="K584" s="23"/>
      <c r="L584" s="23"/>
      <c r="M584" s="23"/>
      <c r="N584" s="23"/>
      <c r="O584" s="23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8"/>
      <c r="B585" s="6"/>
      <c r="C585" s="6"/>
      <c r="D585" s="7"/>
      <c r="E585" s="7"/>
      <c r="F585" s="7"/>
      <c r="G585" s="7"/>
      <c r="H585" s="7"/>
      <c r="I585" s="7"/>
      <c r="J585" s="23"/>
      <c r="K585" s="23"/>
      <c r="L585" s="23"/>
      <c r="M585" s="23"/>
      <c r="N585" s="23"/>
      <c r="O585" s="23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37" t="s">
        <v>335</v>
      </c>
      <c r="B586" s="6"/>
      <c r="C586" s="6"/>
      <c r="D586" s="36">
        <f>D588</f>
        <v>3000000</v>
      </c>
      <c r="E586" s="36">
        <f aca="true" t="shared" si="65" ref="E586:Q586">E588</f>
        <v>0</v>
      </c>
      <c r="F586" s="36">
        <f t="shared" si="65"/>
        <v>3000000</v>
      </c>
      <c r="G586" s="36">
        <f t="shared" si="65"/>
        <v>3000000</v>
      </c>
      <c r="H586" s="36">
        <f t="shared" si="65"/>
        <v>0</v>
      </c>
      <c r="I586" s="36">
        <f t="shared" si="65"/>
        <v>0</v>
      </c>
      <c r="J586" s="36">
        <f t="shared" si="65"/>
        <v>3000000</v>
      </c>
      <c r="K586" s="36">
        <f t="shared" si="65"/>
        <v>0</v>
      </c>
      <c r="L586" s="36">
        <f t="shared" si="65"/>
        <v>0</v>
      </c>
      <c r="M586" s="36">
        <f t="shared" si="65"/>
        <v>0</v>
      </c>
      <c r="N586" s="36">
        <f t="shared" si="65"/>
        <v>0</v>
      </c>
      <c r="O586" s="36">
        <f t="shared" si="65"/>
        <v>0</v>
      </c>
      <c r="P586" s="36">
        <f t="shared" si="65"/>
        <v>0</v>
      </c>
      <c r="Q586" s="36">
        <f t="shared" si="65"/>
        <v>0</v>
      </c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22.5">
      <c r="A587" s="8" t="s">
        <v>264</v>
      </c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39" customFormat="1" ht="37.5" customHeight="1">
      <c r="A588" s="34" t="s">
        <v>434</v>
      </c>
      <c r="B588" s="35"/>
      <c r="C588" s="35"/>
      <c r="D588" s="45">
        <f>D590</f>
        <v>3000000</v>
      </c>
      <c r="E588" s="45"/>
      <c r="F588" s="45">
        <f>D588+E588</f>
        <v>3000000</v>
      </c>
      <c r="G588" s="36">
        <f>G593*G595</f>
        <v>3000000</v>
      </c>
      <c r="H588" s="36"/>
      <c r="I588" s="36"/>
      <c r="J588" s="36">
        <f>J590</f>
        <v>3000000</v>
      </c>
      <c r="K588" s="36"/>
      <c r="L588" s="36"/>
      <c r="M588" s="36"/>
      <c r="N588" s="36">
        <f>N590</f>
        <v>0</v>
      </c>
      <c r="O588" s="36"/>
      <c r="P588" s="36">
        <f>N588</f>
        <v>0</v>
      </c>
      <c r="Q588" s="78"/>
    </row>
    <row r="589" spans="1:235" ht="11.25">
      <c r="A589" s="5" t="s">
        <v>4</v>
      </c>
      <c r="B589" s="6"/>
      <c r="C589" s="6"/>
      <c r="D589" s="84"/>
      <c r="E589" s="84"/>
      <c r="F589" s="84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0.5" customHeight="1">
      <c r="A590" s="8" t="s">
        <v>43</v>
      </c>
      <c r="B590" s="6"/>
      <c r="C590" s="6"/>
      <c r="D590" s="84">
        <f>D593*D595</f>
        <v>3000000</v>
      </c>
      <c r="E590" s="84"/>
      <c r="F590" s="84">
        <f>D590+E590</f>
        <v>3000000</v>
      </c>
      <c r="G590" s="7">
        <f>G593*G595</f>
        <v>3000000</v>
      </c>
      <c r="H590" s="7"/>
      <c r="I590" s="7"/>
      <c r="J590" s="7">
        <f>G590+H590</f>
        <v>3000000</v>
      </c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5" t="s">
        <v>5</v>
      </c>
      <c r="B591" s="6"/>
      <c r="C591" s="6"/>
      <c r="D591" s="84"/>
      <c r="E591" s="84"/>
      <c r="F591" s="84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0.75" customHeight="1">
      <c r="A592" s="8" t="s">
        <v>169</v>
      </c>
      <c r="B592" s="6"/>
      <c r="C592" s="6"/>
      <c r="D592" s="84"/>
      <c r="E592" s="84"/>
      <c r="F592" s="84">
        <f>D592+E592</f>
        <v>0</v>
      </c>
      <c r="G592" s="84"/>
      <c r="H592" s="84"/>
      <c r="I592" s="84"/>
      <c r="J592" s="84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8" t="s">
        <v>176</v>
      </c>
      <c r="B593" s="6"/>
      <c r="C593" s="6"/>
      <c r="D593" s="84">
        <v>667</v>
      </c>
      <c r="E593" s="84"/>
      <c r="F593" s="84">
        <f>D593+E593</f>
        <v>667</v>
      </c>
      <c r="G593" s="84">
        <v>667</v>
      </c>
      <c r="H593" s="84"/>
      <c r="I593" s="84"/>
      <c r="J593" s="84">
        <f>G593+H593</f>
        <v>667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0.5" customHeight="1">
      <c r="A594" s="5" t="s">
        <v>7</v>
      </c>
      <c r="B594" s="6"/>
      <c r="C594" s="6"/>
      <c r="D594" s="84"/>
      <c r="E594" s="84"/>
      <c r="F594" s="84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2.5" customHeight="1">
      <c r="A595" s="8" t="s">
        <v>177</v>
      </c>
      <c r="B595" s="6"/>
      <c r="C595" s="6"/>
      <c r="D595" s="7">
        <f>3000000/667</f>
        <v>4497.751124437781</v>
      </c>
      <c r="E595" s="7"/>
      <c r="F595" s="84">
        <f>D595+E595</f>
        <v>4497.751124437781</v>
      </c>
      <c r="G595" s="7">
        <f>3000000/667</f>
        <v>4497.751124437781</v>
      </c>
      <c r="H595" s="7"/>
      <c r="I595" s="7"/>
      <c r="J595" s="7">
        <f>G595+H595</f>
        <v>4497.751124437781</v>
      </c>
      <c r="K595" s="7"/>
      <c r="L595" s="7"/>
      <c r="M595" s="7"/>
      <c r="N595" s="7"/>
      <c r="O595" s="7"/>
      <c r="P595" s="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126" t="s">
        <v>336</v>
      </c>
      <c r="B596" s="6"/>
      <c r="C596" s="6"/>
      <c r="D596" s="30">
        <f>D597</f>
        <v>656000</v>
      </c>
      <c r="E596" s="30">
        <f>E597</f>
        <v>0</v>
      </c>
      <c r="F596" s="30">
        <f>F597</f>
        <v>656000</v>
      </c>
      <c r="G596" s="30">
        <f>G597</f>
        <v>819000</v>
      </c>
      <c r="H596" s="30"/>
      <c r="I596" s="30">
        <f>I597</f>
        <v>0</v>
      </c>
      <c r="J596" s="30">
        <f>G596</f>
        <v>819000</v>
      </c>
      <c r="K596" s="7"/>
      <c r="L596" s="7"/>
      <c r="M596" s="7"/>
      <c r="N596" s="30">
        <f>N597</f>
        <v>725000</v>
      </c>
      <c r="O596" s="30"/>
      <c r="P596" s="30">
        <f>N596</f>
        <v>725000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39" customFormat="1" ht="22.5">
      <c r="A597" s="34" t="s">
        <v>435</v>
      </c>
      <c r="B597" s="35"/>
      <c r="C597" s="35"/>
      <c r="D597" s="36">
        <f>D599</f>
        <v>656000</v>
      </c>
      <c r="E597" s="36"/>
      <c r="F597" s="7">
        <f>D597</f>
        <v>656000</v>
      </c>
      <c r="G597" s="36">
        <f>G601*G603</f>
        <v>819000</v>
      </c>
      <c r="H597" s="36"/>
      <c r="I597" s="36"/>
      <c r="J597" s="36">
        <f>G597</f>
        <v>819000</v>
      </c>
      <c r="K597" s="36"/>
      <c r="L597" s="36"/>
      <c r="M597" s="36"/>
      <c r="N597" s="36">
        <f>N601*N603</f>
        <v>725000</v>
      </c>
      <c r="O597" s="36"/>
      <c r="P597" s="30">
        <f>N597</f>
        <v>725000</v>
      </c>
      <c r="Q597" s="78"/>
    </row>
    <row r="598" spans="1:235" ht="11.25">
      <c r="A598" s="5" t="s">
        <v>4</v>
      </c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22.5">
      <c r="A599" s="8" t="s">
        <v>49</v>
      </c>
      <c r="B599" s="6"/>
      <c r="C599" s="6"/>
      <c r="D599" s="7">
        <f>D601*D603</f>
        <v>656000</v>
      </c>
      <c r="E599" s="7"/>
      <c r="F599" s="7">
        <f>D599</f>
        <v>656000</v>
      </c>
      <c r="G599" s="7">
        <v>819000</v>
      </c>
      <c r="H599" s="7"/>
      <c r="I599" s="7"/>
      <c r="J599" s="7">
        <f>G599</f>
        <v>819000</v>
      </c>
      <c r="K599" s="7"/>
      <c r="L599" s="7"/>
      <c r="M599" s="7"/>
      <c r="N599" s="7">
        <f>N601*N603</f>
        <v>725000</v>
      </c>
      <c r="O599" s="7"/>
      <c r="P599" s="7">
        <f>N599</f>
        <v>725000</v>
      </c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5" t="s">
        <v>5</v>
      </c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27.75" customHeight="1">
      <c r="A601" s="8" t="s">
        <v>48</v>
      </c>
      <c r="B601" s="6"/>
      <c r="C601" s="6"/>
      <c r="D601" s="7">
        <v>16</v>
      </c>
      <c r="E601" s="7"/>
      <c r="F601" s="7">
        <f>D601</f>
        <v>16</v>
      </c>
      <c r="G601" s="7">
        <v>16</v>
      </c>
      <c r="H601" s="7"/>
      <c r="I601" s="7"/>
      <c r="J601" s="7">
        <f>G601</f>
        <v>16</v>
      </c>
      <c r="K601" s="7"/>
      <c r="L601" s="7"/>
      <c r="M601" s="7"/>
      <c r="N601" s="7">
        <v>16</v>
      </c>
      <c r="O601" s="7"/>
      <c r="P601" s="7">
        <f>N601</f>
        <v>16</v>
      </c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7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33.75">
      <c r="A603" s="8" t="s">
        <v>50</v>
      </c>
      <c r="B603" s="6"/>
      <c r="C603" s="6"/>
      <c r="D603" s="7">
        <v>41000</v>
      </c>
      <c r="E603" s="7"/>
      <c r="F603" s="7">
        <v>41000</v>
      </c>
      <c r="G603" s="7">
        <v>51187.5</v>
      </c>
      <c r="H603" s="7"/>
      <c r="I603" s="7"/>
      <c r="J603" s="7">
        <f>G603</f>
        <v>51187.5</v>
      </c>
      <c r="K603" s="7"/>
      <c r="L603" s="7"/>
      <c r="M603" s="7"/>
      <c r="N603" s="7">
        <v>45312.5</v>
      </c>
      <c r="O603" s="7"/>
      <c r="P603" s="7">
        <f>N603</f>
        <v>45312.5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37" t="s">
        <v>367</v>
      </c>
      <c r="B604" s="6"/>
      <c r="C604" s="6"/>
      <c r="D604" s="36"/>
      <c r="E604" s="36">
        <f>E606+E619</f>
        <v>94580322</v>
      </c>
      <c r="F604" s="36">
        <f>D604+E604</f>
        <v>94580322</v>
      </c>
      <c r="G604" s="36">
        <f aca="true" t="shared" si="66" ref="G604:P604">G606+G619</f>
        <v>0</v>
      </c>
      <c r="H604" s="36">
        <f t="shared" si="66"/>
        <v>92000000</v>
      </c>
      <c r="I604" s="36">
        <f t="shared" si="66"/>
        <v>0</v>
      </c>
      <c r="J604" s="36">
        <f t="shared" si="66"/>
        <v>92000000</v>
      </c>
      <c r="K604" s="36">
        <f t="shared" si="66"/>
        <v>0</v>
      </c>
      <c r="L604" s="36">
        <f t="shared" si="66"/>
        <v>0</v>
      </c>
      <c r="M604" s="36">
        <f t="shared" si="66"/>
        <v>0</v>
      </c>
      <c r="N604" s="36">
        <f t="shared" si="66"/>
        <v>0</v>
      </c>
      <c r="O604" s="36">
        <f t="shared" si="66"/>
        <v>95000000</v>
      </c>
      <c r="P604" s="36">
        <f t="shared" si="66"/>
        <v>95000000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202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39" customFormat="1" ht="22.5">
      <c r="A606" s="34" t="s">
        <v>436</v>
      </c>
      <c r="B606" s="35"/>
      <c r="C606" s="35"/>
      <c r="D606" s="86"/>
      <c r="E606" s="86">
        <f>E608+E614+E615+E616</f>
        <v>94580322</v>
      </c>
      <c r="F606" s="86">
        <f>D606+E606</f>
        <v>94580322</v>
      </c>
      <c r="G606" s="36">
        <f>G608</f>
        <v>0</v>
      </c>
      <c r="H606" s="36">
        <f>SUM(H608)</f>
        <v>92000000</v>
      </c>
      <c r="I606" s="36"/>
      <c r="J606" s="36">
        <f>G606+H606+I606</f>
        <v>92000000</v>
      </c>
      <c r="K606" s="36"/>
      <c r="L606" s="36"/>
      <c r="M606" s="36"/>
      <c r="N606" s="36"/>
      <c r="O606" s="36">
        <f>O608</f>
        <v>95000000</v>
      </c>
      <c r="P606" s="36">
        <f>N606+O606</f>
        <v>95000000</v>
      </c>
      <c r="Q606" s="78"/>
    </row>
    <row r="607" spans="1:17" s="39" customFormat="1" ht="11.25">
      <c r="A607" s="34" t="s">
        <v>4</v>
      </c>
      <c r="B607" s="35"/>
      <c r="C607" s="35"/>
      <c r="D607" s="86"/>
      <c r="E607" s="86"/>
      <c r="F607" s="8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78"/>
    </row>
    <row r="608" spans="1:17" s="39" customFormat="1" ht="11.25">
      <c r="A608" s="40" t="s">
        <v>43</v>
      </c>
      <c r="B608" s="41"/>
      <c r="C608" s="41"/>
      <c r="D608" s="80"/>
      <c r="E608" s="80">
        <f>E610*E612+1224322-0.03+30000+1000000+37400</f>
        <v>90291722</v>
      </c>
      <c r="F608" s="80">
        <f>F610*F612+1224322-0.03+30000+1000000</f>
        <v>90254322</v>
      </c>
      <c r="G608" s="87"/>
      <c r="H608" s="87">
        <v>92000000</v>
      </c>
      <c r="I608" s="87"/>
      <c r="J608" s="87">
        <f>H608</f>
        <v>92000000</v>
      </c>
      <c r="K608" s="87"/>
      <c r="L608" s="87"/>
      <c r="M608" s="87"/>
      <c r="N608" s="87"/>
      <c r="O608" s="87">
        <v>95000000</v>
      </c>
      <c r="P608" s="87">
        <f>O608</f>
        <v>95000000</v>
      </c>
      <c r="Q608" s="78"/>
    </row>
    <row r="609" spans="1:17" s="39" customFormat="1" ht="11.25">
      <c r="A609" s="34" t="s">
        <v>5</v>
      </c>
      <c r="B609" s="35"/>
      <c r="C609" s="35"/>
      <c r="D609" s="86"/>
      <c r="E609" s="86"/>
      <c r="F609" s="8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78"/>
    </row>
    <row r="610" spans="1:17" s="39" customFormat="1" ht="11.25">
      <c r="A610" s="40" t="s">
        <v>188</v>
      </c>
      <c r="B610" s="41"/>
      <c r="C610" s="41"/>
      <c r="D610" s="80"/>
      <c r="E610" s="80">
        <v>17</v>
      </c>
      <c r="F610" s="80">
        <v>17</v>
      </c>
      <c r="G610" s="87"/>
      <c r="H610" s="87">
        <v>11</v>
      </c>
      <c r="I610" s="87"/>
      <c r="J610" s="87">
        <f>H610</f>
        <v>11</v>
      </c>
      <c r="K610" s="87">
        <f>H610</f>
        <v>11</v>
      </c>
      <c r="L610" s="87">
        <f>J610</f>
        <v>11</v>
      </c>
      <c r="M610" s="87">
        <f>K610</f>
        <v>11</v>
      </c>
      <c r="N610" s="87"/>
      <c r="O610" s="87">
        <v>8</v>
      </c>
      <c r="P610" s="87">
        <f>O610</f>
        <v>8</v>
      </c>
      <c r="Q610" s="78"/>
    </row>
    <row r="611" spans="1:17" s="39" customFormat="1" ht="11.25">
      <c r="A611" s="40" t="s">
        <v>7</v>
      </c>
      <c r="B611" s="41"/>
      <c r="C611" s="41"/>
      <c r="D611" s="80"/>
      <c r="E611" s="80"/>
      <c r="F611" s="80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78"/>
    </row>
    <row r="612" spans="1:17" s="39" customFormat="1" ht="22.5">
      <c r="A612" s="40" t="s">
        <v>263</v>
      </c>
      <c r="B612" s="41"/>
      <c r="C612" s="41"/>
      <c r="D612" s="80"/>
      <c r="E612" s="87">
        <v>5176470.59</v>
      </c>
      <c r="F612" s="87">
        <v>5176470.59</v>
      </c>
      <c r="G612" s="87"/>
      <c r="H612" s="87">
        <f>SUM(H608)/H610</f>
        <v>8363636.363636363</v>
      </c>
      <c r="I612" s="87"/>
      <c r="J612" s="87">
        <f>SUM(J608)/J610</f>
        <v>8363636.363636363</v>
      </c>
      <c r="K612" s="87"/>
      <c r="L612" s="87"/>
      <c r="M612" s="87"/>
      <c r="N612" s="87"/>
      <c r="O612" s="87">
        <f>SUM(O608)/O610</f>
        <v>11875000</v>
      </c>
      <c r="P612" s="87">
        <f>SUM(P608)/P610</f>
        <v>11875000</v>
      </c>
      <c r="Q612" s="78"/>
    </row>
    <row r="613" spans="1:17" s="52" customFormat="1" ht="11.25">
      <c r="A613" s="34" t="s">
        <v>5</v>
      </c>
      <c r="B613" s="35"/>
      <c r="C613" s="35"/>
      <c r="D613" s="86"/>
      <c r="E613" s="86"/>
      <c r="F613" s="8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75"/>
    </row>
    <row r="614" spans="1:235" ht="33.75">
      <c r="A614" s="88" t="s">
        <v>282</v>
      </c>
      <c r="B614" s="29"/>
      <c r="C614" s="29"/>
      <c r="D614" s="89"/>
      <c r="E614" s="48">
        <v>621600</v>
      </c>
      <c r="F614" s="48">
        <v>621600</v>
      </c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88" t="s">
        <v>368</v>
      </c>
      <c r="B615" s="29"/>
      <c r="C615" s="29"/>
      <c r="D615" s="89"/>
      <c r="E615" s="48">
        <v>1247000</v>
      </c>
      <c r="F615" s="48">
        <f>E615</f>
        <v>1247000</v>
      </c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33.75">
      <c r="A616" s="88" t="s">
        <v>376</v>
      </c>
      <c r="B616" s="29"/>
      <c r="C616" s="29"/>
      <c r="D616" s="89"/>
      <c r="E616" s="48">
        <v>2420000</v>
      </c>
      <c r="F616" s="48">
        <f>E616</f>
        <v>2420000</v>
      </c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91" customFormat="1" ht="13.5" customHeight="1">
      <c r="A617" s="37" t="s">
        <v>337</v>
      </c>
      <c r="B617" s="37"/>
      <c r="C617" s="37"/>
      <c r="D617" s="81">
        <f>SUM(D619)</f>
        <v>0</v>
      </c>
      <c r="E617" s="81"/>
      <c r="F617" s="81">
        <f>SUM(F619)</f>
        <v>0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90"/>
    </row>
    <row r="618" spans="1:17" s="22" customFormat="1" ht="20.25" customHeight="1">
      <c r="A618" s="8" t="s">
        <v>339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4"/>
    </row>
    <row r="619" spans="1:17" s="95" customFormat="1" ht="16.5" customHeight="1">
      <c r="A619" s="92" t="s">
        <v>437</v>
      </c>
      <c r="B619" s="93"/>
      <c r="C619" s="93"/>
      <c r="D619" s="94">
        <f>SUM(D621)</f>
        <v>0</v>
      </c>
      <c r="E619" s="94">
        <f>SUM(E621)</f>
        <v>0</v>
      </c>
      <c r="F619" s="94">
        <f>SUM(F621)</f>
        <v>0</v>
      </c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78"/>
    </row>
    <row r="620" spans="1:235" ht="11.25">
      <c r="A620" s="34" t="s">
        <v>4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5" customHeight="1">
      <c r="A621" s="40" t="s">
        <v>43</v>
      </c>
      <c r="B621" s="6"/>
      <c r="C621" s="6"/>
      <c r="D621" s="84">
        <v>0</v>
      </c>
      <c r="E621" s="84"/>
      <c r="F621" s="84">
        <f>SUM(D621:E621)</f>
        <v>0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17" s="52" customFormat="1" ht="11.25">
      <c r="A622" s="34" t="s">
        <v>5</v>
      </c>
      <c r="B622" s="37"/>
      <c r="C622" s="37"/>
      <c r="D622" s="81"/>
      <c r="E622" s="81"/>
      <c r="F622" s="81">
        <f>SUM(D622:E622)</f>
        <v>0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75"/>
    </row>
    <row r="623" spans="1:235" ht="13.5" customHeight="1">
      <c r="A623" s="34" t="s">
        <v>340</v>
      </c>
      <c r="B623" s="6"/>
      <c r="C623" s="6"/>
      <c r="D623" s="84">
        <v>0</v>
      </c>
      <c r="E623" s="84"/>
      <c r="F623" s="84">
        <f>SUM(D623:E623)</f>
        <v>0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16.5" customHeight="1">
      <c r="A624" s="34" t="s">
        <v>7</v>
      </c>
      <c r="B624" s="37"/>
      <c r="C624" s="37"/>
      <c r="D624" s="81"/>
      <c r="E624" s="81"/>
      <c r="F624" s="81"/>
      <c r="G624" s="81"/>
      <c r="H624" s="81"/>
      <c r="I624" s="81"/>
      <c r="J624" s="30"/>
      <c r="K624" s="81"/>
      <c r="L624" s="81"/>
      <c r="M624" s="81"/>
      <c r="N624" s="81"/>
      <c r="O624" s="81"/>
      <c r="P624" s="81"/>
      <c r="Q624" s="75"/>
    </row>
    <row r="625" spans="1:235" ht="11.25">
      <c r="A625" s="34" t="s">
        <v>338</v>
      </c>
      <c r="B625" s="6"/>
      <c r="C625" s="6"/>
      <c r="D625" s="84">
        <v>0</v>
      </c>
      <c r="E625" s="84"/>
      <c r="F625" s="84">
        <f>SUM(D625:E625)</f>
        <v>0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37" t="s">
        <v>262</v>
      </c>
      <c r="B626" s="6"/>
      <c r="C626" s="6"/>
      <c r="D626" s="81">
        <f>D628</f>
        <v>0</v>
      </c>
      <c r="E626" s="81">
        <f>E628</f>
        <v>-20000</v>
      </c>
      <c r="F626" s="81">
        <f>F628</f>
        <v>-20000</v>
      </c>
      <c r="G626" s="81">
        <f aca="true" t="shared" si="67" ref="G626:Q626">G628</f>
        <v>0</v>
      </c>
      <c r="H626" s="81">
        <f t="shared" si="67"/>
        <v>-2054092</v>
      </c>
      <c r="I626" s="81">
        <f t="shared" si="67"/>
        <v>0</v>
      </c>
      <c r="J626" s="81">
        <f t="shared" si="67"/>
        <v>-2054092</v>
      </c>
      <c r="K626" s="81">
        <f t="shared" si="67"/>
        <v>0</v>
      </c>
      <c r="L626" s="81">
        <f t="shared" si="67"/>
        <v>0</v>
      </c>
      <c r="M626" s="81">
        <f t="shared" si="67"/>
        <v>0</v>
      </c>
      <c r="N626" s="81">
        <f t="shared" si="67"/>
        <v>0</v>
      </c>
      <c r="O626" s="81">
        <f t="shared" si="67"/>
        <v>0</v>
      </c>
      <c r="P626" s="81">
        <f t="shared" si="67"/>
        <v>0</v>
      </c>
      <c r="Q626" s="81">
        <f t="shared" si="67"/>
        <v>0</v>
      </c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7.25" customHeight="1">
      <c r="A627" s="8" t="s">
        <v>199</v>
      </c>
      <c r="B627" s="6"/>
      <c r="C627" s="6"/>
      <c r="D627" s="84"/>
      <c r="E627" s="84"/>
      <c r="F627" s="84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17" s="52" customFormat="1" ht="22.5">
      <c r="A628" s="34" t="s">
        <v>425</v>
      </c>
      <c r="B628" s="37"/>
      <c r="C628" s="37"/>
      <c r="D628" s="81"/>
      <c r="E628" s="81">
        <f>E630</f>
        <v>-20000</v>
      </c>
      <c r="F628" s="81">
        <f>D628+E628</f>
        <v>-20000</v>
      </c>
      <c r="G628" s="30"/>
      <c r="H628" s="36">
        <f>H630</f>
        <v>-2054092</v>
      </c>
      <c r="I628" s="36"/>
      <c r="J628" s="36">
        <f>H628</f>
        <v>-2054092</v>
      </c>
      <c r="K628" s="36"/>
      <c r="L628" s="36"/>
      <c r="M628" s="36"/>
      <c r="N628" s="36"/>
      <c r="O628" s="36">
        <f>O630</f>
        <v>0</v>
      </c>
      <c r="P628" s="36">
        <f>O628</f>
        <v>0</v>
      </c>
      <c r="Q628" s="75"/>
    </row>
    <row r="629" spans="1:235" ht="11.25">
      <c r="A629" s="5" t="s">
        <v>4</v>
      </c>
      <c r="B629" s="6"/>
      <c r="C629" s="6"/>
      <c r="D629" s="84"/>
      <c r="E629" s="84"/>
      <c r="F629" s="84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201</v>
      </c>
      <c r="B630" s="6"/>
      <c r="C630" s="6"/>
      <c r="D630" s="49"/>
      <c r="E630" s="49">
        <f>E632*E634</f>
        <v>-20000</v>
      </c>
      <c r="F630" s="49">
        <f>F632*F634</f>
        <v>-20000</v>
      </c>
      <c r="G630" s="87"/>
      <c r="H630" s="87">
        <f>H632*H634</f>
        <v>-2054092</v>
      </c>
      <c r="I630" s="87"/>
      <c r="J630" s="87">
        <f>H630</f>
        <v>-2054092</v>
      </c>
      <c r="K630" s="87"/>
      <c r="L630" s="87"/>
      <c r="M630" s="87"/>
      <c r="N630" s="87"/>
      <c r="O630" s="87"/>
      <c r="P630" s="8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5</v>
      </c>
      <c r="B631" s="6"/>
      <c r="C631" s="6"/>
      <c r="D631" s="49"/>
      <c r="E631" s="49"/>
      <c r="F631" s="49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>
      <c r="A632" s="8" t="s">
        <v>200</v>
      </c>
      <c r="B632" s="6"/>
      <c r="C632" s="6"/>
      <c r="D632" s="49"/>
      <c r="E632" s="49">
        <v>1</v>
      </c>
      <c r="F632" s="49">
        <f>D632+E632</f>
        <v>1</v>
      </c>
      <c r="G632" s="87"/>
      <c r="H632" s="96">
        <v>1</v>
      </c>
      <c r="I632" s="87"/>
      <c r="J632" s="96">
        <f>H632</f>
        <v>1</v>
      </c>
      <c r="K632" s="87"/>
      <c r="L632" s="87"/>
      <c r="M632" s="87"/>
      <c r="N632" s="87"/>
      <c r="O632" s="96"/>
      <c r="P632" s="96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4" t="s">
        <v>7</v>
      </c>
      <c r="B633" s="6"/>
      <c r="C633" s="6"/>
      <c r="D633" s="49"/>
      <c r="E633" s="49"/>
      <c r="F633" s="49"/>
      <c r="G633" s="87"/>
      <c r="H633" s="96"/>
      <c r="I633" s="87"/>
      <c r="J633" s="96"/>
      <c r="K633" s="87"/>
      <c r="L633" s="87"/>
      <c r="M633" s="87"/>
      <c r="N633" s="87"/>
      <c r="O633" s="96"/>
      <c r="P633" s="96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40" t="s">
        <v>346</v>
      </c>
      <c r="B634" s="6"/>
      <c r="C634" s="6"/>
      <c r="D634" s="49"/>
      <c r="E634" s="49">
        <v>-20000</v>
      </c>
      <c r="F634" s="49">
        <f>E634</f>
        <v>-20000</v>
      </c>
      <c r="G634" s="87"/>
      <c r="H634" s="87">
        <v>-2054092</v>
      </c>
      <c r="I634" s="87"/>
      <c r="J634" s="87">
        <f>H634</f>
        <v>-2054092</v>
      </c>
      <c r="K634" s="87"/>
      <c r="L634" s="87"/>
      <c r="M634" s="87"/>
      <c r="N634" s="87"/>
      <c r="O634" s="96"/>
      <c r="P634" s="96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37" t="s">
        <v>309</v>
      </c>
      <c r="B635" s="6"/>
      <c r="C635" s="6"/>
      <c r="D635" s="49"/>
      <c r="E635" s="49"/>
      <c r="F635" s="49"/>
      <c r="G635" s="81">
        <f>G637</f>
        <v>0</v>
      </c>
      <c r="H635" s="81">
        <f>H637</f>
        <v>-740000</v>
      </c>
      <c r="I635" s="81">
        <f>I637</f>
        <v>0</v>
      </c>
      <c r="J635" s="81">
        <f>J637</f>
        <v>-740000</v>
      </c>
      <c r="K635" s="87"/>
      <c r="L635" s="87"/>
      <c r="M635" s="87"/>
      <c r="N635" s="87"/>
      <c r="O635" s="96"/>
      <c r="P635" s="96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1.25">
      <c r="A636" s="8" t="s">
        <v>199</v>
      </c>
      <c r="B636" s="6"/>
      <c r="C636" s="6"/>
      <c r="D636" s="49"/>
      <c r="E636" s="49"/>
      <c r="F636" s="49"/>
      <c r="G636" s="7"/>
      <c r="H636" s="7"/>
      <c r="I636" s="7"/>
      <c r="J636" s="7"/>
      <c r="K636" s="87"/>
      <c r="L636" s="87"/>
      <c r="M636" s="87"/>
      <c r="N636" s="87"/>
      <c r="O636" s="96"/>
      <c r="P636" s="96"/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22.5">
      <c r="A637" s="34" t="s">
        <v>438</v>
      </c>
      <c r="B637" s="6"/>
      <c r="C637" s="6"/>
      <c r="D637" s="49"/>
      <c r="E637" s="49"/>
      <c r="F637" s="49"/>
      <c r="G637" s="30"/>
      <c r="H637" s="36">
        <f>H639</f>
        <v>-740000</v>
      </c>
      <c r="I637" s="36"/>
      <c r="J637" s="36">
        <f>H637</f>
        <v>-740000</v>
      </c>
      <c r="K637" s="87"/>
      <c r="L637" s="87"/>
      <c r="M637" s="87"/>
      <c r="N637" s="87"/>
      <c r="O637" s="96"/>
      <c r="P637" s="96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1.25">
      <c r="A638" s="5" t="s">
        <v>4</v>
      </c>
      <c r="B638" s="6"/>
      <c r="C638" s="6"/>
      <c r="D638" s="49"/>
      <c r="E638" s="49"/>
      <c r="F638" s="49"/>
      <c r="G638" s="7"/>
      <c r="H638" s="7"/>
      <c r="I638" s="7"/>
      <c r="J638" s="7"/>
      <c r="K638" s="87"/>
      <c r="L638" s="87"/>
      <c r="M638" s="87"/>
      <c r="N638" s="87"/>
      <c r="O638" s="96"/>
      <c r="P638" s="96"/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22.5">
      <c r="A639" s="8" t="s">
        <v>201</v>
      </c>
      <c r="B639" s="6"/>
      <c r="C639" s="6"/>
      <c r="D639" s="49"/>
      <c r="E639" s="49"/>
      <c r="F639" s="49"/>
      <c r="G639" s="87"/>
      <c r="H639" s="87">
        <f>H641*H643</f>
        <v>-740000</v>
      </c>
      <c r="I639" s="87"/>
      <c r="J639" s="87">
        <f>H639</f>
        <v>-740000</v>
      </c>
      <c r="K639" s="87"/>
      <c r="L639" s="87"/>
      <c r="M639" s="87"/>
      <c r="N639" s="87"/>
      <c r="O639" s="96"/>
      <c r="P639" s="96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1.25">
      <c r="A640" s="5" t="s">
        <v>5</v>
      </c>
      <c r="B640" s="6"/>
      <c r="C640" s="6"/>
      <c r="D640" s="49"/>
      <c r="E640" s="49"/>
      <c r="F640" s="49"/>
      <c r="G640" s="87"/>
      <c r="H640" s="87"/>
      <c r="I640" s="87"/>
      <c r="J640" s="87"/>
      <c r="K640" s="87"/>
      <c r="L640" s="87"/>
      <c r="M640" s="87"/>
      <c r="N640" s="87"/>
      <c r="O640" s="96"/>
      <c r="P640" s="96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22.5">
      <c r="A641" s="8" t="s">
        <v>200</v>
      </c>
      <c r="B641" s="6"/>
      <c r="C641" s="6"/>
      <c r="D641" s="49"/>
      <c r="E641" s="49"/>
      <c r="F641" s="49"/>
      <c r="G641" s="87"/>
      <c r="H641" s="96">
        <v>1</v>
      </c>
      <c r="I641" s="87"/>
      <c r="J641" s="96">
        <f>H641</f>
        <v>1</v>
      </c>
      <c r="K641" s="87"/>
      <c r="L641" s="87"/>
      <c r="M641" s="87"/>
      <c r="N641" s="87"/>
      <c r="O641" s="96"/>
      <c r="P641" s="96"/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34" t="s">
        <v>7</v>
      </c>
      <c r="B642" s="6"/>
      <c r="C642" s="6"/>
      <c r="D642" s="49"/>
      <c r="E642" s="49"/>
      <c r="F642" s="49"/>
      <c r="G642" s="87"/>
      <c r="H642" s="96"/>
      <c r="I642" s="87"/>
      <c r="J642" s="96"/>
      <c r="K642" s="87"/>
      <c r="L642" s="87"/>
      <c r="M642" s="87"/>
      <c r="N642" s="87"/>
      <c r="O642" s="96"/>
      <c r="P642" s="96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22.5">
      <c r="A643" s="40" t="s">
        <v>346</v>
      </c>
      <c r="B643" s="6"/>
      <c r="C643" s="6"/>
      <c r="D643" s="49"/>
      <c r="E643" s="49"/>
      <c r="F643" s="49"/>
      <c r="G643" s="87"/>
      <c r="H643" s="87">
        <v>-740000</v>
      </c>
      <c r="I643" s="87"/>
      <c r="J643" s="87">
        <f>H643</f>
        <v>-740000</v>
      </c>
      <c r="K643" s="87"/>
      <c r="L643" s="87"/>
      <c r="M643" s="87"/>
      <c r="N643" s="87"/>
      <c r="O643" s="96"/>
      <c r="P643" s="96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3.5" customHeight="1">
      <c r="A644" s="37" t="s">
        <v>269</v>
      </c>
      <c r="B644" s="6"/>
      <c r="C644" s="6"/>
      <c r="D644" s="81">
        <f>D646</f>
        <v>0</v>
      </c>
      <c r="E644" s="81">
        <f aca="true" t="shared" si="68" ref="E644:P644">E646</f>
        <v>74070200</v>
      </c>
      <c r="F644" s="81">
        <f t="shared" si="68"/>
        <v>74070200</v>
      </c>
      <c r="G644" s="81">
        <f t="shared" si="68"/>
        <v>0</v>
      </c>
      <c r="H644" s="81">
        <f t="shared" si="68"/>
        <v>0</v>
      </c>
      <c r="I644" s="81">
        <f t="shared" si="68"/>
        <v>0</v>
      </c>
      <c r="J644" s="81">
        <f t="shared" si="68"/>
        <v>0</v>
      </c>
      <c r="K644" s="81">
        <f t="shared" si="68"/>
        <v>0</v>
      </c>
      <c r="L644" s="81">
        <f t="shared" si="68"/>
        <v>0</v>
      </c>
      <c r="M644" s="81">
        <f t="shared" si="68"/>
        <v>0</v>
      </c>
      <c r="N644" s="81">
        <f t="shared" si="68"/>
        <v>0</v>
      </c>
      <c r="O644" s="81">
        <f t="shared" si="68"/>
        <v>0</v>
      </c>
      <c r="P644" s="81">
        <f t="shared" si="68"/>
        <v>0</v>
      </c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21.75" customHeight="1">
      <c r="A645" s="8" t="s">
        <v>265</v>
      </c>
      <c r="B645" s="6"/>
      <c r="C645" s="6"/>
      <c r="D645" s="84"/>
      <c r="E645" s="84"/>
      <c r="F645" s="84"/>
      <c r="G645" s="7"/>
      <c r="H645" s="7"/>
      <c r="I645" s="7"/>
      <c r="J645" s="7"/>
      <c r="K645" s="7"/>
      <c r="L645" s="7"/>
      <c r="M645" s="7"/>
      <c r="N645" s="7"/>
      <c r="O645" s="7"/>
      <c r="P645" s="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21.75" customHeight="1">
      <c r="A646" s="34" t="s">
        <v>439</v>
      </c>
      <c r="B646" s="37"/>
      <c r="C646" s="37"/>
      <c r="D646" s="81"/>
      <c r="E646" s="81">
        <f>E648</f>
        <v>74070200</v>
      </c>
      <c r="F646" s="81">
        <f>D646+E646</f>
        <v>74070200</v>
      </c>
      <c r="G646" s="30"/>
      <c r="H646" s="36">
        <f>H648</f>
        <v>0</v>
      </c>
      <c r="I646" s="36"/>
      <c r="J646" s="36">
        <f>H646</f>
        <v>0</v>
      </c>
      <c r="K646" s="36"/>
      <c r="L646" s="36"/>
      <c r="M646" s="36"/>
      <c r="N646" s="36"/>
      <c r="O646" s="36">
        <f>O648</f>
        <v>0</v>
      </c>
      <c r="P646" s="36">
        <f>O646</f>
        <v>0</v>
      </c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1.75" customHeight="1">
      <c r="A647" s="5" t="s">
        <v>4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21.75" customHeight="1">
      <c r="A648" s="8" t="s">
        <v>268</v>
      </c>
      <c r="B648" s="6"/>
      <c r="C648" s="6"/>
      <c r="D648" s="49"/>
      <c r="E648" s="49">
        <v>74070200</v>
      </c>
      <c r="F648" s="49">
        <f>D648+E648</f>
        <v>74070200</v>
      </c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21.75" customHeight="1">
      <c r="A649" s="5" t="s">
        <v>5</v>
      </c>
      <c r="B649" s="6"/>
      <c r="C649" s="6"/>
      <c r="D649" s="49"/>
      <c r="E649" s="49"/>
      <c r="F649" s="49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21.75" customHeight="1">
      <c r="A650" s="8" t="s">
        <v>266</v>
      </c>
      <c r="B650" s="6"/>
      <c r="C650" s="6"/>
      <c r="D650" s="49"/>
      <c r="E650" s="49">
        <v>1</v>
      </c>
      <c r="F650" s="49">
        <f>D650+E650</f>
        <v>1</v>
      </c>
      <c r="G650" s="87"/>
      <c r="H650" s="96"/>
      <c r="I650" s="87"/>
      <c r="J650" s="96"/>
      <c r="K650" s="87"/>
      <c r="L650" s="87"/>
      <c r="M650" s="87"/>
      <c r="N650" s="87"/>
      <c r="O650" s="96"/>
      <c r="P650" s="96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21.75" customHeight="1">
      <c r="A651" s="5" t="s">
        <v>7</v>
      </c>
      <c r="B651" s="6"/>
      <c r="C651" s="6"/>
      <c r="D651" s="49"/>
      <c r="E651" s="49"/>
      <c r="F651" s="49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21.75" customHeight="1">
      <c r="A652" s="8" t="s">
        <v>267</v>
      </c>
      <c r="B652" s="127"/>
      <c r="C652" s="127"/>
      <c r="D652" s="36"/>
      <c r="E652" s="87">
        <f>E648/E650</f>
        <v>74070200</v>
      </c>
      <c r="F652" s="49">
        <f>D652+E652</f>
        <v>74070200</v>
      </c>
      <c r="G652" s="128"/>
      <c r="H652" s="128"/>
      <c r="I652" s="128"/>
      <c r="J652" s="30"/>
      <c r="K652" s="30"/>
      <c r="L652" s="30"/>
      <c r="M652" s="30"/>
      <c r="N652" s="30"/>
      <c r="O652" s="30"/>
      <c r="P652" s="30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 customHeight="1">
      <c r="A653" s="97"/>
      <c r="B653" s="98"/>
      <c r="C653" s="98"/>
      <c r="D653" s="99"/>
      <c r="E653" s="4"/>
      <c r="F653" s="4"/>
      <c r="G653" s="4"/>
      <c r="H653" s="4"/>
      <c r="I653" s="4"/>
      <c r="J653" s="100"/>
      <c r="K653" s="100"/>
      <c r="L653" s="100"/>
      <c r="M653" s="100"/>
      <c r="N653" s="100"/>
      <c r="O653" s="100"/>
      <c r="P653" s="100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0.5" customHeight="1">
      <c r="A654" s="97"/>
      <c r="B654" s="98"/>
      <c r="C654" s="98"/>
      <c r="D654" s="99"/>
      <c r="E654" s="4"/>
      <c r="F654" s="4"/>
      <c r="G654" s="4"/>
      <c r="H654" s="4"/>
      <c r="I654" s="4"/>
      <c r="J654" s="100"/>
      <c r="K654" s="100"/>
      <c r="L654" s="100"/>
      <c r="M654" s="100"/>
      <c r="N654" s="100"/>
      <c r="O654" s="100"/>
      <c r="P654" s="100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9.75" customHeight="1">
      <c r="A655" s="98"/>
      <c r="B655" s="98"/>
      <c r="C655" s="98"/>
      <c r="D655" s="99"/>
      <c r="E655" s="2"/>
      <c r="F655" s="2"/>
      <c r="G655" s="2"/>
      <c r="H655" s="2"/>
      <c r="I655" s="2"/>
      <c r="J655" s="100"/>
      <c r="K655" s="100"/>
      <c r="L655" s="100"/>
      <c r="M655" s="100"/>
      <c r="N655" s="100"/>
      <c r="O655" s="100"/>
      <c r="P655" s="100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6.75" customHeight="1">
      <c r="A656" s="98"/>
      <c r="B656" s="98"/>
      <c r="C656" s="98"/>
      <c r="D656" s="99"/>
      <c r="E656" s="2"/>
      <c r="F656" s="2"/>
      <c r="G656" s="2"/>
      <c r="H656" s="2"/>
      <c r="I656" s="2"/>
      <c r="J656" s="100"/>
      <c r="K656" s="100"/>
      <c r="L656" s="100"/>
      <c r="M656" s="100"/>
      <c r="N656" s="100"/>
      <c r="O656" s="100"/>
      <c r="P656" s="100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20.25" customHeight="1">
      <c r="A657" s="167" t="s">
        <v>354</v>
      </c>
      <c r="B657" s="167"/>
      <c r="C657" s="167"/>
      <c r="D657" s="102"/>
      <c r="E657" s="102"/>
      <c r="F657" s="103"/>
      <c r="G657" s="104"/>
      <c r="H657" s="104"/>
      <c r="I657" s="104"/>
      <c r="J657" s="105"/>
      <c r="K657" s="105"/>
      <c r="L657" s="105"/>
      <c r="M657" s="105"/>
      <c r="N657" s="104"/>
      <c r="O657" s="178" t="s">
        <v>355</v>
      </c>
      <c r="P657" s="178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8.25" customHeight="1">
      <c r="A658" s="101"/>
      <c r="B658" s="101"/>
      <c r="C658" s="101"/>
      <c r="D658" s="102"/>
      <c r="E658" s="102"/>
      <c r="F658" s="103"/>
      <c r="G658" s="104"/>
      <c r="H658" s="104"/>
      <c r="I658" s="104"/>
      <c r="J658" s="105"/>
      <c r="K658" s="105"/>
      <c r="L658" s="105"/>
      <c r="M658" s="105"/>
      <c r="N658" s="104"/>
      <c r="O658" s="106"/>
      <c r="P658" s="106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6.75" customHeight="1">
      <c r="A659" s="101"/>
      <c r="B659" s="101"/>
      <c r="C659" s="101"/>
      <c r="D659" s="102"/>
      <c r="E659" s="102"/>
      <c r="F659" s="103"/>
      <c r="G659" s="104"/>
      <c r="H659" s="104"/>
      <c r="I659" s="104"/>
      <c r="J659" s="105"/>
      <c r="K659" s="105"/>
      <c r="L659" s="105"/>
      <c r="M659" s="105"/>
      <c r="N659" s="104"/>
      <c r="O659" s="106"/>
      <c r="P659" s="106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8.75" customHeight="1">
      <c r="A660" s="166" t="s">
        <v>361</v>
      </c>
      <c r="B660" s="166"/>
      <c r="C660" s="107"/>
      <c r="D660" s="108"/>
      <c r="E660" s="102"/>
      <c r="F660" s="104"/>
      <c r="G660" s="102"/>
      <c r="H660" s="102"/>
      <c r="I660" s="102"/>
      <c r="J660" s="109"/>
      <c r="K660" s="109"/>
      <c r="L660" s="109"/>
      <c r="M660" s="109"/>
      <c r="N660" s="109"/>
      <c r="O660" s="109"/>
      <c r="P660" s="109"/>
      <c r="Q660" s="110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 customHeight="1">
      <c r="A661" s="28" t="s">
        <v>150</v>
      </c>
      <c r="B661" s="28"/>
      <c r="C661" s="111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28.5" customHeight="1">
      <c r="A662" s="112"/>
      <c r="B662" s="113"/>
      <c r="C662" s="114"/>
      <c r="D662" s="115"/>
      <c r="E662" s="115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</sheetData>
  <sheetProtection/>
  <mergeCells count="20">
    <mergeCell ref="J8:P8"/>
    <mergeCell ref="F13:G13"/>
    <mergeCell ref="J2:L2"/>
    <mergeCell ref="A12:P12"/>
    <mergeCell ref="O657:P657"/>
    <mergeCell ref="N14:P14"/>
    <mergeCell ref="N15:O15"/>
    <mergeCell ref="P15:P16"/>
    <mergeCell ref="J15:J16"/>
    <mergeCell ref="K15:M15"/>
    <mergeCell ref="A14:A16"/>
    <mergeCell ref="B14:B16"/>
    <mergeCell ref="C14:C16"/>
    <mergeCell ref="D15:E15"/>
    <mergeCell ref="G14:J14"/>
    <mergeCell ref="A660:B660"/>
    <mergeCell ref="A657:C657"/>
    <mergeCell ref="F15:F16"/>
    <mergeCell ref="D14:F14"/>
    <mergeCell ref="G15:I15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2018-11-30T08:53:47Z</cp:lastPrinted>
  <dcterms:created xsi:type="dcterms:W3CDTF">2014-04-22T08:24:49Z</dcterms:created>
  <dcterms:modified xsi:type="dcterms:W3CDTF">2018-11-30T08:57:26Z</dcterms:modified>
  <cp:category/>
  <cp:version/>
  <cp:contentType/>
  <cp:contentStatus/>
</cp:coreProperties>
</file>