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ЗВІТ\I квартал\СМР\Доопрацьовано\"/>
    </mc:Choice>
  </mc:AlternateContent>
  <bookViews>
    <workbookView xWindow="0" yWindow="0" windowWidth="15585" windowHeight="11460" tabRatio="464" activeTab="1"/>
  </bookViews>
  <sheets>
    <sheet name="дод 2 " sheetId="1" r:id="rId1"/>
    <sheet name="дод 3" sheetId="3" r:id="rId2"/>
  </sheets>
  <definedNames>
    <definedName name="_xlnm.Print_Titles" localSheetId="0">'дод 2 '!$11:$14</definedName>
    <definedName name="_xlnm.Print_Titles" localSheetId="1">'дод 3'!$11:$14</definedName>
    <definedName name="_xlnm.Print_Area" localSheetId="0">'дод 2 '!$A$1:$Y$306</definedName>
    <definedName name="_xlnm.Print_Area" localSheetId="1">'дод 3'!$A$1:$X$231</definedName>
  </definedNames>
  <calcPr calcId="162913"/>
</workbook>
</file>

<file path=xl/calcChain.xml><?xml version="1.0" encoding="utf-8"?>
<calcChain xmlns="http://schemas.openxmlformats.org/spreadsheetml/2006/main">
  <c r="R107" i="1" l="1"/>
  <c r="W78" i="1" l="1"/>
  <c r="R227" i="1" l="1"/>
  <c r="S78" i="1" l="1"/>
  <c r="L142" i="3" l="1"/>
  <c r="L16" i="3"/>
  <c r="L20" i="3" l="1"/>
  <c r="M287" i="1"/>
  <c r="M286" i="1" s="1"/>
  <c r="M277" i="1"/>
  <c r="M276" i="1" s="1"/>
  <c r="M274" i="1"/>
  <c r="M273" i="1" s="1"/>
  <c r="M267" i="1"/>
  <c r="M266" i="1" s="1"/>
  <c r="M240" i="1"/>
  <c r="M239" i="1"/>
  <c r="M238" i="1" s="1"/>
  <c r="M235" i="1"/>
  <c r="M234" i="1" s="1"/>
  <c r="M208" i="1"/>
  <c r="M207" i="1"/>
  <c r="M206" i="1" s="1"/>
  <c r="M196" i="1"/>
  <c r="M195" i="1" s="1"/>
  <c r="M188" i="1"/>
  <c r="M187" i="1" s="1"/>
  <c r="M118" i="1"/>
  <c r="M117" i="1"/>
  <c r="M116" i="1" s="1"/>
  <c r="M84" i="1"/>
  <c r="M83" i="1"/>
  <c r="M82" i="1" s="1"/>
  <c r="M55" i="1"/>
  <c r="M54" i="1"/>
  <c r="M53" i="1" s="1"/>
  <c r="M16" i="1"/>
  <c r="M15" i="1" s="1"/>
  <c r="R222" i="3" l="1"/>
  <c r="R221" i="3" s="1"/>
  <c r="R220" i="3"/>
  <c r="R219" i="3" s="1"/>
  <c r="R218" i="3"/>
  <c r="R217" i="3"/>
  <c r="R216" i="3"/>
  <c r="R215" i="3"/>
  <c r="R214" i="3"/>
  <c r="R212" i="3" s="1"/>
  <c r="R208" i="3" s="1"/>
  <c r="R213" i="3"/>
  <c r="R211" i="3" s="1"/>
  <c r="R210" i="3"/>
  <c r="R209" i="3" s="1"/>
  <c r="R206" i="3"/>
  <c r="R205" i="3"/>
  <c r="R204" i="3"/>
  <c r="R203" i="3" s="1"/>
  <c r="R202" i="3"/>
  <c r="R201" i="3"/>
  <c r="R199" i="3"/>
  <c r="R198" i="3" s="1"/>
  <c r="R197" i="3"/>
  <c r="R196" i="3"/>
  <c r="R193" i="3"/>
  <c r="R192" i="3" s="1"/>
  <c r="R191" i="3"/>
  <c r="R190" i="3"/>
  <c r="R189" i="3"/>
  <c r="R188" i="3"/>
  <c r="R187" i="3"/>
  <c r="R186" i="3"/>
  <c r="R185" i="3"/>
  <c r="R184" i="3"/>
  <c r="R182" i="3"/>
  <c r="R181" i="3" s="1"/>
  <c r="R180" i="3"/>
  <c r="R173" i="3" s="1"/>
  <c r="R179" i="3"/>
  <c r="R178" i="3"/>
  <c r="R177" i="3"/>
  <c r="R176" i="3"/>
  <c r="R175" i="3"/>
  <c r="R174" i="3"/>
  <c r="R171" i="3"/>
  <c r="R170" i="3"/>
  <c r="R160" i="3" s="1"/>
  <c r="R169" i="3"/>
  <c r="R168" i="3"/>
  <c r="R167" i="3"/>
  <c r="R166" i="3"/>
  <c r="R165" i="3"/>
  <c r="R164" i="3"/>
  <c r="R163" i="3"/>
  <c r="R162" i="3"/>
  <c r="R161" i="3"/>
  <c r="R158" i="3"/>
  <c r="R157" i="3" s="1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39" i="3"/>
  <c r="R138" i="3"/>
  <c r="R137" i="3"/>
  <c r="R136" i="3"/>
  <c r="R135" i="3"/>
  <c r="R134" i="3"/>
  <c r="R132" i="3"/>
  <c r="R131" i="3"/>
  <c r="R130" i="3"/>
  <c r="R129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7" i="3"/>
  <c r="R16" i="3"/>
  <c r="L222" i="3"/>
  <c r="L221" i="3" s="1"/>
  <c r="L220" i="3"/>
  <c r="L219" i="3" s="1"/>
  <c r="L218" i="3"/>
  <c r="L217" i="3"/>
  <c r="L216" i="3"/>
  <c r="L215" i="3"/>
  <c r="L214" i="3"/>
  <c r="L213" i="3"/>
  <c r="L211" i="3" s="1"/>
  <c r="L212" i="3"/>
  <c r="L208" i="3" s="1"/>
  <c r="L210" i="3"/>
  <c r="L209" i="3" s="1"/>
  <c r="L206" i="3"/>
  <c r="L205" i="3"/>
  <c r="L204" i="3"/>
  <c r="L203" i="3" s="1"/>
  <c r="L202" i="3"/>
  <c r="L201" i="3"/>
  <c r="L199" i="3"/>
  <c r="L198" i="3" s="1"/>
  <c r="L197" i="3"/>
  <c r="L196" i="3"/>
  <c r="L193" i="3"/>
  <c r="L192" i="3" s="1"/>
  <c r="L191" i="3"/>
  <c r="L190" i="3"/>
  <c r="L189" i="3"/>
  <c r="L188" i="3"/>
  <c r="L187" i="3"/>
  <c r="L186" i="3"/>
  <c r="L185" i="3"/>
  <c r="L184" i="3"/>
  <c r="L182" i="3"/>
  <c r="L181" i="3" s="1"/>
  <c r="L180" i="3"/>
  <c r="L173" i="3" s="1"/>
  <c r="L179" i="3"/>
  <c r="L178" i="3"/>
  <c r="L177" i="3"/>
  <c r="L176" i="3"/>
  <c r="L175" i="3"/>
  <c r="L174" i="3"/>
  <c r="L171" i="3"/>
  <c r="L170" i="3"/>
  <c r="L167" i="3"/>
  <c r="L166" i="3"/>
  <c r="L165" i="3"/>
  <c r="L164" i="3"/>
  <c r="L163" i="3"/>
  <c r="L162" i="3"/>
  <c r="L161" i="3"/>
  <c r="L160" i="3"/>
  <c r="L158" i="3"/>
  <c r="L157" i="3" s="1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39" i="3"/>
  <c r="L138" i="3"/>
  <c r="L137" i="3"/>
  <c r="L136" i="3"/>
  <c r="L135" i="3"/>
  <c r="L134" i="3"/>
  <c r="L132" i="3"/>
  <c r="L131" i="3"/>
  <c r="L130" i="3"/>
  <c r="L129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2" i="3"/>
  <c r="L21" i="3"/>
  <c r="L17" i="3"/>
  <c r="L15" i="3" s="1"/>
  <c r="L141" i="3" l="1"/>
  <c r="L159" i="3"/>
  <c r="L195" i="3"/>
  <c r="L19" i="3"/>
  <c r="L18" i="3"/>
  <c r="L37" i="3"/>
  <c r="L38" i="3"/>
  <c r="L140" i="3"/>
  <c r="R195" i="3"/>
  <c r="R141" i="3"/>
  <c r="L59" i="3"/>
  <c r="L60" i="3"/>
  <c r="L183" i="3"/>
  <c r="R37" i="3"/>
  <c r="R183" i="3"/>
  <c r="R207" i="3"/>
  <c r="R15" i="3"/>
  <c r="R19" i="3"/>
  <c r="R133" i="3"/>
  <c r="R140" i="3"/>
  <c r="R159" i="3"/>
  <c r="R172" i="3"/>
  <c r="R200" i="3"/>
  <c r="R194" i="3" s="1"/>
  <c r="L207" i="3"/>
  <c r="L172" i="3"/>
  <c r="L200" i="3"/>
  <c r="R59" i="3"/>
  <c r="R60" i="3"/>
  <c r="L133" i="3"/>
  <c r="R18" i="3"/>
  <c r="R128" i="3"/>
  <c r="L128" i="3"/>
  <c r="M300" i="1"/>
  <c r="M299" i="1"/>
  <c r="L194" i="3" l="1"/>
  <c r="L156" i="3"/>
  <c r="L223" i="3" s="1"/>
  <c r="R224" i="3"/>
  <c r="L224" i="3"/>
  <c r="R156" i="3"/>
  <c r="R223" i="3" s="1"/>
  <c r="S287" i="1"/>
  <c r="S286" i="1" s="1"/>
  <c r="S277" i="1"/>
  <c r="S276" i="1" s="1"/>
  <c r="S274" i="1"/>
  <c r="S273" i="1" s="1"/>
  <c r="S267" i="1"/>
  <c r="S266" i="1" s="1"/>
  <c r="S240" i="1"/>
  <c r="S239" i="1"/>
  <c r="S238" i="1" s="1"/>
  <c r="S235" i="1"/>
  <c r="S234" i="1" s="1"/>
  <c r="S208" i="1"/>
  <c r="S207" i="1"/>
  <c r="S206" i="1" s="1"/>
  <c r="S196" i="1"/>
  <c r="S195" i="1" s="1"/>
  <c r="S188" i="1"/>
  <c r="S187" i="1" s="1"/>
  <c r="S118" i="1"/>
  <c r="S117" i="1"/>
  <c r="S116" i="1" s="1"/>
  <c r="S84" i="1"/>
  <c r="S83" i="1"/>
  <c r="S82" i="1" s="1"/>
  <c r="S55" i="1"/>
  <c r="S54" i="1"/>
  <c r="S53" i="1" s="1"/>
  <c r="S16" i="1"/>
  <c r="S15" i="1" s="1"/>
  <c r="S300" i="1" l="1"/>
  <c r="S299" i="1"/>
  <c r="T16" i="3"/>
  <c r="U16" i="3"/>
  <c r="S16" i="3"/>
  <c r="I16" i="3"/>
  <c r="V222" i="3" l="1"/>
  <c r="U222" i="3"/>
  <c r="U221" i="3" s="1"/>
  <c r="T222" i="3"/>
  <c r="T221" i="3" s="1"/>
  <c r="S222" i="3"/>
  <c r="S221" i="3" s="1"/>
  <c r="V221" i="3"/>
  <c r="V220" i="3"/>
  <c r="U220" i="3"/>
  <c r="T220" i="3"/>
  <c r="S220" i="3"/>
  <c r="V219" i="3"/>
  <c r="U219" i="3"/>
  <c r="T219" i="3"/>
  <c r="S219" i="3"/>
  <c r="V218" i="3"/>
  <c r="U218" i="3"/>
  <c r="T218" i="3"/>
  <c r="S218" i="3"/>
  <c r="V217" i="3"/>
  <c r="U217" i="3"/>
  <c r="T217" i="3"/>
  <c r="S217" i="3"/>
  <c r="V216" i="3"/>
  <c r="U216" i="3"/>
  <c r="T216" i="3"/>
  <c r="S216" i="3"/>
  <c r="V215" i="3"/>
  <c r="U215" i="3"/>
  <c r="T215" i="3"/>
  <c r="S215" i="3"/>
  <c r="V214" i="3"/>
  <c r="U214" i="3"/>
  <c r="T214" i="3"/>
  <c r="S214" i="3"/>
  <c r="V213" i="3"/>
  <c r="U213" i="3"/>
  <c r="U211" i="3" s="1"/>
  <c r="T213" i="3"/>
  <c r="T211" i="3" s="1"/>
  <c r="S213" i="3"/>
  <c r="V212" i="3"/>
  <c r="V208" i="3" s="1"/>
  <c r="U212" i="3"/>
  <c r="U208" i="3" s="1"/>
  <c r="T212" i="3"/>
  <c r="T208" i="3" s="1"/>
  <c r="S212" i="3"/>
  <c r="S208" i="3" s="1"/>
  <c r="V211" i="3"/>
  <c r="S211" i="3"/>
  <c r="V210" i="3"/>
  <c r="U210" i="3"/>
  <c r="T210" i="3"/>
  <c r="S210" i="3"/>
  <c r="V209" i="3"/>
  <c r="U209" i="3"/>
  <c r="T209" i="3"/>
  <c r="S209" i="3"/>
  <c r="V206" i="3"/>
  <c r="U206" i="3"/>
  <c r="T206" i="3"/>
  <c r="S206" i="3"/>
  <c r="V205" i="3"/>
  <c r="U205" i="3"/>
  <c r="T205" i="3"/>
  <c r="S205" i="3"/>
  <c r="V204" i="3"/>
  <c r="U204" i="3"/>
  <c r="T204" i="3"/>
  <c r="S204" i="3"/>
  <c r="V203" i="3"/>
  <c r="U203" i="3"/>
  <c r="T203" i="3"/>
  <c r="S203" i="3"/>
  <c r="V202" i="3"/>
  <c r="U202" i="3"/>
  <c r="T202" i="3"/>
  <c r="S202" i="3"/>
  <c r="V201" i="3"/>
  <c r="U201" i="3"/>
  <c r="T201" i="3"/>
  <c r="S201" i="3"/>
  <c r="V200" i="3"/>
  <c r="U200" i="3"/>
  <c r="T200" i="3"/>
  <c r="S200" i="3"/>
  <c r="V199" i="3"/>
  <c r="U199" i="3"/>
  <c r="T199" i="3"/>
  <c r="S199" i="3"/>
  <c r="V198" i="3"/>
  <c r="U198" i="3"/>
  <c r="T198" i="3"/>
  <c r="S198" i="3"/>
  <c r="V197" i="3"/>
  <c r="U197" i="3"/>
  <c r="T197" i="3"/>
  <c r="S197" i="3"/>
  <c r="V196" i="3"/>
  <c r="U196" i="3"/>
  <c r="U195" i="3" s="1"/>
  <c r="U194" i="3" s="1"/>
  <c r="T196" i="3"/>
  <c r="T195" i="3" s="1"/>
  <c r="T194" i="3" s="1"/>
  <c r="S196" i="3"/>
  <c r="S195" i="3" s="1"/>
  <c r="S194" i="3" s="1"/>
  <c r="V193" i="3"/>
  <c r="U193" i="3"/>
  <c r="T193" i="3"/>
  <c r="S193" i="3"/>
  <c r="V192" i="3"/>
  <c r="U192" i="3"/>
  <c r="T192" i="3"/>
  <c r="S192" i="3"/>
  <c r="V191" i="3"/>
  <c r="U191" i="3"/>
  <c r="T191" i="3"/>
  <c r="S191" i="3"/>
  <c r="V190" i="3"/>
  <c r="U190" i="3"/>
  <c r="T190" i="3"/>
  <c r="S190" i="3"/>
  <c r="V189" i="3"/>
  <c r="U189" i="3"/>
  <c r="T189" i="3"/>
  <c r="S189" i="3"/>
  <c r="V188" i="3"/>
  <c r="U188" i="3"/>
  <c r="T188" i="3"/>
  <c r="S188" i="3"/>
  <c r="V187" i="3"/>
  <c r="U187" i="3"/>
  <c r="T187" i="3"/>
  <c r="S187" i="3"/>
  <c r="V186" i="3"/>
  <c r="U186" i="3"/>
  <c r="T186" i="3"/>
  <c r="S186" i="3"/>
  <c r="V185" i="3"/>
  <c r="U185" i="3"/>
  <c r="T185" i="3"/>
  <c r="S185" i="3"/>
  <c r="V184" i="3"/>
  <c r="U184" i="3"/>
  <c r="T184" i="3"/>
  <c r="S184" i="3"/>
  <c r="V183" i="3"/>
  <c r="U183" i="3"/>
  <c r="T183" i="3"/>
  <c r="S183" i="3"/>
  <c r="V182" i="3"/>
  <c r="U182" i="3"/>
  <c r="T182" i="3"/>
  <c r="S182" i="3"/>
  <c r="V181" i="3"/>
  <c r="U181" i="3"/>
  <c r="T181" i="3"/>
  <c r="S181" i="3"/>
  <c r="V180" i="3"/>
  <c r="U180" i="3"/>
  <c r="T180" i="3"/>
  <c r="S180" i="3"/>
  <c r="V179" i="3"/>
  <c r="U179" i="3"/>
  <c r="T179" i="3"/>
  <c r="S179" i="3"/>
  <c r="V178" i="3"/>
  <c r="U178" i="3"/>
  <c r="T178" i="3"/>
  <c r="S178" i="3"/>
  <c r="V177" i="3"/>
  <c r="U177" i="3"/>
  <c r="T177" i="3"/>
  <c r="S177" i="3"/>
  <c r="V176" i="3"/>
  <c r="U176" i="3"/>
  <c r="T176" i="3"/>
  <c r="S176" i="3"/>
  <c r="V175" i="3"/>
  <c r="U175" i="3"/>
  <c r="T175" i="3"/>
  <c r="S175" i="3"/>
  <c r="V174" i="3"/>
  <c r="U174" i="3"/>
  <c r="T174" i="3"/>
  <c r="S174" i="3"/>
  <c r="V173" i="3"/>
  <c r="U173" i="3"/>
  <c r="T173" i="3"/>
  <c r="S173" i="3"/>
  <c r="V172" i="3"/>
  <c r="U172" i="3"/>
  <c r="T172" i="3"/>
  <c r="S172" i="3"/>
  <c r="V171" i="3"/>
  <c r="U171" i="3"/>
  <c r="T171" i="3"/>
  <c r="S171" i="3"/>
  <c r="V170" i="3"/>
  <c r="V160" i="3" s="1"/>
  <c r="U170" i="3"/>
  <c r="U160" i="3" s="1"/>
  <c r="T170" i="3"/>
  <c r="T160" i="3" s="1"/>
  <c r="S170" i="3"/>
  <c r="S160" i="3" s="1"/>
  <c r="V169" i="3"/>
  <c r="U169" i="3"/>
  <c r="T169" i="3"/>
  <c r="S169" i="3"/>
  <c r="V168" i="3"/>
  <c r="U168" i="3"/>
  <c r="T168" i="3"/>
  <c r="S168" i="3"/>
  <c r="V167" i="3"/>
  <c r="U167" i="3"/>
  <c r="T167" i="3"/>
  <c r="S167" i="3"/>
  <c r="V166" i="3"/>
  <c r="U166" i="3"/>
  <c r="T166" i="3"/>
  <c r="S166" i="3"/>
  <c r="V165" i="3"/>
  <c r="U165" i="3"/>
  <c r="T165" i="3"/>
  <c r="S165" i="3"/>
  <c r="V164" i="3"/>
  <c r="U164" i="3"/>
  <c r="T164" i="3"/>
  <c r="S164" i="3"/>
  <c r="V163" i="3"/>
  <c r="U163" i="3"/>
  <c r="T163" i="3"/>
  <c r="S163" i="3"/>
  <c r="V162" i="3"/>
  <c r="U162" i="3"/>
  <c r="T162" i="3"/>
  <c r="S162" i="3"/>
  <c r="V161" i="3"/>
  <c r="V159" i="3" s="1"/>
  <c r="U161" i="3"/>
  <c r="U159" i="3" s="1"/>
  <c r="T161" i="3"/>
  <c r="T159" i="3" s="1"/>
  <c r="S161" i="3"/>
  <c r="S159" i="3" s="1"/>
  <c r="V158" i="3"/>
  <c r="U158" i="3"/>
  <c r="T158" i="3"/>
  <c r="S158" i="3"/>
  <c r="V157" i="3"/>
  <c r="U157" i="3"/>
  <c r="T157" i="3"/>
  <c r="S157" i="3"/>
  <c r="V155" i="3"/>
  <c r="U155" i="3"/>
  <c r="T155" i="3"/>
  <c r="S155" i="3"/>
  <c r="V154" i="3"/>
  <c r="U154" i="3"/>
  <c r="T154" i="3"/>
  <c r="S154" i="3"/>
  <c r="V153" i="3"/>
  <c r="U153" i="3"/>
  <c r="T153" i="3"/>
  <c r="S153" i="3"/>
  <c r="V152" i="3"/>
  <c r="U152" i="3"/>
  <c r="T152" i="3"/>
  <c r="S152" i="3"/>
  <c r="V151" i="3"/>
  <c r="U151" i="3"/>
  <c r="T151" i="3"/>
  <c r="S151" i="3"/>
  <c r="V150" i="3"/>
  <c r="U150" i="3"/>
  <c r="T150" i="3"/>
  <c r="S150" i="3"/>
  <c r="V149" i="3"/>
  <c r="U149" i="3"/>
  <c r="T149" i="3"/>
  <c r="S149" i="3"/>
  <c r="V148" i="3"/>
  <c r="U148" i="3"/>
  <c r="T148" i="3"/>
  <c r="S148" i="3"/>
  <c r="V147" i="3"/>
  <c r="U147" i="3"/>
  <c r="T147" i="3"/>
  <c r="S147" i="3"/>
  <c r="V146" i="3"/>
  <c r="U146" i="3"/>
  <c r="T146" i="3"/>
  <c r="S146" i="3"/>
  <c r="V145" i="3"/>
  <c r="U145" i="3"/>
  <c r="T145" i="3"/>
  <c r="S145" i="3"/>
  <c r="V144" i="3"/>
  <c r="U144" i="3"/>
  <c r="T144" i="3"/>
  <c r="S144" i="3"/>
  <c r="V143" i="3"/>
  <c r="U143" i="3"/>
  <c r="T143" i="3"/>
  <c r="S143" i="3"/>
  <c r="V142" i="3"/>
  <c r="U142" i="3"/>
  <c r="T142" i="3"/>
  <c r="S142" i="3"/>
  <c r="V141" i="3"/>
  <c r="U141" i="3"/>
  <c r="T141" i="3"/>
  <c r="S141" i="3"/>
  <c r="V140" i="3"/>
  <c r="U140" i="3"/>
  <c r="T140" i="3"/>
  <c r="S140" i="3"/>
  <c r="V139" i="3"/>
  <c r="U139" i="3"/>
  <c r="T139" i="3"/>
  <c r="S139" i="3"/>
  <c r="V138" i="3"/>
  <c r="U138" i="3"/>
  <c r="T138" i="3"/>
  <c r="S138" i="3"/>
  <c r="V137" i="3"/>
  <c r="U137" i="3"/>
  <c r="T137" i="3"/>
  <c r="S137" i="3"/>
  <c r="V136" i="3"/>
  <c r="U136" i="3"/>
  <c r="T136" i="3"/>
  <c r="S136" i="3"/>
  <c r="V135" i="3"/>
  <c r="U135" i="3"/>
  <c r="T135" i="3"/>
  <c r="S135" i="3"/>
  <c r="V134" i="3"/>
  <c r="U134" i="3"/>
  <c r="T134" i="3"/>
  <c r="S134" i="3"/>
  <c r="V133" i="3"/>
  <c r="U133" i="3"/>
  <c r="T133" i="3"/>
  <c r="S133" i="3"/>
  <c r="V132" i="3"/>
  <c r="U132" i="3"/>
  <c r="T132" i="3"/>
  <c r="S132" i="3"/>
  <c r="V131" i="3"/>
  <c r="U131" i="3"/>
  <c r="T131" i="3"/>
  <c r="S131" i="3"/>
  <c r="V130" i="3"/>
  <c r="U130" i="3"/>
  <c r="T130" i="3"/>
  <c r="S130" i="3"/>
  <c r="V129" i="3"/>
  <c r="U129" i="3"/>
  <c r="T129" i="3"/>
  <c r="S129" i="3"/>
  <c r="V128" i="3"/>
  <c r="U128" i="3"/>
  <c r="T128" i="3"/>
  <c r="S128" i="3"/>
  <c r="V127" i="3"/>
  <c r="U127" i="3"/>
  <c r="T127" i="3"/>
  <c r="S127" i="3"/>
  <c r="V126" i="3"/>
  <c r="U126" i="3"/>
  <c r="T126" i="3"/>
  <c r="S126" i="3"/>
  <c r="V125" i="3"/>
  <c r="U125" i="3"/>
  <c r="T125" i="3"/>
  <c r="S125" i="3"/>
  <c r="V124" i="3"/>
  <c r="U124" i="3"/>
  <c r="T124" i="3"/>
  <c r="S124" i="3"/>
  <c r="V123" i="3"/>
  <c r="U123" i="3"/>
  <c r="T123" i="3"/>
  <c r="S123" i="3"/>
  <c r="V122" i="3"/>
  <c r="U122" i="3"/>
  <c r="T122" i="3"/>
  <c r="S122" i="3"/>
  <c r="V121" i="3"/>
  <c r="U121" i="3"/>
  <c r="T121" i="3"/>
  <c r="S121" i="3"/>
  <c r="V120" i="3"/>
  <c r="U120" i="3"/>
  <c r="T120" i="3"/>
  <c r="S120" i="3"/>
  <c r="V119" i="3"/>
  <c r="U119" i="3"/>
  <c r="T119" i="3"/>
  <c r="S119" i="3"/>
  <c r="V118" i="3"/>
  <c r="U118" i="3"/>
  <c r="T118" i="3"/>
  <c r="S118" i="3"/>
  <c r="V117" i="3"/>
  <c r="U117" i="3"/>
  <c r="T117" i="3"/>
  <c r="S117" i="3"/>
  <c r="V116" i="3"/>
  <c r="U116" i="3"/>
  <c r="T116" i="3"/>
  <c r="S116" i="3"/>
  <c r="V115" i="3"/>
  <c r="U115" i="3"/>
  <c r="T115" i="3"/>
  <c r="S115" i="3"/>
  <c r="V114" i="3"/>
  <c r="U114" i="3"/>
  <c r="T114" i="3"/>
  <c r="S114" i="3"/>
  <c r="V113" i="3"/>
  <c r="U113" i="3"/>
  <c r="T113" i="3"/>
  <c r="S113" i="3"/>
  <c r="V112" i="3"/>
  <c r="U112" i="3"/>
  <c r="T112" i="3"/>
  <c r="S112" i="3"/>
  <c r="V111" i="3"/>
  <c r="U111" i="3"/>
  <c r="T111" i="3"/>
  <c r="S111" i="3"/>
  <c r="V110" i="3"/>
  <c r="U110" i="3"/>
  <c r="T110" i="3"/>
  <c r="S110" i="3"/>
  <c r="V109" i="3"/>
  <c r="U109" i="3"/>
  <c r="T109" i="3"/>
  <c r="S109" i="3"/>
  <c r="V108" i="3"/>
  <c r="U108" i="3"/>
  <c r="T108" i="3"/>
  <c r="S108" i="3"/>
  <c r="V107" i="3"/>
  <c r="U107" i="3"/>
  <c r="T107" i="3"/>
  <c r="S107" i="3"/>
  <c r="V106" i="3"/>
  <c r="U106" i="3"/>
  <c r="T106" i="3"/>
  <c r="S106" i="3"/>
  <c r="V105" i="3"/>
  <c r="U105" i="3"/>
  <c r="T105" i="3"/>
  <c r="S105" i="3"/>
  <c r="V104" i="3"/>
  <c r="U104" i="3"/>
  <c r="T104" i="3"/>
  <c r="S104" i="3"/>
  <c r="V103" i="3"/>
  <c r="U103" i="3"/>
  <c r="T103" i="3"/>
  <c r="S103" i="3"/>
  <c r="V102" i="3"/>
  <c r="U102" i="3"/>
  <c r="T102" i="3"/>
  <c r="S102" i="3"/>
  <c r="V101" i="3"/>
  <c r="U101" i="3"/>
  <c r="T101" i="3"/>
  <c r="S101" i="3"/>
  <c r="V100" i="3"/>
  <c r="U100" i="3"/>
  <c r="T100" i="3"/>
  <c r="S100" i="3"/>
  <c r="V99" i="3"/>
  <c r="U99" i="3"/>
  <c r="T99" i="3"/>
  <c r="S99" i="3"/>
  <c r="V98" i="3"/>
  <c r="U98" i="3"/>
  <c r="T98" i="3"/>
  <c r="S98" i="3"/>
  <c r="V97" i="3"/>
  <c r="U97" i="3"/>
  <c r="T97" i="3"/>
  <c r="S97" i="3"/>
  <c r="V96" i="3"/>
  <c r="U96" i="3"/>
  <c r="T96" i="3"/>
  <c r="S96" i="3"/>
  <c r="V95" i="3"/>
  <c r="U95" i="3"/>
  <c r="T95" i="3"/>
  <c r="S95" i="3"/>
  <c r="V94" i="3"/>
  <c r="U94" i="3"/>
  <c r="T94" i="3"/>
  <c r="S94" i="3"/>
  <c r="V93" i="3"/>
  <c r="U93" i="3"/>
  <c r="T93" i="3"/>
  <c r="S93" i="3"/>
  <c r="V92" i="3"/>
  <c r="U92" i="3"/>
  <c r="T92" i="3"/>
  <c r="S92" i="3"/>
  <c r="V91" i="3"/>
  <c r="U91" i="3"/>
  <c r="T91" i="3"/>
  <c r="S91" i="3"/>
  <c r="V90" i="3"/>
  <c r="U90" i="3"/>
  <c r="T90" i="3"/>
  <c r="S90" i="3"/>
  <c r="V89" i="3"/>
  <c r="U89" i="3"/>
  <c r="T89" i="3"/>
  <c r="S89" i="3"/>
  <c r="V88" i="3"/>
  <c r="U88" i="3"/>
  <c r="T88" i="3"/>
  <c r="S88" i="3"/>
  <c r="V87" i="3"/>
  <c r="U87" i="3"/>
  <c r="T87" i="3"/>
  <c r="S87" i="3"/>
  <c r="V86" i="3"/>
  <c r="U86" i="3"/>
  <c r="T86" i="3"/>
  <c r="S86" i="3"/>
  <c r="V85" i="3"/>
  <c r="U85" i="3"/>
  <c r="T85" i="3"/>
  <c r="S85" i="3"/>
  <c r="V84" i="3"/>
  <c r="U84" i="3"/>
  <c r="T84" i="3"/>
  <c r="S84" i="3"/>
  <c r="V83" i="3"/>
  <c r="U83" i="3"/>
  <c r="T83" i="3"/>
  <c r="S83" i="3"/>
  <c r="V82" i="3"/>
  <c r="U82" i="3"/>
  <c r="T82" i="3"/>
  <c r="S82" i="3"/>
  <c r="V81" i="3"/>
  <c r="U81" i="3"/>
  <c r="T81" i="3"/>
  <c r="S81" i="3"/>
  <c r="V80" i="3"/>
  <c r="U80" i="3"/>
  <c r="T80" i="3"/>
  <c r="S80" i="3"/>
  <c r="V79" i="3"/>
  <c r="U79" i="3"/>
  <c r="T79" i="3"/>
  <c r="S79" i="3"/>
  <c r="V78" i="3"/>
  <c r="U78" i="3"/>
  <c r="T78" i="3"/>
  <c r="S78" i="3"/>
  <c r="V77" i="3"/>
  <c r="U77" i="3"/>
  <c r="T77" i="3"/>
  <c r="S77" i="3"/>
  <c r="V76" i="3"/>
  <c r="U76" i="3"/>
  <c r="T76" i="3"/>
  <c r="S76" i="3"/>
  <c r="V75" i="3"/>
  <c r="U75" i="3"/>
  <c r="T75" i="3"/>
  <c r="S75" i="3"/>
  <c r="V74" i="3"/>
  <c r="U74" i="3"/>
  <c r="T74" i="3"/>
  <c r="S74" i="3"/>
  <c r="V73" i="3"/>
  <c r="U73" i="3"/>
  <c r="T73" i="3"/>
  <c r="S73" i="3"/>
  <c r="V72" i="3"/>
  <c r="U72" i="3"/>
  <c r="T72" i="3"/>
  <c r="S72" i="3"/>
  <c r="V71" i="3"/>
  <c r="U71" i="3"/>
  <c r="T71" i="3"/>
  <c r="S71" i="3"/>
  <c r="V70" i="3"/>
  <c r="U70" i="3"/>
  <c r="T70" i="3"/>
  <c r="S70" i="3"/>
  <c r="V69" i="3"/>
  <c r="U69" i="3"/>
  <c r="T69" i="3"/>
  <c r="S69" i="3"/>
  <c r="V68" i="3"/>
  <c r="U68" i="3"/>
  <c r="T68" i="3"/>
  <c r="S68" i="3"/>
  <c r="V67" i="3"/>
  <c r="U67" i="3"/>
  <c r="T67" i="3"/>
  <c r="S67" i="3"/>
  <c r="V66" i="3"/>
  <c r="U66" i="3"/>
  <c r="T66" i="3"/>
  <c r="S66" i="3"/>
  <c r="V65" i="3"/>
  <c r="U65" i="3"/>
  <c r="T65" i="3"/>
  <c r="S65" i="3"/>
  <c r="V64" i="3"/>
  <c r="U64" i="3"/>
  <c r="T64" i="3"/>
  <c r="S64" i="3"/>
  <c r="V63" i="3"/>
  <c r="U63" i="3"/>
  <c r="T63" i="3"/>
  <c r="S63" i="3"/>
  <c r="V62" i="3"/>
  <c r="V60" i="3" s="1"/>
  <c r="U62" i="3"/>
  <c r="U60" i="3" s="1"/>
  <c r="T62" i="3"/>
  <c r="T60" i="3" s="1"/>
  <c r="S62" i="3"/>
  <c r="S60" i="3" s="1"/>
  <c r="V61" i="3"/>
  <c r="V59" i="3" s="1"/>
  <c r="U61" i="3"/>
  <c r="U59" i="3" s="1"/>
  <c r="T61" i="3"/>
  <c r="S61" i="3"/>
  <c r="V58" i="3"/>
  <c r="U58" i="3"/>
  <c r="T58" i="3"/>
  <c r="S58" i="3"/>
  <c r="V57" i="3"/>
  <c r="U57" i="3"/>
  <c r="T57" i="3"/>
  <c r="S57" i="3"/>
  <c r="V56" i="3"/>
  <c r="U56" i="3"/>
  <c r="T56" i="3"/>
  <c r="S56" i="3"/>
  <c r="V55" i="3"/>
  <c r="U55" i="3"/>
  <c r="T55" i="3"/>
  <c r="S55" i="3"/>
  <c r="V54" i="3"/>
  <c r="U54" i="3"/>
  <c r="T54" i="3"/>
  <c r="S54" i="3"/>
  <c r="V53" i="3"/>
  <c r="U53" i="3"/>
  <c r="T53" i="3"/>
  <c r="S53" i="3"/>
  <c r="V52" i="3"/>
  <c r="U52" i="3"/>
  <c r="T52" i="3"/>
  <c r="S52" i="3"/>
  <c r="V51" i="3"/>
  <c r="U51" i="3"/>
  <c r="T51" i="3"/>
  <c r="S51" i="3"/>
  <c r="V50" i="3"/>
  <c r="U50" i="3"/>
  <c r="T50" i="3"/>
  <c r="S50" i="3"/>
  <c r="V49" i="3"/>
  <c r="U49" i="3"/>
  <c r="T49" i="3"/>
  <c r="S49" i="3"/>
  <c r="V48" i="3"/>
  <c r="U48" i="3"/>
  <c r="T48" i="3"/>
  <c r="S48" i="3"/>
  <c r="V47" i="3"/>
  <c r="U47" i="3"/>
  <c r="T47" i="3"/>
  <c r="S47" i="3"/>
  <c r="V46" i="3"/>
  <c r="U46" i="3"/>
  <c r="T46" i="3"/>
  <c r="S46" i="3"/>
  <c r="V45" i="3"/>
  <c r="U45" i="3"/>
  <c r="T45" i="3"/>
  <c r="S45" i="3"/>
  <c r="V44" i="3"/>
  <c r="U44" i="3"/>
  <c r="T44" i="3"/>
  <c r="S44" i="3"/>
  <c r="V43" i="3"/>
  <c r="U43" i="3"/>
  <c r="T43" i="3"/>
  <c r="S43" i="3"/>
  <c r="V42" i="3"/>
  <c r="U42" i="3"/>
  <c r="T42" i="3"/>
  <c r="S42" i="3"/>
  <c r="V41" i="3"/>
  <c r="U41" i="3"/>
  <c r="T41" i="3"/>
  <c r="S41" i="3"/>
  <c r="V40" i="3"/>
  <c r="U40" i="3"/>
  <c r="U38" i="3" s="1"/>
  <c r="T40" i="3"/>
  <c r="S40" i="3"/>
  <c r="S38" i="3" s="1"/>
  <c r="V39" i="3"/>
  <c r="V37" i="3" s="1"/>
  <c r="U39" i="3"/>
  <c r="U37" i="3" s="1"/>
  <c r="T39" i="3"/>
  <c r="T37" i="3" s="1"/>
  <c r="S39" i="3"/>
  <c r="S37" i="3" s="1"/>
  <c r="T38" i="3"/>
  <c r="V36" i="3"/>
  <c r="U36" i="3"/>
  <c r="T36" i="3"/>
  <c r="S36" i="3"/>
  <c r="V35" i="3"/>
  <c r="U35" i="3"/>
  <c r="T35" i="3"/>
  <c r="S35" i="3"/>
  <c r="V34" i="3"/>
  <c r="U34" i="3"/>
  <c r="T34" i="3"/>
  <c r="S34" i="3"/>
  <c r="V33" i="3"/>
  <c r="U33" i="3"/>
  <c r="T33" i="3"/>
  <c r="S33" i="3"/>
  <c r="V32" i="3"/>
  <c r="U32" i="3"/>
  <c r="T32" i="3"/>
  <c r="S32" i="3"/>
  <c r="V31" i="3"/>
  <c r="U31" i="3"/>
  <c r="T31" i="3"/>
  <c r="S31" i="3"/>
  <c r="V30" i="3"/>
  <c r="U30" i="3"/>
  <c r="T30" i="3"/>
  <c r="S30" i="3"/>
  <c r="V29" i="3"/>
  <c r="U29" i="3"/>
  <c r="T29" i="3"/>
  <c r="S29" i="3"/>
  <c r="V28" i="3"/>
  <c r="U28" i="3"/>
  <c r="T28" i="3"/>
  <c r="S28" i="3"/>
  <c r="V27" i="3"/>
  <c r="U27" i="3"/>
  <c r="T27" i="3"/>
  <c r="S27" i="3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T18" i="3"/>
  <c r="S18" i="3"/>
  <c r="V17" i="3"/>
  <c r="U17" i="3"/>
  <c r="U15" i="3" s="1"/>
  <c r="T17" i="3"/>
  <c r="T15" i="3" s="1"/>
  <c r="S17" i="3"/>
  <c r="S15" i="3" s="1"/>
  <c r="V16" i="3"/>
  <c r="V15" i="3" s="1"/>
  <c r="I222" i="3"/>
  <c r="I221" i="3" s="1"/>
  <c r="H222" i="3"/>
  <c r="H221" i="3" s="1"/>
  <c r="G222" i="3"/>
  <c r="G221" i="3" s="1"/>
  <c r="I220" i="3"/>
  <c r="I219" i="3" s="1"/>
  <c r="H220" i="3"/>
  <c r="H219" i="3" s="1"/>
  <c r="G220" i="3"/>
  <c r="I218" i="3"/>
  <c r="H218" i="3"/>
  <c r="G218" i="3"/>
  <c r="I217" i="3"/>
  <c r="H217" i="3"/>
  <c r="G217" i="3"/>
  <c r="I216" i="3"/>
  <c r="H216" i="3"/>
  <c r="G216" i="3"/>
  <c r="I215" i="3"/>
  <c r="H215" i="3"/>
  <c r="G215" i="3"/>
  <c r="I214" i="3"/>
  <c r="H214" i="3"/>
  <c r="G214" i="3"/>
  <c r="G212" i="3" s="1"/>
  <c r="G208" i="3" s="1"/>
  <c r="I213" i="3"/>
  <c r="I211" i="3" s="1"/>
  <c r="H213" i="3"/>
  <c r="G213" i="3"/>
  <c r="I212" i="3"/>
  <c r="I208" i="3" s="1"/>
  <c r="H212" i="3"/>
  <c r="H208" i="3" s="1"/>
  <c r="H211" i="3"/>
  <c r="G211" i="3"/>
  <c r="I210" i="3"/>
  <c r="I209" i="3" s="1"/>
  <c r="H210" i="3"/>
  <c r="G210" i="3"/>
  <c r="H209" i="3"/>
  <c r="I206" i="3"/>
  <c r="H206" i="3"/>
  <c r="G206" i="3"/>
  <c r="I205" i="3"/>
  <c r="H205" i="3"/>
  <c r="G205" i="3"/>
  <c r="I204" i="3"/>
  <c r="I203" i="3" s="1"/>
  <c r="H204" i="3"/>
  <c r="H203" i="3" s="1"/>
  <c r="G204" i="3"/>
  <c r="I202" i="3"/>
  <c r="H202" i="3"/>
  <c r="G202" i="3"/>
  <c r="I201" i="3"/>
  <c r="H201" i="3"/>
  <c r="G201" i="3"/>
  <c r="I199" i="3"/>
  <c r="I198" i="3" s="1"/>
  <c r="H199" i="3"/>
  <c r="H198" i="3" s="1"/>
  <c r="G199" i="3"/>
  <c r="I197" i="3"/>
  <c r="H197" i="3"/>
  <c r="G197" i="3"/>
  <c r="I196" i="3"/>
  <c r="H196" i="3"/>
  <c r="G196" i="3"/>
  <c r="I193" i="3"/>
  <c r="I192" i="3" s="1"/>
  <c r="H193" i="3"/>
  <c r="H192" i="3" s="1"/>
  <c r="G193" i="3"/>
  <c r="I191" i="3"/>
  <c r="H191" i="3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2" i="3"/>
  <c r="I181" i="3" s="1"/>
  <c r="H182" i="3"/>
  <c r="H181" i="3" s="1"/>
  <c r="G182" i="3"/>
  <c r="I180" i="3"/>
  <c r="I173" i="3" s="1"/>
  <c r="H180" i="3"/>
  <c r="H173" i="3" s="1"/>
  <c r="G180" i="3"/>
  <c r="G173" i="3" s="1"/>
  <c r="I179" i="3"/>
  <c r="H179" i="3"/>
  <c r="G179" i="3"/>
  <c r="I178" i="3"/>
  <c r="H178" i="3"/>
  <c r="G178" i="3"/>
  <c r="I177" i="3"/>
  <c r="H177" i="3"/>
  <c r="G177" i="3"/>
  <c r="I176" i="3"/>
  <c r="H176" i="3"/>
  <c r="G176" i="3"/>
  <c r="I175" i="3"/>
  <c r="H175" i="3"/>
  <c r="G175" i="3"/>
  <c r="I174" i="3"/>
  <c r="H174" i="3"/>
  <c r="G174" i="3"/>
  <c r="I171" i="3"/>
  <c r="H171" i="3"/>
  <c r="G171" i="3"/>
  <c r="I170" i="3"/>
  <c r="I160" i="3" s="1"/>
  <c r="H170" i="3"/>
  <c r="H160" i="3" s="1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G160" i="3"/>
  <c r="I158" i="3"/>
  <c r="I157" i="3" s="1"/>
  <c r="H158" i="3"/>
  <c r="H157" i="3" s="1"/>
  <c r="G158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I38" i="3" s="1"/>
  <c r="H40" i="3"/>
  <c r="G40" i="3"/>
  <c r="I39" i="3"/>
  <c r="H39" i="3"/>
  <c r="G39" i="3"/>
  <c r="G37" i="3" s="1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7" i="3"/>
  <c r="I15" i="3" s="1"/>
  <c r="H17" i="3"/>
  <c r="G17" i="3"/>
  <c r="H16" i="3"/>
  <c r="G16" i="3"/>
  <c r="W287" i="1"/>
  <c r="V287" i="1"/>
  <c r="V286" i="1" s="1"/>
  <c r="U287" i="1"/>
  <c r="T287" i="1"/>
  <c r="T286" i="1" s="1"/>
  <c r="W286" i="1"/>
  <c r="U286" i="1"/>
  <c r="W277" i="1"/>
  <c r="V277" i="1"/>
  <c r="V276" i="1" s="1"/>
  <c r="U277" i="1"/>
  <c r="U276" i="1" s="1"/>
  <c r="T277" i="1"/>
  <c r="W276" i="1"/>
  <c r="T276" i="1"/>
  <c r="W274" i="1"/>
  <c r="V274" i="1"/>
  <c r="U274" i="1"/>
  <c r="T274" i="1"/>
  <c r="W273" i="1"/>
  <c r="V273" i="1"/>
  <c r="U273" i="1"/>
  <c r="T273" i="1"/>
  <c r="W267" i="1"/>
  <c r="V267" i="1"/>
  <c r="V266" i="1" s="1"/>
  <c r="U267" i="1"/>
  <c r="U266" i="1" s="1"/>
  <c r="T267" i="1"/>
  <c r="W266" i="1"/>
  <c r="T266" i="1"/>
  <c r="W240" i="1"/>
  <c r="V240" i="1"/>
  <c r="U240" i="1"/>
  <c r="W239" i="1"/>
  <c r="W238" i="1" s="1"/>
  <c r="V239" i="1"/>
  <c r="U239" i="1"/>
  <c r="U238" i="1" s="1"/>
  <c r="V238" i="1"/>
  <c r="T240" i="1"/>
  <c r="T239" i="1"/>
  <c r="T238" i="1" s="1"/>
  <c r="W235" i="1"/>
  <c r="V235" i="1"/>
  <c r="U235" i="1"/>
  <c r="T235" i="1"/>
  <c r="W234" i="1"/>
  <c r="V234" i="1"/>
  <c r="U234" i="1"/>
  <c r="T234" i="1"/>
  <c r="W208" i="1"/>
  <c r="V208" i="1"/>
  <c r="U208" i="1"/>
  <c r="T208" i="1"/>
  <c r="W207" i="1"/>
  <c r="W206" i="1" s="1"/>
  <c r="V207" i="1"/>
  <c r="V206" i="1" s="1"/>
  <c r="U207" i="1"/>
  <c r="T207" i="1"/>
  <c r="U206" i="1"/>
  <c r="T206" i="1"/>
  <c r="W196" i="1"/>
  <c r="V196" i="1"/>
  <c r="U196" i="1"/>
  <c r="T196" i="1"/>
  <c r="W195" i="1"/>
  <c r="V195" i="1"/>
  <c r="U195" i="1"/>
  <c r="T195" i="1"/>
  <c r="W188" i="1"/>
  <c r="V188" i="1"/>
  <c r="U188" i="1"/>
  <c r="T188" i="1"/>
  <c r="W187" i="1"/>
  <c r="V187" i="1"/>
  <c r="U187" i="1"/>
  <c r="T187" i="1"/>
  <c r="W118" i="1"/>
  <c r="V118" i="1"/>
  <c r="U118" i="1"/>
  <c r="T118" i="1"/>
  <c r="W117" i="1"/>
  <c r="W116" i="1" s="1"/>
  <c r="V117" i="1"/>
  <c r="V116" i="1" s="1"/>
  <c r="U117" i="1"/>
  <c r="T117" i="1"/>
  <c r="T116" i="1" s="1"/>
  <c r="U116" i="1"/>
  <c r="W84" i="1"/>
  <c r="V84" i="1"/>
  <c r="U84" i="1"/>
  <c r="T84" i="1"/>
  <c r="W83" i="1"/>
  <c r="V83" i="1"/>
  <c r="U83" i="1"/>
  <c r="U82" i="1" s="1"/>
  <c r="T83" i="1"/>
  <c r="T82" i="1" s="1"/>
  <c r="W82" i="1"/>
  <c r="V82" i="1"/>
  <c r="W55" i="1"/>
  <c r="V55" i="1"/>
  <c r="U55" i="1"/>
  <c r="T55" i="1"/>
  <c r="W54" i="1"/>
  <c r="V54" i="1"/>
  <c r="V53" i="1" s="1"/>
  <c r="U54" i="1"/>
  <c r="U53" i="1" s="1"/>
  <c r="T54" i="1"/>
  <c r="W53" i="1"/>
  <c r="T53" i="1"/>
  <c r="W16" i="1"/>
  <c r="V16" i="1"/>
  <c r="V15" i="1" s="1"/>
  <c r="U16" i="1"/>
  <c r="U15" i="1" s="1"/>
  <c r="T16" i="1"/>
  <c r="W15" i="1"/>
  <c r="T15" i="1"/>
  <c r="R298" i="1"/>
  <c r="R297" i="1"/>
  <c r="Q214" i="3" s="1"/>
  <c r="R296" i="1"/>
  <c r="Q213" i="3" s="1"/>
  <c r="R295" i="1"/>
  <c r="Q210" i="3" s="1"/>
  <c r="Q209" i="3" s="1"/>
  <c r="R294" i="1"/>
  <c r="Q206" i="3" s="1"/>
  <c r="R293" i="1"/>
  <c r="Q205" i="3" s="1"/>
  <c r="R292" i="1"/>
  <c r="R291" i="1"/>
  <c r="R290" i="1"/>
  <c r="R289" i="1"/>
  <c r="R285" i="1"/>
  <c r="R284" i="1"/>
  <c r="R283" i="1"/>
  <c r="Q187" i="3" s="1"/>
  <c r="R282" i="1"/>
  <c r="Q186" i="3" s="1"/>
  <c r="R281" i="1"/>
  <c r="R280" i="1"/>
  <c r="R279" i="1"/>
  <c r="Q158" i="3" s="1"/>
  <c r="Q157" i="3" s="1"/>
  <c r="R278" i="1"/>
  <c r="R275" i="1"/>
  <c r="R272" i="1"/>
  <c r="R271" i="1"/>
  <c r="R270" i="1"/>
  <c r="Q167" i="3" s="1"/>
  <c r="R269" i="1"/>
  <c r="R268" i="1"/>
  <c r="R265" i="1"/>
  <c r="R264" i="1"/>
  <c r="R263" i="1"/>
  <c r="Q180" i="3" s="1"/>
  <c r="Q173" i="3" s="1"/>
  <c r="R262" i="1"/>
  <c r="Q179" i="3" s="1"/>
  <c r="R261" i="1"/>
  <c r="R260" i="1"/>
  <c r="R259" i="1"/>
  <c r="R258" i="1"/>
  <c r="R257" i="1"/>
  <c r="R256" i="1"/>
  <c r="R255" i="1"/>
  <c r="R254" i="1"/>
  <c r="R253" i="1"/>
  <c r="R252" i="1"/>
  <c r="R251" i="1"/>
  <c r="R250" i="1"/>
  <c r="Q164" i="3" s="1"/>
  <c r="R249" i="1"/>
  <c r="Q163" i="3" s="1"/>
  <c r="R248" i="1"/>
  <c r="Q162" i="3" s="1"/>
  <c r="R247" i="1"/>
  <c r="R246" i="1"/>
  <c r="R245" i="1"/>
  <c r="Q154" i="3" s="1"/>
  <c r="R244" i="1"/>
  <c r="R243" i="1"/>
  <c r="Q151" i="3" s="1"/>
  <c r="R242" i="1"/>
  <c r="R241" i="1"/>
  <c r="R237" i="1"/>
  <c r="R236" i="1"/>
  <c r="R235" i="1" s="1"/>
  <c r="R234" i="1" s="1"/>
  <c r="R233" i="1"/>
  <c r="R232" i="1"/>
  <c r="R231" i="1"/>
  <c r="Q201" i="3" s="1"/>
  <c r="R230" i="1"/>
  <c r="R229" i="1"/>
  <c r="R228" i="1"/>
  <c r="R226" i="1"/>
  <c r="R225" i="1"/>
  <c r="R224" i="1"/>
  <c r="R223" i="1"/>
  <c r="R222" i="1"/>
  <c r="R221" i="1"/>
  <c r="R220" i="1"/>
  <c r="Q150" i="3" s="1"/>
  <c r="R219" i="1"/>
  <c r="Q149" i="3" s="1"/>
  <c r="R218" i="1"/>
  <c r="R217" i="1"/>
  <c r="R216" i="1"/>
  <c r="Q147" i="3" s="1"/>
  <c r="R215" i="1"/>
  <c r="Y215" i="1" s="1"/>
  <c r="R214" i="1"/>
  <c r="Q145" i="3" s="1"/>
  <c r="R213" i="1"/>
  <c r="Y213" i="1" s="1"/>
  <c r="R212" i="1"/>
  <c r="Y212" i="1" s="1"/>
  <c r="R211" i="1"/>
  <c r="Y211" i="1" s="1"/>
  <c r="R210" i="1"/>
  <c r="Y210" i="1" s="1"/>
  <c r="R209" i="1"/>
  <c r="Y209" i="1" s="1"/>
  <c r="R205" i="1"/>
  <c r="Y205" i="1" s="1"/>
  <c r="R204" i="1"/>
  <c r="Y204" i="1" s="1"/>
  <c r="R203" i="1"/>
  <c r="Y203" i="1" s="1"/>
  <c r="R202" i="1"/>
  <c r="Y202" i="1" s="1"/>
  <c r="R201" i="1"/>
  <c r="Y201" i="1" s="1"/>
  <c r="R200" i="1"/>
  <c r="Y200" i="1" s="1"/>
  <c r="R199" i="1"/>
  <c r="Q28" i="3" s="1"/>
  <c r="R198" i="1"/>
  <c r="Y198" i="1" s="1"/>
  <c r="R194" i="1"/>
  <c r="Y194" i="1" s="1"/>
  <c r="R193" i="1"/>
  <c r="Y193" i="1" s="1"/>
  <c r="R192" i="1"/>
  <c r="Y192" i="1" s="1"/>
  <c r="R191" i="1"/>
  <c r="Q105" i="3" s="1"/>
  <c r="R190" i="1"/>
  <c r="Y190" i="1" s="1"/>
  <c r="R186" i="1"/>
  <c r="Y186" i="1" s="1"/>
  <c r="R185" i="1"/>
  <c r="Y185" i="1" s="1"/>
  <c r="R184" i="1"/>
  <c r="Y184" i="1" s="1"/>
  <c r="R183" i="1"/>
  <c r="Y183" i="1" s="1"/>
  <c r="R182" i="1"/>
  <c r="Y182" i="1" s="1"/>
  <c r="R181" i="1"/>
  <c r="Y181" i="1" s="1"/>
  <c r="R180" i="1"/>
  <c r="Y180" i="1" s="1"/>
  <c r="R179" i="1"/>
  <c r="Y179" i="1" s="1"/>
  <c r="R178" i="1"/>
  <c r="Y178" i="1" s="1"/>
  <c r="R177" i="1"/>
  <c r="Y177" i="1" s="1"/>
  <c r="R176" i="1"/>
  <c r="Y176" i="1" s="1"/>
  <c r="R175" i="1"/>
  <c r="Y175" i="1" s="1"/>
  <c r="R174" i="1"/>
  <c r="Y174" i="1" s="1"/>
  <c r="R173" i="1"/>
  <c r="Y173" i="1" s="1"/>
  <c r="R172" i="1"/>
  <c r="Y172" i="1" s="1"/>
  <c r="R171" i="1"/>
  <c r="Y171" i="1" s="1"/>
  <c r="R170" i="1"/>
  <c r="Y170" i="1" s="1"/>
  <c r="R169" i="1"/>
  <c r="Y169" i="1" s="1"/>
  <c r="R168" i="1"/>
  <c r="Y168" i="1" s="1"/>
  <c r="R167" i="1"/>
  <c r="Y167" i="1" s="1"/>
  <c r="R166" i="1"/>
  <c r="Y166" i="1" s="1"/>
  <c r="R165" i="1"/>
  <c r="Y165" i="1" s="1"/>
  <c r="R164" i="1"/>
  <c r="Y164" i="1" s="1"/>
  <c r="R163" i="1"/>
  <c r="Y163" i="1" s="1"/>
  <c r="R162" i="1"/>
  <c r="Y162" i="1" s="1"/>
  <c r="R161" i="1"/>
  <c r="Y161" i="1" s="1"/>
  <c r="R160" i="1"/>
  <c r="Y160" i="1" s="1"/>
  <c r="R159" i="1"/>
  <c r="Y159" i="1" s="1"/>
  <c r="R158" i="1"/>
  <c r="Y158" i="1" s="1"/>
  <c r="R157" i="1"/>
  <c r="Y157" i="1" s="1"/>
  <c r="R156" i="1"/>
  <c r="Y156" i="1" s="1"/>
  <c r="R155" i="1"/>
  <c r="Y155" i="1" s="1"/>
  <c r="R154" i="1"/>
  <c r="Y154" i="1" s="1"/>
  <c r="R153" i="1"/>
  <c r="Y153" i="1" s="1"/>
  <c r="R152" i="1"/>
  <c r="Y152" i="1" s="1"/>
  <c r="R151" i="1"/>
  <c r="Y151" i="1" s="1"/>
  <c r="R150" i="1"/>
  <c r="Y150" i="1" s="1"/>
  <c r="R149" i="1"/>
  <c r="Y149" i="1" s="1"/>
  <c r="R148" i="1"/>
  <c r="Y148" i="1" s="1"/>
  <c r="R147" i="1"/>
  <c r="Y147" i="1" s="1"/>
  <c r="R146" i="1"/>
  <c r="Y146" i="1" s="1"/>
  <c r="R145" i="1"/>
  <c r="Y145" i="1" s="1"/>
  <c r="R144" i="1"/>
  <c r="Y144" i="1" s="1"/>
  <c r="R143" i="1"/>
  <c r="Y143" i="1" s="1"/>
  <c r="R142" i="1"/>
  <c r="Y142" i="1" s="1"/>
  <c r="R141" i="1"/>
  <c r="Y141" i="1" s="1"/>
  <c r="R140" i="1"/>
  <c r="Y140" i="1" s="1"/>
  <c r="R139" i="1"/>
  <c r="Y139" i="1" s="1"/>
  <c r="R138" i="1"/>
  <c r="Y138" i="1" s="1"/>
  <c r="R137" i="1"/>
  <c r="Y137" i="1" s="1"/>
  <c r="R136" i="1"/>
  <c r="Y136" i="1" s="1"/>
  <c r="R135" i="1"/>
  <c r="Y135" i="1" s="1"/>
  <c r="R134" i="1"/>
  <c r="Y134" i="1" s="1"/>
  <c r="R133" i="1"/>
  <c r="Y133" i="1" s="1"/>
  <c r="R132" i="1"/>
  <c r="Y132" i="1" s="1"/>
  <c r="R131" i="1"/>
  <c r="Y131" i="1" s="1"/>
  <c r="R130" i="1"/>
  <c r="Y130" i="1" s="1"/>
  <c r="R129" i="1"/>
  <c r="Y129" i="1" s="1"/>
  <c r="R128" i="1"/>
  <c r="Y128" i="1" s="1"/>
  <c r="R127" i="1"/>
  <c r="Y127" i="1" s="1"/>
  <c r="R126" i="1"/>
  <c r="Y126" i="1" s="1"/>
  <c r="R125" i="1"/>
  <c r="Y125" i="1" s="1"/>
  <c r="R124" i="1"/>
  <c r="Y124" i="1" s="1"/>
  <c r="R123" i="1"/>
  <c r="Y123" i="1" s="1"/>
  <c r="R122" i="1"/>
  <c r="Y122" i="1" s="1"/>
  <c r="R121" i="1"/>
  <c r="Q62" i="3" s="1"/>
  <c r="R120" i="1"/>
  <c r="Y120" i="1" s="1"/>
  <c r="R119" i="1"/>
  <c r="Y119" i="1" s="1"/>
  <c r="R115" i="1"/>
  <c r="Y115" i="1" s="1"/>
  <c r="R114" i="1"/>
  <c r="Y114" i="1" s="1"/>
  <c r="R113" i="1"/>
  <c r="Y113" i="1" s="1"/>
  <c r="R112" i="1"/>
  <c r="Y112" i="1" s="1"/>
  <c r="R111" i="1"/>
  <c r="Y111" i="1" s="1"/>
  <c r="R110" i="1"/>
  <c r="Y110" i="1" s="1"/>
  <c r="R109" i="1"/>
  <c r="Y109" i="1" s="1"/>
  <c r="R108" i="1"/>
  <c r="Y108" i="1" s="1"/>
  <c r="Y107" i="1"/>
  <c r="R106" i="1"/>
  <c r="Y106" i="1" s="1"/>
  <c r="R105" i="1"/>
  <c r="Y105" i="1" s="1"/>
  <c r="R104" i="1"/>
  <c r="Y104" i="1" s="1"/>
  <c r="R103" i="1"/>
  <c r="Y103" i="1" s="1"/>
  <c r="R102" i="1"/>
  <c r="Y102" i="1" s="1"/>
  <c r="R101" i="1"/>
  <c r="Y101" i="1" s="1"/>
  <c r="R100" i="1"/>
  <c r="Y100" i="1" s="1"/>
  <c r="R99" i="1"/>
  <c r="Y99" i="1" s="1"/>
  <c r="R98" i="1"/>
  <c r="Y98" i="1" s="1"/>
  <c r="R97" i="1"/>
  <c r="Y97" i="1" s="1"/>
  <c r="R96" i="1"/>
  <c r="Y96" i="1" s="1"/>
  <c r="R95" i="1"/>
  <c r="Y95" i="1" s="1"/>
  <c r="R94" i="1"/>
  <c r="Y94" i="1" s="1"/>
  <c r="R93" i="1"/>
  <c r="Y93" i="1" s="1"/>
  <c r="R92" i="1"/>
  <c r="Y92" i="1" s="1"/>
  <c r="R91" i="1"/>
  <c r="Y91" i="1" s="1"/>
  <c r="R90" i="1"/>
  <c r="Y90" i="1" s="1"/>
  <c r="R89" i="1"/>
  <c r="Y89" i="1" s="1"/>
  <c r="R88" i="1"/>
  <c r="Y88" i="1" s="1"/>
  <c r="R87" i="1"/>
  <c r="Q40" i="3" s="1"/>
  <c r="R86" i="1"/>
  <c r="Y86" i="1" s="1"/>
  <c r="R85" i="1"/>
  <c r="Y85" i="1" s="1"/>
  <c r="R81" i="1"/>
  <c r="Y81" i="1" s="1"/>
  <c r="R80" i="1"/>
  <c r="Y80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Y74" i="1" s="1"/>
  <c r="R73" i="1"/>
  <c r="Y73" i="1" s="1"/>
  <c r="R72" i="1"/>
  <c r="Y72" i="1" s="1"/>
  <c r="R71" i="1"/>
  <c r="Y71" i="1" s="1"/>
  <c r="R70" i="1"/>
  <c r="Y70" i="1" s="1"/>
  <c r="R69" i="1"/>
  <c r="Y69" i="1" s="1"/>
  <c r="R68" i="1"/>
  <c r="Y68" i="1" s="1"/>
  <c r="R67" i="1"/>
  <c r="Y67" i="1" s="1"/>
  <c r="R66" i="1"/>
  <c r="Y66" i="1" s="1"/>
  <c r="R65" i="1"/>
  <c r="Y65" i="1" s="1"/>
  <c r="R64" i="1"/>
  <c r="Y64" i="1" s="1"/>
  <c r="R63" i="1"/>
  <c r="Y63" i="1" s="1"/>
  <c r="R62" i="1"/>
  <c r="Y62" i="1" s="1"/>
  <c r="R61" i="1"/>
  <c r="Y61" i="1" s="1"/>
  <c r="R60" i="1"/>
  <c r="Y60" i="1" s="1"/>
  <c r="R59" i="1"/>
  <c r="Y59" i="1" s="1"/>
  <c r="R58" i="1"/>
  <c r="Y58" i="1" s="1"/>
  <c r="R57" i="1"/>
  <c r="Q20" i="3" s="1"/>
  <c r="R56" i="1"/>
  <c r="Y56" i="1" s="1"/>
  <c r="R52" i="1"/>
  <c r="Y52" i="1" s="1"/>
  <c r="R51" i="1"/>
  <c r="Y51" i="1" s="1"/>
  <c r="R50" i="1"/>
  <c r="Y50" i="1" s="1"/>
  <c r="R49" i="1"/>
  <c r="Y49" i="1" s="1"/>
  <c r="R48" i="1"/>
  <c r="Y48" i="1" s="1"/>
  <c r="R47" i="1"/>
  <c r="Y47" i="1" s="1"/>
  <c r="R46" i="1"/>
  <c r="Y46" i="1" s="1"/>
  <c r="R45" i="1"/>
  <c r="Y45" i="1" s="1"/>
  <c r="R44" i="1"/>
  <c r="Y44" i="1" s="1"/>
  <c r="R43" i="1"/>
  <c r="Y43" i="1" s="1"/>
  <c r="R42" i="1"/>
  <c r="Y42" i="1" s="1"/>
  <c r="R41" i="1"/>
  <c r="Y41" i="1" s="1"/>
  <c r="R40" i="1"/>
  <c r="Y40" i="1" s="1"/>
  <c r="R39" i="1"/>
  <c r="Y39" i="1" s="1"/>
  <c r="R38" i="1"/>
  <c r="Y38" i="1" s="1"/>
  <c r="R37" i="1"/>
  <c r="Y37" i="1" s="1"/>
  <c r="R36" i="1"/>
  <c r="Y36" i="1" s="1"/>
  <c r="R35" i="1"/>
  <c r="Y35" i="1" s="1"/>
  <c r="R34" i="1"/>
  <c r="Y34" i="1" s="1"/>
  <c r="R33" i="1"/>
  <c r="Y33" i="1" s="1"/>
  <c r="R32" i="1"/>
  <c r="Y32" i="1" s="1"/>
  <c r="R31" i="1"/>
  <c r="Y31" i="1" s="1"/>
  <c r="R30" i="1"/>
  <c r="Y30" i="1" s="1"/>
  <c r="R29" i="1"/>
  <c r="Y29" i="1" s="1"/>
  <c r="R28" i="1"/>
  <c r="Y28" i="1" s="1"/>
  <c r="R27" i="1"/>
  <c r="Y27" i="1" s="1"/>
  <c r="R26" i="1"/>
  <c r="Y26" i="1" s="1"/>
  <c r="R25" i="1"/>
  <c r="Y25" i="1" s="1"/>
  <c r="R24" i="1"/>
  <c r="Y24" i="1" s="1"/>
  <c r="R23" i="1"/>
  <c r="Y23" i="1" s="1"/>
  <c r="R22" i="1"/>
  <c r="Y22" i="1" s="1"/>
  <c r="R21" i="1"/>
  <c r="Y21" i="1" s="1"/>
  <c r="R20" i="1"/>
  <c r="Y20" i="1" s="1"/>
  <c r="R19" i="1"/>
  <c r="Y19" i="1" s="1"/>
  <c r="R18" i="1"/>
  <c r="Y18" i="1" s="1"/>
  <c r="R17" i="1"/>
  <c r="S156" i="3" l="1"/>
  <c r="T59" i="3"/>
  <c r="Q155" i="3"/>
  <c r="Q177" i="3"/>
  <c r="Q152" i="3"/>
  <c r="Q166" i="3"/>
  <c r="X166" i="3" s="1"/>
  <c r="Q33" i="3"/>
  <c r="X33" i="3" s="1"/>
  <c r="Q46" i="3"/>
  <c r="X46" i="3" s="1"/>
  <c r="Q77" i="3"/>
  <c r="Q85" i="3"/>
  <c r="Q93" i="3"/>
  <c r="X93" i="3" s="1"/>
  <c r="Q101" i="3"/>
  <c r="X101" i="3" s="1"/>
  <c r="Q113" i="3"/>
  <c r="X113" i="3" s="1"/>
  <c r="Q146" i="3"/>
  <c r="X146" i="3" s="1"/>
  <c r="Q193" i="3"/>
  <c r="Q192" i="3" s="1"/>
  <c r="Q216" i="3"/>
  <c r="X216" i="3" s="1"/>
  <c r="Q165" i="3"/>
  <c r="X165" i="3" s="1"/>
  <c r="Q168" i="3"/>
  <c r="X168" i="3" s="1"/>
  <c r="R267" i="1"/>
  <c r="R266" i="1" s="1"/>
  <c r="Q30" i="3"/>
  <c r="X30" i="3" s="1"/>
  <c r="Q36" i="3"/>
  <c r="X36" i="3" s="1"/>
  <c r="Q54" i="3"/>
  <c r="X54" i="3" s="1"/>
  <c r="Q81" i="3"/>
  <c r="Q89" i="3"/>
  <c r="X89" i="3" s="1"/>
  <c r="Q97" i="3"/>
  <c r="Q110" i="3"/>
  <c r="Q114" i="3"/>
  <c r="Q215" i="3"/>
  <c r="X215" i="3" s="1"/>
  <c r="T156" i="3"/>
  <c r="V207" i="3"/>
  <c r="U156" i="3"/>
  <c r="V18" i="3"/>
  <c r="V195" i="3"/>
  <c r="V194" i="3" s="1"/>
  <c r="U18" i="3"/>
  <c r="V38" i="3"/>
  <c r="V224" i="3" s="1"/>
  <c r="V156" i="3"/>
  <c r="Q70" i="3"/>
  <c r="Q106" i="3"/>
  <c r="R287" i="1"/>
  <c r="R286" i="1" s="1"/>
  <c r="X177" i="3"/>
  <c r="X187" i="3"/>
  <c r="Q51" i="3"/>
  <c r="X51" i="3" s="1"/>
  <c r="Q63" i="3"/>
  <c r="X63" i="3" s="1"/>
  <c r="Q74" i="3"/>
  <c r="X74" i="3" s="1"/>
  <c r="Q82" i="3"/>
  <c r="X82" i="3" s="1"/>
  <c r="Q90" i="3"/>
  <c r="X90" i="3" s="1"/>
  <c r="Q94" i="3"/>
  <c r="X94" i="3" s="1"/>
  <c r="Q102" i="3"/>
  <c r="X102" i="3" s="1"/>
  <c r="Q124" i="3"/>
  <c r="X124" i="3" s="1"/>
  <c r="I37" i="3"/>
  <c r="X147" i="3"/>
  <c r="Q22" i="3"/>
  <c r="X22" i="3" s="1"/>
  <c r="Q34" i="3"/>
  <c r="X34" i="3" s="1"/>
  <c r="Q42" i="3"/>
  <c r="X42" i="3" s="1"/>
  <c r="Q52" i="3"/>
  <c r="X52" i="3" s="1"/>
  <c r="Q57" i="3"/>
  <c r="Q64" i="3"/>
  <c r="Q68" i="3"/>
  <c r="X68" i="3" s="1"/>
  <c r="Q75" i="3"/>
  <c r="X75" i="3" s="1"/>
  <c r="Q79" i="3"/>
  <c r="Q83" i="3"/>
  <c r="X83" i="3" s="1"/>
  <c r="Q87" i="3"/>
  <c r="X87" i="3" s="1"/>
  <c r="Q91" i="3"/>
  <c r="X91" i="3" s="1"/>
  <c r="Q95" i="3"/>
  <c r="X95" i="3" s="1"/>
  <c r="Q99" i="3"/>
  <c r="X99" i="3" s="1"/>
  <c r="Q103" i="3"/>
  <c r="X103" i="3" s="1"/>
  <c r="Q111" i="3"/>
  <c r="X111" i="3" s="1"/>
  <c r="Q115" i="3"/>
  <c r="X115" i="3" s="1"/>
  <c r="Q125" i="3"/>
  <c r="X125" i="3" s="1"/>
  <c r="Q217" i="3"/>
  <c r="Q211" i="3" s="1"/>
  <c r="X211" i="3" s="1"/>
  <c r="X105" i="3"/>
  <c r="Q66" i="3"/>
  <c r="X66" i="3" s="1"/>
  <c r="Q117" i="3"/>
  <c r="R277" i="1"/>
  <c r="R276" i="1" s="1"/>
  <c r="Q55" i="3"/>
  <c r="X55" i="3" s="1"/>
  <c r="Q67" i="3"/>
  <c r="X67" i="3" s="1"/>
  <c r="Q78" i="3"/>
  <c r="X78" i="3" s="1"/>
  <c r="Q86" i="3"/>
  <c r="X86" i="3" s="1"/>
  <c r="Q98" i="3"/>
  <c r="X98" i="3" s="1"/>
  <c r="Q171" i="3"/>
  <c r="X171" i="3" s="1"/>
  <c r="X205" i="3"/>
  <c r="Q26" i="3"/>
  <c r="X26" i="3" s="1"/>
  <c r="Q35" i="3"/>
  <c r="X35" i="3" s="1"/>
  <c r="Q45" i="3"/>
  <c r="X45" i="3" s="1"/>
  <c r="Q53" i="3"/>
  <c r="X53" i="3" s="1"/>
  <c r="Q61" i="3"/>
  <c r="X61" i="3" s="1"/>
  <c r="Q65" i="3"/>
  <c r="X65" i="3" s="1"/>
  <c r="Q69" i="3"/>
  <c r="X69" i="3" s="1"/>
  <c r="Q76" i="3"/>
  <c r="X76" i="3" s="1"/>
  <c r="Q80" i="3"/>
  <c r="X80" i="3" s="1"/>
  <c r="Q84" i="3"/>
  <c r="X84" i="3" s="1"/>
  <c r="Q88" i="3"/>
  <c r="X88" i="3" s="1"/>
  <c r="Q92" i="3"/>
  <c r="X92" i="3" s="1"/>
  <c r="Q96" i="3"/>
  <c r="Q100" i="3"/>
  <c r="Q112" i="3"/>
  <c r="X112" i="3" s="1"/>
  <c r="Q116" i="3"/>
  <c r="X116" i="3" s="1"/>
  <c r="Q143" i="3"/>
  <c r="X143" i="3" s="1"/>
  <c r="Q218" i="3"/>
  <c r="R55" i="1"/>
  <c r="H37" i="3"/>
  <c r="X57" i="3"/>
  <c r="X77" i="3"/>
  <c r="X79" i="3"/>
  <c r="X81" i="3"/>
  <c r="X85" i="3"/>
  <c r="X97" i="3"/>
  <c r="X117" i="3"/>
  <c r="X164" i="3"/>
  <c r="R197" i="1"/>
  <c r="Y197" i="1" s="1"/>
  <c r="Q170" i="3"/>
  <c r="Q160" i="3" s="1"/>
  <c r="X160" i="3" s="1"/>
  <c r="R189" i="1"/>
  <c r="Y189" i="1" s="1"/>
  <c r="Q153" i="3"/>
  <c r="Q141" i="3" s="1"/>
  <c r="Q118" i="3"/>
  <c r="X118" i="3" s="1"/>
  <c r="Q119" i="3"/>
  <c r="X119" i="3" s="1"/>
  <c r="Q120" i="3"/>
  <c r="X120" i="3" s="1"/>
  <c r="Q121" i="3"/>
  <c r="X121" i="3" s="1"/>
  <c r="U300" i="1"/>
  <c r="W300" i="1"/>
  <c r="Q122" i="3"/>
  <c r="X122" i="3" s="1"/>
  <c r="Q123" i="3"/>
  <c r="X123" i="3" s="1"/>
  <c r="Q72" i="3"/>
  <c r="X72" i="3" s="1"/>
  <c r="Q49" i="3"/>
  <c r="Q48" i="3"/>
  <c r="X48" i="3" s="1"/>
  <c r="X49" i="3"/>
  <c r="Q43" i="3"/>
  <c r="X43" i="3" s="1"/>
  <c r="G38" i="3"/>
  <c r="Q44" i="3"/>
  <c r="X44" i="3" s="1"/>
  <c r="Q56" i="3"/>
  <c r="X56" i="3" s="1"/>
  <c r="Q58" i="3"/>
  <c r="Q50" i="3"/>
  <c r="X50" i="3" s="1"/>
  <c r="I60" i="3"/>
  <c r="S207" i="3"/>
  <c r="U207" i="3"/>
  <c r="V299" i="1"/>
  <c r="T300" i="1"/>
  <c r="V300" i="1"/>
  <c r="T224" i="3"/>
  <c r="T207" i="3"/>
  <c r="H38" i="3"/>
  <c r="S59" i="3"/>
  <c r="X201" i="3"/>
  <c r="X206" i="3"/>
  <c r="S224" i="3"/>
  <c r="U224" i="3"/>
  <c r="X64" i="3"/>
  <c r="X70" i="3"/>
  <c r="X96" i="3"/>
  <c r="X100" i="3"/>
  <c r="X110" i="3"/>
  <c r="X114" i="3"/>
  <c r="I128" i="3"/>
  <c r="H172" i="3"/>
  <c r="X106" i="3"/>
  <c r="X151" i="3"/>
  <c r="X155" i="3"/>
  <c r="I172" i="3"/>
  <c r="X179" i="3"/>
  <c r="X210" i="3"/>
  <c r="X214" i="3"/>
  <c r="R239" i="1"/>
  <c r="R238" i="1" s="1"/>
  <c r="Q161" i="3"/>
  <c r="X161" i="3" s="1"/>
  <c r="Q148" i="3"/>
  <c r="X148" i="3" s="1"/>
  <c r="Q144" i="3"/>
  <c r="X144" i="3" s="1"/>
  <c r="W299" i="1"/>
  <c r="Q142" i="3"/>
  <c r="X142" i="3" s="1"/>
  <c r="Q129" i="3"/>
  <c r="X129" i="3" s="1"/>
  <c r="Q16" i="3"/>
  <c r="X16" i="3" s="1"/>
  <c r="Q104" i="3"/>
  <c r="X104" i="3" s="1"/>
  <c r="U299" i="1"/>
  <c r="T299" i="1"/>
  <c r="Q47" i="3"/>
  <c r="X47" i="3" s="1"/>
  <c r="Q41" i="3"/>
  <c r="X41" i="3" s="1"/>
  <c r="Q39" i="3"/>
  <c r="Q169" i="3"/>
  <c r="X169" i="3" s="1"/>
  <c r="Q32" i="3"/>
  <c r="X32" i="3" s="1"/>
  <c r="Q31" i="3"/>
  <c r="X31" i="3" s="1"/>
  <c r="Q29" i="3"/>
  <c r="X29" i="3" s="1"/>
  <c r="Q27" i="3"/>
  <c r="X27" i="3" s="1"/>
  <c r="Q25" i="3"/>
  <c r="X25" i="3" s="1"/>
  <c r="Q24" i="3"/>
  <c r="Q23" i="3"/>
  <c r="X23" i="3" s="1"/>
  <c r="Q21" i="3"/>
  <c r="X21" i="3" s="1"/>
  <c r="Q174" i="3"/>
  <c r="X174" i="3" s="1"/>
  <c r="Q220" i="3"/>
  <c r="Q219" i="3" s="1"/>
  <c r="Q176" i="3"/>
  <c r="X176" i="3" s="1"/>
  <c r="Q202" i="3"/>
  <c r="Q200" i="3" s="1"/>
  <c r="Q17" i="3"/>
  <c r="X17" i="3" s="1"/>
  <c r="Q108" i="3"/>
  <c r="X108" i="3" s="1"/>
  <c r="Q126" i="3"/>
  <c r="X126" i="3" s="1"/>
  <c r="Q130" i="3"/>
  <c r="X130" i="3" s="1"/>
  <c r="Q132" i="3"/>
  <c r="X132" i="3" s="1"/>
  <c r="Q135" i="3"/>
  <c r="X135" i="3" s="1"/>
  <c r="Q137" i="3"/>
  <c r="X137" i="3" s="1"/>
  <c r="Q139" i="3"/>
  <c r="X139" i="3" s="1"/>
  <c r="Q178" i="3"/>
  <c r="X178" i="3" s="1"/>
  <c r="Q184" i="3"/>
  <c r="X184" i="3" s="1"/>
  <c r="Q188" i="3"/>
  <c r="X188" i="3" s="1"/>
  <c r="Q190" i="3"/>
  <c r="X190" i="3" s="1"/>
  <c r="Q196" i="3"/>
  <c r="X196" i="3" s="1"/>
  <c r="Q71" i="3"/>
  <c r="X71" i="3" s="1"/>
  <c r="Q73" i="3"/>
  <c r="X73" i="3" s="1"/>
  <c r="Q107" i="3"/>
  <c r="X107" i="3" s="1"/>
  <c r="Q109" i="3"/>
  <c r="X109" i="3" s="1"/>
  <c r="Q127" i="3"/>
  <c r="X127" i="3" s="1"/>
  <c r="Q131" i="3"/>
  <c r="X131" i="3" s="1"/>
  <c r="Q134" i="3"/>
  <c r="X134" i="3" s="1"/>
  <c r="Q136" i="3"/>
  <c r="X136" i="3" s="1"/>
  <c r="Q138" i="3"/>
  <c r="X138" i="3" s="1"/>
  <c r="Q175" i="3"/>
  <c r="X175" i="3" s="1"/>
  <c r="Q182" i="3"/>
  <c r="Q181" i="3" s="1"/>
  <c r="Q185" i="3"/>
  <c r="X185" i="3" s="1"/>
  <c r="Q189" i="3"/>
  <c r="X189" i="3" s="1"/>
  <c r="Q191" i="3"/>
  <c r="X191" i="3" s="1"/>
  <c r="Q197" i="3"/>
  <c r="X197" i="3" s="1"/>
  <c r="Q199" i="3"/>
  <c r="Q198" i="3" s="1"/>
  <c r="Q204" i="3"/>
  <c r="Q203" i="3" s="1"/>
  <c r="Q222" i="3"/>
  <c r="Q221" i="3" s="1"/>
  <c r="X221" i="3" s="1"/>
  <c r="H59" i="3"/>
  <c r="I18" i="3"/>
  <c r="H128" i="3"/>
  <c r="X152" i="3"/>
  <c r="X154" i="3"/>
  <c r="X163" i="3"/>
  <c r="X167" i="3"/>
  <c r="X186" i="3"/>
  <c r="I195" i="3"/>
  <c r="X213" i="3"/>
  <c r="X180" i="3"/>
  <c r="G15" i="3"/>
  <c r="G60" i="3"/>
  <c r="X62" i="3"/>
  <c r="G128" i="3"/>
  <c r="G181" i="3"/>
  <c r="G219" i="3"/>
  <c r="G203" i="3"/>
  <c r="G140" i="3"/>
  <c r="I140" i="3"/>
  <c r="H140" i="3"/>
  <c r="G141" i="3"/>
  <c r="X150" i="3"/>
  <c r="I141" i="3"/>
  <c r="G157" i="3"/>
  <c r="X157" i="3" s="1"/>
  <c r="X158" i="3"/>
  <c r="I183" i="3"/>
  <c r="H195" i="3"/>
  <c r="X20" i="3"/>
  <c r="X28" i="3"/>
  <c r="X40" i="3"/>
  <c r="X145" i="3"/>
  <c r="X149" i="3"/>
  <c r="X162" i="3"/>
  <c r="X173" i="3"/>
  <c r="G59" i="3"/>
  <c r="I59" i="3"/>
  <c r="H60" i="3"/>
  <c r="H141" i="3"/>
  <c r="I159" i="3"/>
  <c r="H15" i="3"/>
  <c r="H207" i="3"/>
  <c r="I207" i="3"/>
  <c r="G18" i="3"/>
  <c r="H18" i="3"/>
  <c r="G19" i="3"/>
  <c r="I19" i="3"/>
  <c r="H19" i="3"/>
  <c r="G133" i="3"/>
  <c r="I133" i="3"/>
  <c r="H133" i="3"/>
  <c r="H159" i="3"/>
  <c r="H183" i="3"/>
  <c r="I200" i="3"/>
  <c r="H200" i="3"/>
  <c r="G198" i="3"/>
  <c r="G200" i="3"/>
  <c r="G209" i="3"/>
  <c r="X209" i="3" s="1"/>
  <c r="G159" i="3"/>
  <c r="G172" i="3"/>
  <c r="G183" i="3"/>
  <c r="G192" i="3"/>
  <c r="G195" i="3"/>
  <c r="R83" i="1"/>
  <c r="R82" i="1" s="1"/>
  <c r="R117" i="1"/>
  <c r="R116" i="1" s="1"/>
  <c r="R207" i="1"/>
  <c r="R206" i="1" s="1"/>
  <c r="Y214" i="1"/>
  <c r="Y216" i="1"/>
  <c r="Y218" i="1"/>
  <c r="Y220" i="1"/>
  <c r="Y222" i="1"/>
  <c r="Y224" i="1"/>
  <c r="Y226" i="1"/>
  <c r="Y228" i="1"/>
  <c r="Y230" i="1"/>
  <c r="Y232" i="1"/>
  <c r="Y237" i="1"/>
  <c r="Y241" i="1"/>
  <c r="Y243" i="1"/>
  <c r="Y245" i="1"/>
  <c r="Y247" i="1"/>
  <c r="Y249" i="1"/>
  <c r="Y251" i="1"/>
  <c r="Y253" i="1"/>
  <c r="Y255" i="1"/>
  <c r="Y257" i="1"/>
  <c r="R240" i="1"/>
  <c r="Y259" i="1"/>
  <c r="Y261" i="1"/>
  <c r="Y263" i="1"/>
  <c r="Y265" i="1"/>
  <c r="Y268" i="1"/>
  <c r="Y270" i="1"/>
  <c r="Y272" i="1"/>
  <c r="Y279" i="1"/>
  <c r="Y281" i="1"/>
  <c r="Y283" i="1"/>
  <c r="Y285" i="1"/>
  <c r="Y289" i="1"/>
  <c r="Y291" i="1"/>
  <c r="Y293" i="1"/>
  <c r="Y295" i="1"/>
  <c r="R288" i="1"/>
  <c r="Y288" i="1" s="1"/>
  <c r="Y297" i="1"/>
  <c r="R16" i="1"/>
  <c r="R15" i="1" s="1"/>
  <c r="Y17" i="1"/>
  <c r="R54" i="1"/>
  <c r="R53" i="1" s="1"/>
  <c r="Y57" i="1"/>
  <c r="R84" i="1"/>
  <c r="Y87" i="1"/>
  <c r="R118" i="1"/>
  <c r="Y121" i="1"/>
  <c r="R188" i="1"/>
  <c r="R187" i="1" s="1"/>
  <c r="Y191" i="1"/>
  <c r="R196" i="1"/>
  <c r="R195" i="1" s="1"/>
  <c r="Y199" i="1"/>
  <c r="Y217" i="1"/>
  <c r="Y219" i="1"/>
  <c r="Y221" i="1"/>
  <c r="Y223" i="1"/>
  <c r="Y225" i="1"/>
  <c r="R208" i="1"/>
  <c r="Y227" i="1"/>
  <c r="Y229" i="1"/>
  <c r="Y231" i="1"/>
  <c r="Y233" i="1"/>
  <c r="Y236" i="1"/>
  <c r="Y242" i="1"/>
  <c r="Y244" i="1"/>
  <c r="Y246" i="1"/>
  <c r="Y248" i="1"/>
  <c r="Y250" i="1"/>
  <c r="Y252" i="1"/>
  <c r="Y254" i="1"/>
  <c r="Y256" i="1"/>
  <c r="Y258" i="1"/>
  <c r="Y260" i="1"/>
  <c r="Y262" i="1"/>
  <c r="Y264" i="1"/>
  <c r="Y269" i="1"/>
  <c r="Y271" i="1"/>
  <c r="R274" i="1"/>
  <c r="R273" i="1" s="1"/>
  <c r="Y275" i="1"/>
  <c r="Y278" i="1"/>
  <c r="Y280" i="1"/>
  <c r="Y282" i="1"/>
  <c r="Y284" i="1"/>
  <c r="Y290" i="1"/>
  <c r="Y292" i="1"/>
  <c r="Y294" i="1"/>
  <c r="Y296" i="1"/>
  <c r="Y298" i="1"/>
  <c r="P222" i="3"/>
  <c r="P221" i="3" s="1"/>
  <c r="O222" i="3"/>
  <c r="N222" i="3"/>
  <c r="N221" i="3" s="1"/>
  <c r="M222" i="3"/>
  <c r="M221" i="3" s="1"/>
  <c r="F222" i="3"/>
  <c r="F221" i="3" s="1"/>
  <c r="E222" i="3"/>
  <c r="E221" i="3" s="1"/>
  <c r="D222" i="3"/>
  <c r="J222" i="3" s="1"/>
  <c r="O221" i="3"/>
  <c r="O220" i="3"/>
  <c r="O219" i="3" s="1"/>
  <c r="N220" i="3"/>
  <c r="N219" i="3" s="1"/>
  <c r="M220" i="3"/>
  <c r="M219" i="3" s="1"/>
  <c r="F220" i="3"/>
  <c r="F219" i="3" s="1"/>
  <c r="E220" i="3"/>
  <c r="D220" i="3"/>
  <c r="E219" i="3"/>
  <c r="P218" i="3"/>
  <c r="O218" i="3"/>
  <c r="N218" i="3"/>
  <c r="M218" i="3"/>
  <c r="F218" i="3"/>
  <c r="E218" i="3"/>
  <c r="D218" i="3"/>
  <c r="J218" i="3" s="1"/>
  <c r="P217" i="3"/>
  <c r="O217" i="3"/>
  <c r="N217" i="3"/>
  <c r="M217" i="3"/>
  <c r="F217" i="3"/>
  <c r="E217" i="3"/>
  <c r="D217" i="3"/>
  <c r="J217" i="3" s="1"/>
  <c r="P216" i="3"/>
  <c r="O216" i="3"/>
  <c r="N216" i="3"/>
  <c r="M216" i="3"/>
  <c r="F216" i="3"/>
  <c r="E216" i="3"/>
  <c r="D216" i="3"/>
  <c r="J216" i="3" s="1"/>
  <c r="P215" i="3"/>
  <c r="O215" i="3"/>
  <c r="N215" i="3"/>
  <c r="M215" i="3"/>
  <c r="F215" i="3"/>
  <c r="E215" i="3"/>
  <c r="D215" i="3"/>
  <c r="J215" i="3" s="1"/>
  <c r="P214" i="3"/>
  <c r="P212" i="3" s="1"/>
  <c r="P208" i="3" s="1"/>
  <c r="O214" i="3"/>
  <c r="O212" i="3" s="1"/>
  <c r="O208" i="3" s="1"/>
  <c r="N214" i="3"/>
  <c r="M214" i="3"/>
  <c r="M212" i="3" s="1"/>
  <c r="M208" i="3" s="1"/>
  <c r="F214" i="3"/>
  <c r="F212" i="3" s="1"/>
  <c r="F208" i="3" s="1"/>
  <c r="E214" i="3"/>
  <c r="E212" i="3" s="1"/>
  <c r="E208" i="3" s="1"/>
  <c r="D214" i="3"/>
  <c r="J214" i="3" s="1"/>
  <c r="P213" i="3"/>
  <c r="P211" i="3" s="1"/>
  <c r="O213" i="3"/>
  <c r="O211" i="3" s="1"/>
  <c r="N213" i="3"/>
  <c r="N211" i="3" s="1"/>
  <c r="M213" i="3"/>
  <c r="M211" i="3" s="1"/>
  <c r="F213" i="3"/>
  <c r="F211" i="3" s="1"/>
  <c r="E213" i="3"/>
  <c r="E211" i="3" s="1"/>
  <c r="D213" i="3"/>
  <c r="J213" i="3" s="1"/>
  <c r="N212" i="3"/>
  <c r="N208" i="3" s="1"/>
  <c r="P210" i="3"/>
  <c r="P209" i="3" s="1"/>
  <c r="O210" i="3"/>
  <c r="O209" i="3" s="1"/>
  <c r="N210" i="3"/>
  <c r="N209" i="3" s="1"/>
  <c r="M210" i="3"/>
  <c r="M209" i="3" s="1"/>
  <c r="F210" i="3"/>
  <c r="F209" i="3" s="1"/>
  <c r="E210" i="3"/>
  <c r="E209" i="3" s="1"/>
  <c r="D210" i="3"/>
  <c r="J210" i="3" s="1"/>
  <c r="P206" i="3"/>
  <c r="O206" i="3"/>
  <c r="N206" i="3"/>
  <c r="M206" i="3"/>
  <c r="F206" i="3"/>
  <c r="E206" i="3"/>
  <c r="D206" i="3"/>
  <c r="J206" i="3" s="1"/>
  <c r="P205" i="3"/>
  <c r="O205" i="3"/>
  <c r="N205" i="3"/>
  <c r="M205" i="3"/>
  <c r="F205" i="3"/>
  <c r="E205" i="3"/>
  <c r="D205" i="3"/>
  <c r="J205" i="3" s="1"/>
  <c r="P204" i="3"/>
  <c r="P203" i="3" s="1"/>
  <c r="O204" i="3"/>
  <c r="O203" i="3" s="1"/>
  <c r="N204" i="3"/>
  <c r="N203" i="3" s="1"/>
  <c r="M204" i="3"/>
  <c r="M203" i="3" s="1"/>
  <c r="F204" i="3"/>
  <c r="F203" i="3" s="1"/>
  <c r="E204" i="3"/>
  <c r="E203" i="3" s="1"/>
  <c r="D204" i="3"/>
  <c r="J204" i="3" s="1"/>
  <c r="O202" i="3"/>
  <c r="N202" i="3"/>
  <c r="F202" i="3"/>
  <c r="E202" i="3"/>
  <c r="D202" i="3"/>
  <c r="P201" i="3"/>
  <c r="O201" i="3"/>
  <c r="N201" i="3"/>
  <c r="M201" i="3"/>
  <c r="F201" i="3"/>
  <c r="E201" i="3"/>
  <c r="D201" i="3"/>
  <c r="P199" i="3"/>
  <c r="P198" i="3" s="1"/>
  <c r="O199" i="3"/>
  <c r="O198" i="3" s="1"/>
  <c r="N199" i="3"/>
  <c r="N198" i="3" s="1"/>
  <c r="M199" i="3"/>
  <c r="M198" i="3" s="1"/>
  <c r="E199" i="3"/>
  <c r="E198" i="3" s="1"/>
  <c r="D199" i="3"/>
  <c r="D198" i="3" s="1"/>
  <c r="P197" i="3"/>
  <c r="O197" i="3"/>
  <c r="N197" i="3"/>
  <c r="M197" i="3"/>
  <c r="F197" i="3"/>
  <c r="D197" i="3"/>
  <c r="J197" i="3" s="1"/>
  <c r="P196" i="3"/>
  <c r="O196" i="3"/>
  <c r="N196" i="3"/>
  <c r="M196" i="3"/>
  <c r="F196" i="3"/>
  <c r="E196" i="3"/>
  <c r="D196" i="3"/>
  <c r="O193" i="3"/>
  <c r="O192" i="3" s="1"/>
  <c r="N193" i="3"/>
  <c r="N192" i="3" s="1"/>
  <c r="M193" i="3"/>
  <c r="M192" i="3" s="1"/>
  <c r="F193" i="3"/>
  <c r="F192" i="3" s="1"/>
  <c r="E193" i="3"/>
  <c r="E192" i="3" s="1"/>
  <c r="D193" i="3"/>
  <c r="D192" i="3" s="1"/>
  <c r="P191" i="3"/>
  <c r="O191" i="3"/>
  <c r="N191" i="3"/>
  <c r="M191" i="3"/>
  <c r="F191" i="3"/>
  <c r="E191" i="3"/>
  <c r="D191" i="3"/>
  <c r="J191" i="3" s="1"/>
  <c r="O190" i="3"/>
  <c r="N190" i="3"/>
  <c r="F190" i="3"/>
  <c r="E190" i="3"/>
  <c r="D190" i="3"/>
  <c r="P189" i="3"/>
  <c r="O189" i="3"/>
  <c r="N189" i="3"/>
  <c r="M189" i="3"/>
  <c r="F189" i="3"/>
  <c r="E189" i="3"/>
  <c r="D189" i="3"/>
  <c r="J189" i="3" s="1"/>
  <c r="O188" i="3"/>
  <c r="N188" i="3"/>
  <c r="M188" i="3"/>
  <c r="F188" i="3"/>
  <c r="E188" i="3"/>
  <c r="D188" i="3"/>
  <c r="P187" i="3"/>
  <c r="O187" i="3"/>
  <c r="N187" i="3"/>
  <c r="M187" i="3"/>
  <c r="F187" i="3"/>
  <c r="E187" i="3"/>
  <c r="D187" i="3"/>
  <c r="P186" i="3"/>
  <c r="O186" i="3"/>
  <c r="N186" i="3"/>
  <c r="M186" i="3"/>
  <c r="F186" i="3"/>
  <c r="E186" i="3"/>
  <c r="D186" i="3"/>
  <c r="O185" i="3"/>
  <c r="N185" i="3"/>
  <c r="M185" i="3"/>
  <c r="F185" i="3"/>
  <c r="E185" i="3"/>
  <c r="D185" i="3"/>
  <c r="J185" i="3" s="1"/>
  <c r="P184" i="3"/>
  <c r="O184" i="3"/>
  <c r="N184" i="3"/>
  <c r="M184" i="3"/>
  <c r="F184" i="3"/>
  <c r="E184" i="3"/>
  <c r="D184" i="3"/>
  <c r="J184" i="3" s="1"/>
  <c r="O182" i="3"/>
  <c r="O181" i="3" s="1"/>
  <c r="N182" i="3"/>
  <c r="N181" i="3" s="1"/>
  <c r="M182" i="3"/>
  <c r="M181" i="3" s="1"/>
  <c r="F182" i="3"/>
  <c r="F181" i="3" s="1"/>
  <c r="E182" i="3"/>
  <c r="E181" i="3" s="1"/>
  <c r="D182" i="3"/>
  <c r="D181" i="3" s="1"/>
  <c r="O180" i="3"/>
  <c r="O173" i="3" s="1"/>
  <c r="N180" i="3"/>
  <c r="N173" i="3" s="1"/>
  <c r="M180" i="3"/>
  <c r="M173" i="3" s="1"/>
  <c r="F180" i="3"/>
  <c r="F173" i="3" s="1"/>
  <c r="E180" i="3"/>
  <c r="E173" i="3" s="1"/>
  <c r="D180" i="3"/>
  <c r="O179" i="3"/>
  <c r="N179" i="3"/>
  <c r="M179" i="3"/>
  <c r="F179" i="3"/>
  <c r="E179" i="3"/>
  <c r="D179" i="3"/>
  <c r="J179" i="3" s="1"/>
  <c r="P178" i="3"/>
  <c r="O178" i="3"/>
  <c r="N178" i="3"/>
  <c r="M178" i="3"/>
  <c r="F178" i="3"/>
  <c r="E178" i="3"/>
  <c r="D178" i="3"/>
  <c r="J178" i="3" s="1"/>
  <c r="P177" i="3"/>
  <c r="O177" i="3"/>
  <c r="N177" i="3"/>
  <c r="M177" i="3"/>
  <c r="F177" i="3"/>
  <c r="E177" i="3"/>
  <c r="D177" i="3"/>
  <c r="O176" i="3"/>
  <c r="N176" i="3"/>
  <c r="M176" i="3"/>
  <c r="F176" i="3"/>
  <c r="E176" i="3"/>
  <c r="D176" i="3"/>
  <c r="J176" i="3" s="1"/>
  <c r="P175" i="3"/>
  <c r="O175" i="3"/>
  <c r="N175" i="3"/>
  <c r="M175" i="3"/>
  <c r="F175" i="3"/>
  <c r="E175" i="3"/>
  <c r="D175" i="3"/>
  <c r="J175" i="3" s="1"/>
  <c r="P174" i="3"/>
  <c r="O174" i="3"/>
  <c r="N174" i="3"/>
  <c r="M174" i="3"/>
  <c r="F174" i="3"/>
  <c r="E174" i="3"/>
  <c r="D174" i="3"/>
  <c r="J174" i="3" s="1"/>
  <c r="P171" i="3"/>
  <c r="O171" i="3"/>
  <c r="N171" i="3"/>
  <c r="M171" i="3"/>
  <c r="F171" i="3"/>
  <c r="E171" i="3"/>
  <c r="D171" i="3"/>
  <c r="J171" i="3" s="1"/>
  <c r="O170" i="3"/>
  <c r="O160" i="3" s="1"/>
  <c r="N170" i="3"/>
  <c r="N160" i="3" s="1"/>
  <c r="M170" i="3"/>
  <c r="M160" i="3" s="1"/>
  <c r="F170" i="3"/>
  <c r="F160" i="3" s="1"/>
  <c r="E170" i="3"/>
  <c r="E160" i="3" s="1"/>
  <c r="D170" i="3"/>
  <c r="D160" i="3" s="1"/>
  <c r="O169" i="3"/>
  <c r="N169" i="3"/>
  <c r="M169" i="3"/>
  <c r="F169" i="3"/>
  <c r="E169" i="3"/>
  <c r="D169" i="3"/>
  <c r="P168" i="3"/>
  <c r="O168" i="3"/>
  <c r="N168" i="3"/>
  <c r="M168" i="3"/>
  <c r="F168" i="3"/>
  <c r="E168" i="3"/>
  <c r="D168" i="3"/>
  <c r="P167" i="3"/>
  <c r="O167" i="3"/>
  <c r="N167" i="3"/>
  <c r="M167" i="3"/>
  <c r="F167" i="3"/>
  <c r="E167" i="3"/>
  <c r="D167" i="3"/>
  <c r="J167" i="3" s="1"/>
  <c r="O166" i="3"/>
  <c r="N166" i="3"/>
  <c r="M166" i="3"/>
  <c r="F166" i="3"/>
  <c r="E166" i="3"/>
  <c r="D166" i="3"/>
  <c r="O165" i="3"/>
  <c r="N165" i="3"/>
  <c r="M165" i="3"/>
  <c r="F165" i="3"/>
  <c r="E165" i="3"/>
  <c r="D165" i="3"/>
  <c r="O164" i="3"/>
  <c r="N164" i="3"/>
  <c r="M164" i="3"/>
  <c r="F164" i="3"/>
  <c r="E164" i="3"/>
  <c r="D164" i="3"/>
  <c r="O163" i="3"/>
  <c r="N163" i="3"/>
  <c r="M163" i="3"/>
  <c r="F163" i="3"/>
  <c r="E163" i="3"/>
  <c r="D163" i="3"/>
  <c r="O162" i="3"/>
  <c r="N162" i="3"/>
  <c r="M162" i="3"/>
  <c r="F162" i="3"/>
  <c r="E162" i="3"/>
  <c r="D162" i="3"/>
  <c r="O161" i="3"/>
  <c r="N161" i="3"/>
  <c r="M161" i="3"/>
  <c r="F161" i="3"/>
  <c r="E161" i="3"/>
  <c r="D161" i="3"/>
  <c r="P158" i="3"/>
  <c r="P157" i="3" s="1"/>
  <c r="O158" i="3"/>
  <c r="O157" i="3" s="1"/>
  <c r="N158" i="3"/>
  <c r="N157" i="3" s="1"/>
  <c r="M158" i="3"/>
  <c r="M157" i="3" s="1"/>
  <c r="F158" i="3"/>
  <c r="F157" i="3" s="1"/>
  <c r="E158" i="3"/>
  <c r="E157" i="3" s="1"/>
  <c r="D158" i="3"/>
  <c r="J158" i="3" s="1"/>
  <c r="O155" i="3"/>
  <c r="N155" i="3"/>
  <c r="M155" i="3"/>
  <c r="F155" i="3"/>
  <c r="E155" i="3"/>
  <c r="D155" i="3"/>
  <c r="J155" i="3" s="1"/>
  <c r="P154" i="3"/>
  <c r="O154" i="3"/>
  <c r="N154" i="3"/>
  <c r="F154" i="3"/>
  <c r="E154" i="3"/>
  <c r="D154" i="3"/>
  <c r="J154" i="3" s="1"/>
  <c r="P153" i="3"/>
  <c r="O153" i="3"/>
  <c r="N153" i="3"/>
  <c r="M153" i="3"/>
  <c r="F153" i="3"/>
  <c r="E153" i="3"/>
  <c r="D153" i="3"/>
  <c r="J153" i="3" s="1"/>
  <c r="P152" i="3"/>
  <c r="O152" i="3"/>
  <c r="N152" i="3"/>
  <c r="M152" i="3"/>
  <c r="F152" i="3"/>
  <c r="E152" i="3"/>
  <c r="D152" i="3"/>
  <c r="P151" i="3"/>
  <c r="O151" i="3"/>
  <c r="N151" i="3"/>
  <c r="M151" i="3"/>
  <c r="F151" i="3"/>
  <c r="E151" i="3"/>
  <c r="D151" i="3"/>
  <c r="J151" i="3" s="1"/>
  <c r="P150" i="3"/>
  <c r="O150" i="3"/>
  <c r="N150" i="3"/>
  <c r="M150" i="3"/>
  <c r="F150" i="3"/>
  <c r="E150" i="3"/>
  <c r="D150" i="3"/>
  <c r="J150" i="3" s="1"/>
  <c r="P149" i="3"/>
  <c r="O149" i="3"/>
  <c r="N149" i="3"/>
  <c r="M149" i="3"/>
  <c r="F149" i="3"/>
  <c r="E149" i="3"/>
  <c r="D149" i="3"/>
  <c r="J149" i="3" s="1"/>
  <c r="O148" i="3"/>
  <c r="N148" i="3"/>
  <c r="M148" i="3"/>
  <c r="E148" i="3"/>
  <c r="D148" i="3"/>
  <c r="J148" i="3" s="1"/>
  <c r="P147" i="3"/>
  <c r="O147" i="3"/>
  <c r="N147" i="3"/>
  <c r="M147" i="3"/>
  <c r="F147" i="3"/>
  <c r="E147" i="3"/>
  <c r="D147" i="3"/>
  <c r="J147" i="3" s="1"/>
  <c r="P146" i="3"/>
  <c r="O146" i="3"/>
  <c r="N146" i="3"/>
  <c r="M146" i="3"/>
  <c r="F146" i="3"/>
  <c r="E146" i="3"/>
  <c r="D146" i="3"/>
  <c r="J146" i="3" s="1"/>
  <c r="O145" i="3"/>
  <c r="N145" i="3"/>
  <c r="M145" i="3"/>
  <c r="F145" i="3"/>
  <c r="E145" i="3"/>
  <c r="D145" i="3"/>
  <c r="P144" i="3"/>
  <c r="O144" i="3"/>
  <c r="N144" i="3"/>
  <c r="M144" i="3"/>
  <c r="F144" i="3"/>
  <c r="E144" i="3"/>
  <c r="D144" i="3"/>
  <c r="J144" i="3" s="1"/>
  <c r="P143" i="3"/>
  <c r="O143" i="3"/>
  <c r="N143" i="3"/>
  <c r="M143" i="3"/>
  <c r="F143" i="3"/>
  <c r="E143" i="3"/>
  <c r="D143" i="3"/>
  <c r="J143" i="3" s="1"/>
  <c r="O142" i="3"/>
  <c r="N142" i="3"/>
  <c r="M142" i="3"/>
  <c r="F142" i="3"/>
  <c r="E142" i="3"/>
  <c r="D142" i="3"/>
  <c r="P139" i="3"/>
  <c r="O139" i="3"/>
  <c r="N139" i="3"/>
  <c r="M139" i="3"/>
  <c r="F139" i="3"/>
  <c r="E139" i="3"/>
  <c r="D139" i="3"/>
  <c r="J139" i="3" s="1"/>
  <c r="O138" i="3"/>
  <c r="N138" i="3"/>
  <c r="M138" i="3"/>
  <c r="F138" i="3"/>
  <c r="E138" i="3"/>
  <c r="D138" i="3"/>
  <c r="J138" i="3" s="1"/>
  <c r="O137" i="3"/>
  <c r="N137" i="3"/>
  <c r="M137" i="3"/>
  <c r="F137" i="3"/>
  <c r="E137" i="3"/>
  <c r="D137" i="3"/>
  <c r="J137" i="3" s="1"/>
  <c r="O136" i="3"/>
  <c r="N136" i="3"/>
  <c r="M136" i="3"/>
  <c r="F136" i="3"/>
  <c r="E136" i="3"/>
  <c r="D136" i="3"/>
  <c r="J136" i="3" s="1"/>
  <c r="P135" i="3"/>
  <c r="O135" i="3"/>
  <c r="N135" i="3"/>
  <c r="M135" i="3"/>
  <c r="F135" i="3"/>
  <c r="E135" i="3"/>
  <c r="D135" i="3"/>
  <c r="J135" i="3" s="1"/>
  <c r="P134" i="3"/>
  <c r="O134" i="3"/>
  <c r="N134" i="3"/>
  <c r="M134" i="3"/>
  <c r="F134" i="3"/>
  <c r="E134" i="3"/>
  <c r="D134" i="3"/>
  <c r="J134" i="3" s="1"/>
  <c r="P132" i="3"/>
  <c r="O132" i="3"/>
  <c r="N132" i="3"/>
  <c r="M132" i="3"/>
  <c r="F132" i="3"/>
  <c r="E132" i="3"/>
  <c r="D132" i="3"/>
  <c r="J132" i="3" s="1"/>
  <c r="O131" i="3"/>
  <c r="N131" i="3"/>
  <c r="M131" i="3"/>
  <c r="E131" i="3"/>
  <c r="D131" i="3"/>
  <c r="J131" i="3" s="1"/>
  <c r="P130" i="3"/>
  <c r="O130" i="3"/>
  <c r="N130" i="3"/>
  <c r="M130" i="3"/>
  <c r="E130" i="3"/>
  <c r="D130" i="3"/>
  <c r="J130" i="3" s="1"/>
  <c r="O129" i="3"/>
  <c r="N129" i="3"/>
  <c r="M129" i="3"/>
  <c r="E129" i="3"/>
  <c r="D129" i="3"/>
  <c r="J129" i="3" s="1"/>
  <c r="P127" i="3"/>
  <c r="O127" i="3"/>
  <c r="N127" i="3"/>
  <c r="M127" i="3"/>
  <c r="F127" i="3"/>
  <c r="E127" i="3"/>
  <c r="D127" i="3"/>
  <c r="J127" i="3" s="1"/>
  <c r="O126" i="3"/>
  <c r="N126" i="3"/>
  <c r="M126" i="3"/>
  <c r="E126" i="3"/>
  <c r="D126" i="3"/>
  <c r="J126" i="3" s="1"/>
  <c r="P125" i="3"/>
  <c r="O125" i="3"/>
  <c r="N125" i="3"/>
  <c r="M125" i="3"/>
  <c r="F125" i="3"/>
  <c r="E125" i="3"/>
  <c r="D125" i="3"/>
  <c r="J125" i="3" s="1"/>
  <c r="P124" i="3"/>
  <c r="O124" i="3"/>
  <c r="N124" i="3"/>
  <c r="M124" i="3"/>
  <c r="F124" i="3"/>
  <c r="E124" i="3"/>
  <c r="D124" i="3"/>
  <c r="J124" i="3" s="1"/>
  <c r="P123" i="3"/>
  <c r="O123" i="3"/>
  <c r="N123" i="3"/>
  <c r="M123" i="3"/>
  <c r="F123" i="3"/>
  <c r="E123" i="3"/>
  <c r="D123" i="3"/>
  <c r="J123" i="3" s="1"/>
  <c r="P122" i="3"/>
  <c r="O122" i="3"/>
  <c r="N122" i="3"/>
  <c r="M122" i="3"/>
  <c r="F122" i="3"/>
  <c r="E122" i="3"/>
  <c r="D122" i="3"/>
  <c r="J122" i="3" s="1"/>
  <c r="P121" i="3"/>
  <c r="O121" i="3"/>
  <c r="N121" i="3"/>
  <c r="M121" i="3"/>
  <c r="F121" i="3"/>
  <c r="E121" i="3"/>
  <c r="D121" i="3"/>
  <c r="J121" i="3" s="1"/>
  <c r="P120" i="3"/>
  <c r="O120" i="3"/>
  <c r="N120" i="3"/>
  <c r="M120" i="3"/>
  <c r="F120" i="3"/>
  <c r="E120" i="3"/>
  <c r="D120" i="3"/>
  <c r="J120" i="3" s="1"/>
  <c r="P119" i="3"/>
  <c r="O119" i="3"/>
  <c r="N119" i="3"/>
  <c r="M119" i="3"/>
  <c r="F119" i="3"/>
  <c r="E119" i="3"/>
  <c r="D119" i="3"/>
  <c r="J119" i="3" s="1"/>
  <c r="P118" i="3"/>
  <c r="O118" i="3"/>
  <c r="N118" i="3"/>
  <c r="M118" i="3"/>
  <c r="F118" i="3"/>
  <c r="E118" i="3"/>
  <c r="D118" i="3"/>
  <c r="J118" i="3" s="1"/>
  <c r="P117" i="3"/>
  <c r="O117" i="3"/>
  <c r="N117" i="3"/>
  <c r="M117" i="3"/>
  <c r="F117" i="3"/>
  <c r="E117" i="3"/>
  <c r="D117" i="3"/>
  <c r="J117" i="3" s="1"/>
  <c r="P116" i="3"/>
  <c r="O116" i="3"/>
  <c r="N116" i="3"/>
  <c r="M116" i="3"/>
  <c r="F116" i="3"/>
  <c r="E116" i="3"/>
  <c r="D116" i="3"/>
  <c r="J116" i="3" s="1"/>
  <c r="P115" i="3"/>
  <c r="O115" i="3"/>
  <c r="N115" i="3"/>
  <c r="M115" i="3"/>
  <c r="F115" i="3"/>
  <c r="E115" i="3"/>
  <c r="D115" i="3"/>
  <c r="J115" i="3" s="1"/>
  <c r="P114" i="3"/>
  <c r="O114" i="3"/>
  <c r="N114" i="3"/>
  <c r="M114" i="3"/>
  <c r="F114" i="3"/>
  <c r="E114" i="3"/>
  <c r="D114" i="3"/>
  <c r="J114" i="3" s="1"/>
  <c r="P113" i="3"/>
  <c r="O113" i="3"/>
  <c r="N113" i="3"/>
  <c r="M113" i="3"/>
  <c r="F113" i="3"/>
  <c r="E113" i="3"/>
  <c r="D113" i="3"/>
  <c r="J113" i="3" s="1"/>
  <c r="P112" i="3"/>
  <c r="O112" i="3"/>
  <c r="N112" i="3"/>
  <c r="M112" i="3"/>
  <c r="F112" i="3"/>
  <c r="E112" i="3"/>
  <c r="D112" i="3"/>
  <c r="J112" i="3" s="1"/>
  <c r="P111" i="3"/>
  <c r="O111" i="3"/>
  <c r="N111" i="3"/>
  <c r="M111" i="3"/>
  <c r="F111" i="3"/>
  <c r="E111" i="3"/>
  <c r="D111" i="3"/>
  <c r="J111" i="3" s="1"/>
  <c r="P110" i="3"/>
  <c r="O110" i="3"/>
  <c r="N110" i="3"/>
  <c r="M110" i="3"/>
  <c r="F110" i="3"/>
  <c r="E110" i="3"/>
  <c r="D110" i="3"/>
  <c r="J110" i="3" s="1"/>
  <c r="P109" i="3"/>
  <c r="O109" i="3"/>
  <c r="N109" i="3"/>
  <c r="M109" i="3"/>
  <c r="F109" i="3"/>
  <c r="E109" i="3"/>
  <c r="D109" i="3"/>
  <c r="J109" i="3" s="1"/>
  <c r="P108" i="3"/>
  <c r="O108" i="3"/>
  <c r="N108" i="3"/>
  <c r="M108" i="3"/>
  <c r="F108" i="3"/>
  <c r="E108" i="3"/>
  <c r="D108" i="3"/>
  <c r="J108" i="3" s="1"/>
  <c r="P107" i="3"/>
  <c r="O107" i="3"/>
  <c r="N107" i="3"/>
  <c r="M107" i="3"/>
  <c r="E107" i="3"/>
  <c r="D107" i="3"/>
  <c r="J107" i="3" s="1"/>
  <c r="P106" i="3"/>
  <c r="O106" i="3"/>
  <c r="N106" i="3"/>
  <c r="M106" i="3"/>
  <c r="F106" i="3"/>
  <c r="E106" i="3"/>
  <c r="D106" i="3"/>
  <c r="J106" i="3" s="1"/>
  <c r="P105" i="3"/>
  <c r="O105" i="3"/>
  <c r="N105" i="3"/>
  <c r="M105" i="3"/>
  <c r="F105" i="3"/>
  <c r="E105" i="3"/>
  <c r="D105" i="3"/>
  <c r="J105" i="3" s="1"/>
  <c r="O104" i="3"/>
  <c r="N104" i="3"/>
  <c r="M104" i="3"/>
  <c r="E104" i="3"/>
  <c r="D104" i="3"/>
  <c r="J104" i="3" s="1"/>
  <c r="P103" i="3"/>
  <c r="O103" i="3"/>
  <c r="N103" i="3"/>
  <c r="M103" i="3"/>
  <c r="F103" i="3"/>
  <c r="E103" i="3"/>
  <c r="D103" i="3"/>
  <c r="J103" i="3" s="1"/>
  <c r="P102" i="3"/>
  <c r="O102" i="3"/>
  <c r="N102" i="3"/>
  <c r="M102" i="3"/>
  <c r="F102" i="3"/>
  <c r="E102" i="3"/>
  <c r="D102" i="3"/>
  <c r="J102" i="3" s="1"/>
  <c r="P101" i="3"/>
  <c r="O101" i="3"/>
  <c r="N101" i="3"/>
  <c r="M101" i="3"/>
  <c r="F101" i="3"/>
  <c r="E101" i="3"/>
  <c r="D101" i="3"/>
  <c r="J101" i="3" s="1"/>
  <c r="P100" i="3"/>
  <c r="O100" i="3"/>
  <c r="N100" i="3"/>
  <c r="M100" i="3"/>
  <c r="F100" i="3"/>
  <c r="E100" i="3"/>
  <c r="D100" i="3"/>
  <c r="J100" i="3" s="1"/>
  <c r="P99" i="3"/>
  <c r="O99" i="3"/>
  <c r="N99" i="3"/>
  <c r="M99" i="3"/>
  <c r="F99" i="3"/>
  <c r="E99" i="3"/>
  <c r="D99" i="3"/>
  <c r="J99" i="3" s="1"/>
  <c r="P98" i="3"/>
  <c r="O98" i="3"/>
  <c r="N98" i="3"/>
  <c r="M98" i="3"/>
  <c r="F98" i="3"/>
  <c r="E98" i="3"/>
  <c r="D98" i="3"/>
  <c r="J98" i="3" s="1"/>
  <c r="P97" i="3"/>
  <c r="O97" i="3"/>
  <c r="N97" i="3"/>
  <c r="M97" i="3"/>
  <c r="F97" i="3"/>
  <c r="E97" i="3"/>
  <c r="D97" i="3"/>
  <c r="J97" i="3" s="1"/>
  <c r="P96" i="3"/>
  <c r="O96" i="3"/>
  <c r="N96" i="3"/>
  <c r="M96" i="3"/>
  <c r="F96" i="3"/>
  <c r="E96" i="3"/>
  <c r="D96" i="3"/>
  <c r="J96" i="3" s="1"/>
  <c r="P95" i="3"/>
  <c r="O95" i="3"/>
  <c r="N95" i="3"/>
  <c r="M95" i="3"/>
  <c r="F95" i="3"/>
  <c r="E95" i="3"/>
  <c r="D95" i="3"/>
  <c r="J95" i="3" s="1"/>
  <c r="P94" i="3"/>
  <c r="O94" i="3"/>
  <c r="N94" i="3"/>
  <c r="M94" i="3"/>
  <c r="F94" i="3"/>
  <c r="E94" i="3"/>
  <c r="D94" i="3"/>
  <c r="J94" i="3" s="1"/>
  <c r="P93" i="3"/>
  <c r="O93" i="3"/>
  <c r="N93" i="3"/>
  <c r="M93" i="3"/>
  <c r="F93" i="3"/>
  <c r="E93" i="3"/>
  <c r="D93" i="3"/>
  <c r="J93" i="3" s="1"/>
  <c r="P92" i="3"/>
  <c r="O92" i="3"/>
  <c r="N92" i="3"/>
  <c r="M92" i="3"/>
  <c r="F92" i="3"/>
  <c r="E92" i="3"/>
  <c r="D92" i="3"/>
  <c r="J92" i="3" s="1"/>
  <c r="P91" i="3"/>
  <c r="O91" i="3"/>
  <c r="N91" i="3"/>
  <c r="M91" i="3"/>
  <c r="F91" i="3"/>
  <c r="E91" i="3"/>
  <c r="D91" i="3"/>
  <c r="J91" i="3" s="1"/>
  <c r="P90" i="3"/>
  <c r="O90" i="3"/>
  <c r="N90" i="3"/>
  <c r="M90" i="3"/>
  <c r="F90" i="3"/>
  <c r="E90" i="3"/>
  <c r="D90" i="3"/>
  <c r="J90" i="3" s="1"/>
  <c r="P89" i="3"/>
  <c r="O89" i="3"/>
  <c r="N89" i="3"/>
  <c r="M89" i="3"/>
  <c r="F89" i="3"/>
  <c r="E89" i="3"/>
  <c r="D89" i="3"/>
  <c r="J89" i="3" s="1"/>
  <c r="P88" i="3"/>
  <c r="O88" i="3"/>
  <c r="N88" i="3"/>
  <c r="M88" i="3"/>
  <c r="F88" i="3"/>
  <c r="E88" i="3"/>
  <c r="D88" i="3"/>
  <c r="J88" i="3" s="1"/>
  <c r="P87" i="3"/>
  <c r="O87" i="3"/>
  <c r="N87" i="3"/>
  <c r="M87" i="3"/>
  <c r="F87" i="3"/>
  <c r="E87" i="3"/>
  <c r="D87" i="3"/>
  <c r="J87" i="3" s="1"/>
  <c r="P86" i="3"/>
  <c r="O86" i="3"/>
  <c r="N86" i="3"/>
  <c r="M86" i="3"/>
  <c r="F86" i="3"/>
  <c r="E86" i="3"/>
  <c r="D86" i="3"/>
  <c r="J86" i="3" s="1"/>
  <c r="P85" i="3"/>
  <c r="O85" i="3"/>
  <c r="N85" i="3"/>
  <c r="M85" i="3"/>
  <c r="F85" i="3"/>
  <c r="E85" i="3"/>
  <c r="D85" i="3"/>
  <c r="J85" i="3" s="1"/>
  <c r="P84" i="3"/>
  <c r="O84" i="3"/>
  <c r="N84" i="3"/>
  <c r="M84" i="3"/>
  <c r="F84" i="3"/>
  <c r="E84" i="3"/>
  <c r="D84" i="3"/>
  <c r="J84" i="3" s="1"/>
  <c r="P83" i="3"/>
  <c r="O83" i="3"/>
  <c r="N83" i="3"/>
  <c r="M83" i="3"/>
  <c r="F83" i="3"/>
  <c r="E83" i="3"/>
  <c r="D83" i="3"/>
  <c r="J83" i="3" s="1"/>
  <c r="P82" i="3"/>
  <c r="O82" i="3"/>
  <c r="N82" i="3"/>
  <c r="M82" i="3"/>
  <c r="F82" i="3"/>
  <c r="E82" i="3"/>
  <c r="D82" i="3"/>
  <c r="J82" i="3" s="1"/>
  <c r="P81" i="3"/>
  <c r="O81" i="3"/>
  <c r="N81" i="3"/>
  <c r="M81" i="3"/>
  <c r="F81" i="3"/>
  <c r="E81" i="3"/>
  <c r="D81" i="3"/>
  <c r="J81" i="3" s="1"/>
  <c r="P80" i="3"/>
  <c r="O80" i="3"/>
  <c r="N80" i="3"/>
  <c r="M80" i="3"/>
  <c r="F80" i="3"/>
  <c r="E80" i="3"/>
  <c r="D80" i="3"/>
  <c r="J80" i="3" s="1"/>
  <c r="P79" i="3"/>
  <c r="O79" i="3"/>
  <c r="N79" i="3"/>
  <c r="M79" i="3"/>
  <c r="F79" i="3"/>
  <c r="E79" i="3"/>
  <c r="D79" i="3"/>
  <c r="J79" i="3" s="1"/>
  <c r="P78" i="3"/>
  <c r="O78" i="3"/>
  <c r="N78" i="3"/>
  <c r="M78" i="3"/>
  <c r="F78" i="3"/>
  <c r="E78" i="3"/>
  <c r="D78" i="3"/>
  <c r="J78" i="3" s="1"/>
  <c r="P77" i="3"/>
  <c r="O77" i="3"/>
  <c r="N77" i="3"/>
  <c r="M77" i="3"/>
  <c r="F77" i="3"/>
  <c r="E77" i="3"/>
  <c r="D77" i="3"/>
  <c r="J77" i="3" s="1"/>
  <c r="P76" i="3"/>
  <c r="O76" i="3"/>
  <c r="N76" i="3"/>
  <c r="M76" i="3"/>
  <c r="F76" i="3"/>
  <c r="E76" i="3"/>
  <c r="D76" i="3"/>
  <c r="J76" i="3" s="1"/>
  <c r="P75" i="3"/>
  <c r="O75" i="3"/>
  <c r="N75" i="3"/>
  <c r="M75" i="3"/>
  <c r="F75" i="3"/>
  <c r="E75" i="3"/>
  <c r="D75" i="3"/>
  <c r="J75" i="3" s="1"/>
  <c r="P74" i="3"/>
  <c r="O74" i="3"/>
  <c r="N74" i="3"/>
  <c r="M74" i="3"/>
  <c r="F74" i="3"/>
  <c r="E74" i="3"/>
  <c r="D74" i="3"/>
  <c r="J74" i="3" s="1"/>
  <c r="P73" i="3"/>
  <c r="O73" i="3"/>
  <c r="N73" i="3"/>
  <c r="M73" i="3"/>
  <c r="F73" i="3"/>
  <c r="E73" i="3"/>
  <c r="D73" i="3"/>
  <c r="J73" i="3" s="1"/>
  <c r="P72" i="3"/>
  <c r="O72" i="3"/>
  <c r="N72" i="3"/>
  <c r="M72" i="3"/>
  <c r="F72" i="3"/>
  <c r="E72" i="3"/>
  <c r="D72" i="3"/>
  <c r="J72" i="3" s="1"/>
  <c r="P71" i="3"/>
  <c r="O71" i="3"/>
  <c r="N71" i="3"/>
  <c r="M71" i="3"/>
  <c r="F71" i="3"/>
  <c r="E71" i="3"/>
  <c r="D71" i="3"/>
  <c r="J71" i="3" s="1"/>
  <c r="P70" i="3"/>
  <c r="O70" i="3"/>
  <c r="N70" i="3"/>
  <c r="M70" i="3"/>
  <c r="F70" i="3"/>
  <c r="E70" i="3"/>
  <c r="D70" i="3"/>
  <c r="J70" i="3" s="1"/>
  <c r="P69" i="3"/>
  <c r="O69" i="3"/>
  <c r="N69" i="3"/>
  <c r="M69" i="3"/>
  <c r="F69" i="3"/>
  <c r="E69" i="3"/>
  <c r="D69" i="3"/>
  <c r="J69" i="3" s="1"/>
  <c r="P68" i="3"/>
  <c r="O68" i="3"/>
  <c r="N68" i="3"/>
  <c r="M68" i="3"/>
  <c r="F68" i="3"/>
  <c r="E68" i="3"/>
  <c r="D68" i="3"/>
  <c r="J68" i="3" s="1"/>
  <c r="P67" i="3"/>
  <c r="O67" i="3"/>
  <c r="N67" i="3"/>
  <c r="M67" i="3"/>
  <c r="F67" i="3"/>
  <c r="E67" i="3"/>
  <c r="D67" i="3"/>
  <c r="J67" i="3" s="1"/>
  <c r="P66" i="3"/>
  <c r="O66" i="3"/>
  <c r="N66" i="3"/>
  <c r="M66" i="3"/>
  <c r="F66" i="3"/>
  <c r="E66" i="3"/>
  <c r="D66" i="3"/>
  <c r="J66" i="3" s="1"/>
  <c r="P65" i="3"/>
  <c r="O65" i="3"/>
  <c r="N65" i="3"/>
  <c r="M65" i="3"/>
  <c r="F65" i="3"/>
  <c r="E65" i="3"/>
  <c r="D65" i="3"/>
  <c r="J65" i="3" s="1"/>
  <c r="P64" i="3"/>
  <c r="O64" i="3"/>
  <c r="N64" i="3"/>
  <c r="M64" i="3"/>
  <c r="F64" i="3"/>
  <c r="E64" i="3"/>
  <c r="D64" i="3"/>
  <c r="J64" i="3" s="1"/>
  <c r="P63" i="3"/>
  <c r="O63" i="3"/>
  <c r="N63" i="3"/>
  <c r="M63" i="3"/>
  <c r="F63" i="3"/>
  <c r="E63" i="3"/>
  <c r="D63" i="3"/>
  <c r="J63" i="3" s="1"/>
  <c r="P62" i="3"/>
  <c r="O62" i="3"/>
  <c r="N62" i="3"/>
  <c r="M62" i="3"/>
  <c r="F62" i="3"/>
  <c r="E62" i="3"/>
  <c r="D62" i="3"/>
  <c r="J62" i="3" s="1"/>
  <c r="P61" i="3"/>
  <c r="O61" i="3"/>
  <c r="N61" i="3"/>
  <c r="M61" i="3"/>
  <c r="F61" i="3"/>
  <c r="E61" i="3"/>
  <c r="D61" i="3"/>
  <c r="J61" i="3" s="1"/>
  <c r="P58" i="3"/>
  <c r="O58" i="3"/>
  <c r="N58" i="3"/>
  <c r="M58" i="3"/>
  <c r="F58" i="3"/>
  <c r="E58" i="3"/>
  <c r="D58" i="3"/>
  <c r="J58" i="3" s="1"/>
  <c r="O57" i="3"/>
  <c r="N57" i="3"/>
  <c r="M57" i="3"/>
  <c r="F57" i="3"/>
  <c r="E57" i="3"/>
  <c r="D57" i="3"/>
  <c r="J57" i="3" s="1"/>
  <c r="P56" i="3"/>
  <c r="O56" i="3"/>
  <c r="N56" i="3"/>
  <c r="M56" i="3"/>
  <c r="F56" i="3"/>
  <c r="E56" i="3"/>
  <c r="D56" i="3"/>
  <c r="J56" i="3" s="1"/>
  <c r="P55" i="3"/>
  <c r="O55" i="3"/>
  <c r="N55" i="3"/>
  <c r="M55" i="3"/>
  <c r="F55" i="3"/>
  <c r="E55" i="3"/>
  <c r="D55" i="3"/>
  <c r="J55" i="3" s="1"/>
  <c r="P54" i="3"/>
  <c r="O54" i="3"/>
  <c r="N54" i="3"/>
  <c r="M54" i="3"/>
  <c r="F54" i="3"/>
  <c r="E54" i="3"/>
  <c r="D54" i="3"/>
  <c r="J54" i="3" s="1"/>
  <c r="P53" i="3"/>
  <c r="O53" i="3"/>
  <c r="N53" i="3"/>
  <c r="M53" i="3"/>
  <c r="F53" i="3"/>
  <c r="E53" i="3"/>
  <c r="D53" i="3"/>
  <c r="J53" i="3" s="1"/>
  <c r="P52" i="3"/>
  <c r="O52" i="3"/>
  <c r="N52" i="3"/>
  <c r="M52" i="3"/>
  <c r="F52" i="3"/>
  <c r="E52" i="3"/>
  <c r="D52" i="3"/>
  <c r="J52" i="3" s="1"/>
  <c r="P51" i="3"/>
  <c r="O51" i="3"/>
  <c r="N51" i="3"/>
  <c r="M51" i="3"/>
  <c r="F51" i="3"/>
  <c r="E51" i="3"/>
  <c r="D51" i="3"/>
  <c r="J51" i="3" s="1"/>
  <c r="P50" i="3"/>
  <c r="O50" i="3"/>
  <c r="N50" i="3"/>
  <c r="M50" i="3"/>
  <c r="F50" i="3"/>
  <c r="E50" i="3"/>
  <c r="D50" i="3"/>
  <c r="J50" i="3" s="1"/>
  <c r="P49" i="3"/>
  <c r="O49" i="3"/>
  <c r="N49" i="3"/>
  <c r="M49" i="3"/>
  <c r="F49" i="3"/>
  <c r="E49" i="3"/>
  <c r="D49" i="3"/>
  <c r="J49" i="3" s="1"/>
  <c r="P48" i="3"/>
  <c r="O48" i="3"/>
  <c r="N48" i="3"/>
  <c r="M48" i="3"/>
  <c r="F48" i="3"/>
  <c r="E48" i="3"/>
  <c r="D48" i="3"/>
  <c r="J48" i="3" s="1"/>
  <c r="O47" i="3"/>
  <c r="N47" i="3"/>
  <c r="M47" i="3"/>
  <c r="F47" i="3"/>
  <c r="E47" i="3"/>
  <c r="D47" i="3"/>
  <c r="J47" i="3" s="1"/>
  <c r="P46" i="3"/>
  <c r="O46" i="3"/>
  <c r="N46" i="3"/>
  <c r="M46" i="3"/>
  <c r="F46" i="3"/>
  <c r="E46" i="3"/>
  <c r="D46" i="3"/>
  <c r="J46" i="3" s="1"/>
  <c r="O45" i="3"/>
  <c r="N45" i="3"/>
  <c r="M45" i="3"/>
  <c r="F45" i="3"/>
  <c r="E45" i="3"/>
  <c r="D45" i="3"/>
  <c r="J45" i="3" s="1"/>
  <c r="P44" i="3"/>
  <c r="O44" i="3"/>
  <c r="N44" i="3"/>
  <c r="M44" i="3"/>
  <c r="F44" i="3"/>
  <c r="E44" i="3"/>
  <c r="D44" i="3"/>
  <c r="J44" i="3" s="1"/>
  <c r="P43" i="3"/>
  <c r="O43" i="3"/>
  <c r="N43" i="3"/>
  <c r="M43" i="3"/>
  <c r="F43" i="3"/>
  <c r="E43" i="3"/>
  <c r="D43" i="3"/>
  <c r="J43" i="3" s="1"/>
  <c r="P42" i="3"/>
  <c r="O42" i="3"/>
  <c r="N42" i="3"/>
  <c r="M42" i="3"/>
  <c r="F42" i="3"/>
  <c r="E42" i="3"/>
  <c r="D42" i="3"/>
  <c r="J42" i="3" s="1"/>
  <c r="P41" i="3"/>
  <c r="O41" i="3"/>
  <c r="N41" i="3"/>
  <c r="M41" i="3"/>
  <c r="F41" i="3"/>
  <c r="E41" i="3"/>
  <c r="D41" i="3"/>
  <c r="J41" i="3" s="1"/>
  <c r="P40" i="3"/>
  <c r="O40" i="3"/>
  <c r="N40" i="3"/>
  <c r="M40" i="3"/>
  <c r="F40" i="3"/>
  <c r="E40" i="3"/>
  <c r="D40" i="3"/>
  <c r="J40" i="3" s="1"/>
  <c r="O39" i="3"/>
  <c r="N39" i="3"/>
  <c r="M39" i="3"/>
  <c r="F39" i="3"/>
  <c r="E39" i="3"/>
  <c r="D39" i="3"/>
  <c r="J39" i="3" s="1"/>
  <c r="P36" i="3"/>
  <c r="O36" i="3"/>
  <c r="N36" i="3"/>
  <c r="M36" i="3"/>
  <c r="F36" i="3"/>
  <c r="E36" i="3"/>
  <c r="D36" i="3"/>
  <c r="J36" i="3" s="1"/>
  <c r="P35" i="3"/>
  <c r="O35" i="3"/>
  <c r="N35" i="3"/>
  <c r="M35" i="3"/>
  <c r="F35" i="3"/>
  <c r="E35" i="3"/>
  <c r="D35" i="3"/>
  <c r="J35" i="3" s="1"/>
  <c r="P34" i="3"/>
  <c r="O34" i="3"/>
  <c r="N34" i="3"/>
  <c r="M34" i="3"/>
  <c r="F34" i="3"/>
  <c r="E34" i="3"/>
  <c r="D34" i="3"/>
  <c r="J34" i="3" s="1"/>
  <c r="P33" i="3"/>
  <c r="O33" i="3"/>
  <c r="N33" i="3"/>
  <c r="M33" i="3"/>
  <c r="F33" i="3"/>
  <c r="D33" i="3"/>
  <c r="J33" i="3" s="1"/>
  <c r="O32" i="3"/>
  <c r="N32" i="3"/>
  <c r="M32" i="3"/>
  <c r="D32" i="3"/>
  <c r="J32" i="3" s="1"/>
  <c r="P31" i="3"/>
  <c r="O31" i="3"/>
  <c r="N31" i="3"/>
  <c r="M31" i="3"/>
  <c r="E31" i="3"/>
  <c r="D31" i="3"/>
  <c r="J31" i="3" s="1"/>
  <c r="P30" i="3"/>
  <c r="O30" i="3"/>
  <c r="N30" i="3"/>
  <c r="M30" i="3"/>
  <c r="F30" i="3"/>
  <c r="E30" i="3"/>
  <c r="D30" i="3"/>
  <c r="J30" i="3" s="1"/>
  <c r="O29" i="3"/>
  <c r="N29" i="3"/>
  <c r="M29" i="3"/>
  <c r="E29" i="3"/>
  <c r="D29" i="3"/>
  <c r="J29" i="3" s="1"/>
  <c r="O28" i="3"/>
  <c r="N28" i="3"/>
  <c r="M28" i="3"/>
  <c r="E28" i="3"/>
  <c r="D28" i="3"/>
  <c r="J28" i="3" s="1"/>
  <c r="P27" i="3"/>
  <c r="O27" i="3"/>
  <c r="N27" i="3"/>
  <c r="M27" i="3"/>
  <c r="D27" i="3"/>
  <c r="J27" i="3" s="1"/>
  <c r="P26" i="3"/>
  <c r="O26" i="3"/>
  <c r="N26" i="3"/>
  <c r="M26" i="3"/>
  <c r="F26" i="3"/>
  <c r="E26" i="3"/>
  <c r="D26" i="3"/>
  <c r="J26" i="3" s="1"/>
  <c r="O25" i="3"/>
  <c r="N25" i="3"/>
  <c r="M25" i="3"/>
  <c r="E25" i="3"/>
  <c r="D25" i="3"/>
  <c r="J25" i="3" s="1"/>
  <c r="P24" i="3"/>
  <c r="O24" i="3"/>
  <c r="N24" i="3"/>
  <c r="M24" i="3"/>
  <c r="F24" i="3"/>
  <c r="E24" i="3"/>
  <c r="D24" i="3"/>
  <c r="J24" i="3" s="1"/>
  <c r="P23" i="3"/>
  <c r="O23" i="3"/>
  <c r="N23" i="3"/>
  <c r="M23" i="3"/>
  <c r="F23" i="3"/>
  <c r="E23" i="3"/>
  <c r="D23" i="3"/>
  <c r="J23" i="3" s="1"/>
  <c r="P22" i="3"/>
  <c r="O22" i="3"/>
  <c r="N22" i="3"/>
  <c r="M22" i="3"/>
  <c r="F22" i="3"/>
  <c r="D22" i="3"/>
  <c r="J22" i="3" s="1"/>
  <c r="O21" i="3"/>
  <c r="N21" i="3"/>
  <c r="M21" i="3"/>
  <c r="D21" i="3"/>
  <c r="J21" i="3" s="1"/>
  <c r="O20" i="3"/>
  <c r="N20" i="3"/>
  <c r="M20" i="3"/>
  <c r="E20" i="3"/>
  <c r="D20" i="3"/>
  <c r="J20" i="3" s="1"/>
  <c r="P17" i="3"/>
  <c r="O17" i="3"/>
  <c r="N17" i="3"/>
  <c r="M17" i="3"/>
  <c r="F17" i="3"/>
  <c r="E17" i="3"/>
  <c r="D17" i="3"/>
  <c r="J17" i="3" s="1"/>
  <c r="O16" i="3"/>
  <c r="N16" i="3"/>
  <c r="M16" i="3"/>
  <c r="D16" i="3"/>
  <c r="J16" i="3" s="1"/>
  <c r="L298" i="1"/>
  <c r="X298" i="1" s="1"/>
  <c r="D298" i="1"/>
  <c r="C298" i="1"/>
  <c r="B298" i="1"/>
  <c r="L297" i="1"/>
  <c r="K214" i="3" s="1"/>
  <c r="W214" i="3" s="1"/>
  <c r="K297" i="1"/>
  <c r="L296" i="1"/>
  <c r="K213" i="3" s="1"/>
  <c r="W213" i="3" s="1"/>
  <c r="K296" i="1"/>
  <c r="L295" i="1"/>
  <c r="K210" i="3" s="1"/>
  <c r="K295" i="1"/>
  <c r="D295" i="1"/>
  <c r="C295" i="1"/>
  <c r="B295" i="1"/>
  <c r="L294" i="1"/>
  <c r="K206" i="3" s="1"/>
  <c r="K294" i="1"/>
  <c r="D294" i="1"/>
  <c r="C294" i="1"/>
  <c r="B294" i="1"/>
  <c r="L293" i="1"/>
  <c r="K205" i="3" s="1"/>
  <c r="K293" i="1"/>
  <c r="D293" i="1"/>
  <c r="C293" i="1"/>
  <c r="B293" i="1"/>
  <c r="L292" i="1"/>
  <c r="X292" i="1" s="1"/>
  <c r="D292" i="1"/>
  <c r="C292" i="1"/>
  <c r="B292" i="1"/>
  <c r="L291" i="1"/>
  <c r="K291" i="1"/>
  <c r="D291" i="1"/>
  <c r="C291" i="1"/>
  <c r="B291" i="1"/>
  <c r="L290" i="1"/>
  <c r="K290" i="1"/>
  <c r="D290" i="1"/>
  <c r="C290" i="1"/>
  <c r="B290" i="1"/>
  <c r="Q289" i="1"/>
  <c r="L289" i="1" s="1"/>
  <c r="X289" i="1" s="1"/>
  <c r="K289" i="1"/>
  <c r="G289" i="1"/>
  <c r="G287" i="1" s="1"/>
  <c r="G286" i="1" s="1"/>
  <c r="D289" i="1"/>
  <c r="C289" i="1"/>
  <c r="B289" i="1"/>
  <c r="Q288" i="1"/>
  <c r="P288" i="1"/>
  <c r="O288" i="1"/>
  <c r="N288" i="1"/>
  <c r="K288" i="1"/>
  <c r="G288" i="1"/>
  <c r="F288" i="1"/>
  <c r="P287" i="1"/>
  <c r="P286" i="1" s="1"/>
  <c r="O287" i="1"/>
  <c r="O286" i="1" s="1"/>
  <c r="N287" i="1"/>
  <c r="N286" i="1" s="1"/>
  <c r="J287" i="1"/>
  <c r="J286" i="1" s="1"/>
  <c r="I287" i="1"/>
  <c r="I286" i="1" s="1"/>
  <c r="H287" i="1"/>
  <c r="H286" i="1" s="1"/>
  <c r="F287" i="1"/>
  <c r="F286" i="1"/>
  <c r="L285" i="1"/>
  <c r="X285" i="1" s="1"/>
  <c r="K285" i="1"/>
  <c r="D285" i="1"/>
  <c r="C285" i="1"/>
  <c r="B285" i="1"/>
  <c r="L284" i="1"/>
  <c r="K284" i="1"/>
  <c r="D284" i="1"/>
  <c r="C284" i="1"/>
  <c r="B284" i="1"/>
  <c r="L283" i="1"/>
  <c r="K187" i="3" s="1"/>
  <c r="W187" i="3" s="1"/>
  <c r="D283" i="1"/>
  <c r="C283" i="1"/>
  <c r="B283" i="1"/>
  <c r="L282" i="1"/>
  <c r="K186" i="3" s="1"/>
  <c r="W186" i="3" s="1"/>
  <c r="D282" i="1"/>
  <c r="C282" i="1"/>
  <c r="B282" i="1"/>
  <c r="L281" i="1"/>
  <c r="K281" i="1"/>
  <c r="D281" i="1"/>
  <c r="C281" i="1"/>
  <c r="B281" i="1"/>
  <c r="L280" i="1"/>
  <c r="X280" i="1" s="1"/>
  <c r="D280" i="1"/>
  <c r="C280" i="1"/>
  <c r="B280" i="1"/>
  <c r="L279" i="1"/>
  <c r="K158" i="3" s="1"/>
  <c r="K279" i="1"/>
  <c r="D279" i="1"/>
  <c r="C279" i="1"/>
  <c r="B279" i="1"/>
  <c r="L278" i="1"/>
  <c r="K278" i="1"/>
  <c r="G278" i="1"/>
  <c r="G277" i="1" s="1"/>
  <c r="G276" i="1" s="1"/>
  <c r="D278" i="1"/>
  <c r="C278" i="1"/>
  <c r="B278" i="1"/>
  <c r="Q277" i="1"/>
  <c r="P277" i="1"/>
  <c r="P276" i="1" s="1"/>
  <c r="O277" i="1"/>
  <c r="O276" i="1" s="1"/>
  <c r="N277" i="1"/>
  <c r="N276" i="1" s="1"/>
  <c r="J277" i="1"/>
  <c r="J276" i="1" s="1"/>
  <c r="I277" i="1"/>
  <c r="I276" i="1" s="1"/>
  <c r="H277" i="1"/>
  <c r="H276" i="1" s="1"/>
  <c r="F277" i="1"/>
  <c r="Q276" i="1"/>
  <c r="F276" i="1"/>
  <c r="Q275" i="1"/>
  <c r="L275" i="1" s="1"/>
  <c r="X275" i="1" s="1"/>
  <c r="K275" i="1"/>
  <c r="G275" i="1"/>
  <c r="D275" i="1"/>
  <c r="C275" i="1"/>
  <c r="B275" i="1"/>
  <c r="P274" i="1"/>
  <c r="O274" i="1"/>
  <c r="O273" i="1" s="1"/>
  <c r="N274" i="1"/>
  <c r="N273" i="1" s="1"/>
  <c r="J274" i="1"/>
  <c r="I274" i="1"/>
  <c r="I273" i="1" s="1"/>
  <c r="H274" i="1"/>
  <c r="H273" i="1" s="1"/>
  <c r="G274" i="1"/>
  <c r="F274" i="1"/>
  <c r="P273" i="1"/>
  <c r="J273" i="1"/>
  <c r="G273" i="1"/>
  <c r="F273" i="1"/>
  <c r="Q272" i="1"/>
  <c r="N272" i="1"/>
  <c r="N267" i="1" s="1"/>
  <c r="N266" i="1" s="1"/>
  <c r="C272" i="1"/>
  <c r="B272" i="1"/>
  <c r="L271" i="1"/>
  <c r="K271" i="1"/>
  <c r="D271" i="1"/>
  <c r="C271" i="1"/>
  <c r="B271" i="1"/>
  <c r="L270" i="1"/>
  <c r="K167" i="3" s="1"/>
  <c r="W167" i="3" s="1"/>
  <c r="K270" i="1"/>
  <c r="D270" i="1"/>
  <c r="C270" i="1"/>
  <c r="B270" i="1"/>
  <c r="L269" i="1"/>
  <c r="K269" i="1"/>
  <c r="D269" i="1"/>
  <c r="C269" i="1"/>
  <c r="B269" i="1"/>
  <c r="L268" i="1"/>
  <c r="K268" i="1"/>
  <c r="F268" i="1"/>
  <c r="E16" i="3" s="1"/>
  <c r="D268" i="1"/>
  <c r="C268" i="1"/>
  <c r="B268" i="1"/>
  <c r="Q267" i="1"/>
  <c r="Q266" i="1" s="1"/>
  <c r="P267" i="1"/>
  <c r="P266" i="1" s="1"/>
  <c r="O267" i="1"/>
  <c r="O266" i="1" s="1"/>
  <c r="J267" i="1"/>
  <c r="J266" i="1" s="1"/>
  <c r="I267" i="1"/>
  <c r="I266" i="1" s="1"/>
  <c r="H267" i="1"/>
  <c r="Y267" i="1" s="1"/>
  <c r="G267" i="1"/>
  <c r="G266" i="1" s="1"/>
  <c r="H266" i="1"/>
  <c r="L265" i="1"/>
  <c r="X265" i="1" s="1"/>
  <c r="C265" i="1"/>
  <c r="B265" i="1"/>
  <c r="Q264" i="1"/>
  <c r="L264" i="1" s="1"/>
  <c r="X264" i="1" s="1"/>
  <c r="K264" i="1"/>
  <c r="D264" i="1"/>
  <c r="C264" i="1"/>
  <c r="B264" i="1"/>
  <c r="Q263" i="1"/>
  <c r="P180" i="3" s="1"/>
  <c r="P173" i="3" s="1"/>
  <c r="K263" i="1"/>
  <c r="Q262" i="1"/>
  <c r="P179" i="3" s="1"/>
  <c r="K262" i="1"/>
  <c r="L261" i="1"/>
  <c r="X261" i="1" s="1"/>
  <c r="L260" i="1"/>
  <c r="K260" i="1"/>
  <c r="Q259" i="1"/>
  <c r="L259" i="1" s="1"/>
  <c r="X259" i="1" s="1"/>
  <c r="Q258" i="1"/>
  <c r="L258" i="1" s="1"/>
  <c r="X258" i="1" s="1"/>
  <c r="L257" i="1"/>
  <c r="X257" i="1" s="1"/>
  <c r="L256" i="1"/>
  <c r="K256" i="1"/>
  <c r="D256" i="1"/>
  <c r="C256" i="1"/>
  <c r="B256" i="1"/>
  <c r="L255" i="1"/>
  <c r="X255" i="1" s="1"/>
  <c r="K255" i="1"/>
  <c r="L254" i="1"/>
  <c r="X254" i="1" s="1"/>
  <c r="K254" i="1"/>
  <c r="D254" i="1"/>
  <c r="C254" i="1"/>
  <c r="B254" i="1"/>
  <c r="L253" i="1"/>
  <c r="X253" i="1" s="1"/>
  <c r="K253" i="1"/>
  <c r="L252" i="1"/>
  <c r="X252" i="1" s="1"/>
  <c r="D252" i="1"/>
  <c r="C252" i="1"/>
  <c r="B252" i="1"/>
  <c r="Q251" i="1"/>
  <c r="P165" i="3" s="1"/>
  <c r="D251" i="1"/>
  <c r="C251" i="1"/>
  <c r="B251" i="1"/>
  <c r="Q250" i="1"/>
  <c r="P164" i="3" s="1"/>
  <c r="D250" i="1"/>
  <c r="C250" i="1"/>
  <c r="B250" i="1"/>
  <c r="Q249" i="1"/>
  <c r="P163" i="3" s="1"/>
  <c r="D249" i="1"/>
  <c r="C249" i="1"/>
  <c r="B249" i="1"/>
  <c r="Q248" i="1"/>
  <c r="P162" i="3" s="1"/>
  <c r="D248" i="1"/>
  <c r="C248" i="1"/>
  <c r="B248" i="1"/>
  <c r="Q247" i="1"/>
  <c r="L247" i="1" s="1"/>
  <c r="X247" i="1" s="1"/>
  <c r="D247" i="1"/>
  <c r="C247" i="1"/>
  <c r="B247" i="1"/>
  <c r="L246" i="1"/>
  <c r="K246" i="1"/>
  <c r="N245" i="1"/>
  <c r="M154" i="3" s="1"/>
  <c r="K245" i="1"/>
  <c r="D245" i="1"/>
  <c r="C245" i="1"/>
  <c r="B245" i="1"/>
  <c r="L244" i="1"/>
  <c r="X244" i="1" s="1"/>
  <c r="L243" i="1"/>
  <c r="K151" i="3" s="1"/>
  <c r="W151" i="3" s="1"/>
  <c r="K243" i="1"/>
  <c r="D243" i="1"/>
  <c r="C243" i="1"/>
  <c r="B243" i="1"/>
  <c r="Q242" i="1"/>
  <c r="L242" i="1" s="1"/>
  <c r="X242" i="1" s="1"/>
  <c r="D242" i="1"/>
  <c r="C242" i="1"/>
  <c r="B242" i="1"/>
  <c r="L241" i="1"/>
  <c r="X241" i="1" s="1"/>
  <c r="D241" i="1"/>
  <c r="C241" i="1"/>
  <c r="B241" i="1"/>
  <c r="P240" i="1"/>
  <c r="O240" i="1"/>
  <c r="N240" i="1"/>
  <c r="J240" i="1"/>
  <c r="I240" i="1"/>
  <c r="H240" i="1"/>
  <c r="G240" i="1"/>
  <c r="F240" i="1"/>
  <c r="P239" i="1"/>
  <c r="P238" i="1" s="1"/>
  <c r="O239" i="1"/>
  <c r="O238" i="1" s="1"/>
  <c r="J239" i="1"/>
  <c r="J238" i="1" s="1"/>
  <c r="I239" i="1"/>
  <c r="I238" i="1" s="1"/>
  <c r="H239" i="1"/>
  <c r="H238" i="1" s="1"/>
  <c r="G239" i="1"/>
  <c r="G238" i="1" s="1"/>
  <c r="F239" i="1"/>
  <c r="F238" i="1" s="1"/>
  <c r="L237" i="1"/>
  <c r="X237" i="1" s="1"/>
  <c r="K237" i="1"/>
  <c r="D237" i="1"/>
  <c r="C237" i="1"/>
  <c r="B237" i="1"/>
  <c r="Q236" i="1"/>
  <c r="L236" i="1" s="1"/>
  <c r="X236" i="1" s="1"/>
  <c r="K236" i="1"/>
  <c r="G236" i="1"/>
  <c r="G235" i="1" s="1"/>
  <c r="G234" i="1" s="1"/>
  <c r="D236" i="1"/>
  <c r="C236" i="1"/>
  <c r="B236" i="1"/>
  <c r="Q235" i="1"/>
  <c r="Q234" i="1" s="1"/>
  <c r="P235" i="1"/>
  <c r="P234" i="1" s="1"/>
  <c r="O235" i="1"/>
  <c r="O234" i="1" s="1"/>
  <c r="N235" i="1"/>
  <c r="N234" i="1" s="1"/>
  <c r="J235" i="1"/>
  <c r="J234" i="1" s="1"/>
  <c r="I235" i="1"/>
  <c r="I234" i="1" s="1"/>
  <c r="H235" i="1"/>
  <c r="F235" i="1"/>
  <c r="F234" i="1" s="1"/>
  <c r="Q233" i="1"/>
  <c r="P220" i="3" s="1"/>
  <c r="P219" i="3" s="1"/>
  <c r="D233" i="1"/>
  <c r="C233" i="1"/>
  <c r="B233" i="1"/>
  <c r="Q232" i="1"/>
  <c r="P202" i="3" s="1"/>
  <c r="N232" i="1"/>
  <c r="D232" i="1"/>
  <c r="C232" i="1"/>
  <c r="B232" i="1"/>
  <c r="L231" i="1"/>
  <c r="K201" i="3" s="1"/>
  <c r="W201" i="3" s="1"/>
  <c r="K231" i="1"/>
  <c r="D231" i="1"/>
  <c r="C231" i="1"/>
  <c r="B231" i="1"/>
  <c r="Q230" i="1"/>
  <c r="N230" i="1"/>
  <c r="L229" i="1"/>
  <c r="X229" i="1" s="1"/>
  <c r="D229" i="1"/>
  <c r="C229" i="1"/>
  <c r="B229" i="1"/>
  <c r="L228" i="1"/>
  <c r="K228" i="1"/>
  <c r="D228" i="1"/>
  <c r="C228" i="1"/>
  <c r="B228" i="1"/>
  <c r="Q227" i="1"/>
  <c r="L227" i="1" s="1"/>
  <c r="Q226" i="1"/>
  <c r="L226" i="1" s="1"/>
  <c r="X226" i="1" s="1"/>
  <c r="D226" i="1"/>
  <c r="C226" i="1"/>
  <c r="B226" i="1"/>
  <c r="L225" i="1"/>
  <c r="X225" i="1" s="1"/>
  <c r="K225" i="1"/>
  <c r="D225" i="1"/>
  <c r="C225" i="1"/>
  <c r="B225" i="1"/>
  <c r="Q224" i="1"/>
  <c r="P166" i="3" s="1"/>
  <c r="D224" i="1"/>
  <c r="C224" i="1"/>
  <c r="B224" i="1"/>
  <c r="L223" i="1"/>
  <c r="X223" i="1" s="1"/>
  <c r="D223" i="1"/>
  <c r="C223" i="1"/>
  <c r="B223" i="1"/>
  <c r="Q222" i="1"/>
  <c r="L222" i="1" s="1"/>
  <c r="X222" i="1" s="1"/>
  <c r="D222" i="1"/>
  <c r="C222" i="1"/>
  <c r="B222" i="1"/>
  <c r="L221" i="1"/>
  <c r="X221" i="1" s="1"/>
  <c r="K221" i="1"/>
  <c r="D221" i="1"/>
  <c r="C221" i="1"/>
  <c r="B221" i="1"/>
  <c r="L220" i="1"/>
  <c r="K150" i="3" s="1"/>
  <c r="W150" i="3" s="1"/>
  <c r="K220" i="1"/>
  <c r="L219" i="1"/>
  <c r="K149" i="3" s="1"/>
  <c r="W149" i="3" s="1"/>
  <c r="K219" i="1"/>
  <c r="C219" i="1"/>
  <c r="B219" i="1"/>
  <c r="Q218" i="1"/>
  <c r="P155" i="3" s="1"/>
  <c r="K218" i="1"/>
  <c r="D218" i="1"/>
  <c r="C218" i="1"/>
  <c r="B218" i="1"/>
  <c r="Q217" i="1"/>
  <c r="P148" i="3" s="1"/>
  <c r="K217" i="1"/>
  <c r="G217" i="1"/>
  <c r="F148" i="3" s="1"/>
  <c r="D217" i="1"/>
  <c r="C217" i="1"/>
  <c r="B217" i="1"/>
  <c r="L216" i="1"/>
  <c r="K147" i="3" s="1"/>
  <c r="K216" i="1"/>
  <c r="D216" i="1"/>
  <c r="C216" i="1"/>
  <c r="B216" i="1"/>
  <c r="L215" i="1"/>
  <c r="K146" i="3" s="1"/>
  <c r="K215" i="1"/>
  <c r="D215" i="1"/>
  <c r="C215" i="1"/>
  <c r="B215" i="1"/>
  <c r="Q214" i="1"/>
  <c r="P145" i="3" s="1"/>
  <c r="D214" i="1"/>
  <c r="C214" i="1"/>
  <c r="B214" i="1"/>
  <c r="L213" i="1"/>
  <c r="K144" i="3" s="1"/>
  <c r="K213" i="1"/>
  <c r="D213" i="1"/>
  <c r="C213" i="1"/>
  <c r="B213" i="1"/>
  <c r="L212" i="1"/>
  <c r="K143" i="3" s="1"/>
  <c r="K212" i="1"/>
  <c r="D212" i="1"/>
  <c r="C212" i="1"/>
  <c r="B212" i="1"/>
  <c r="Q211" i="1"/>
  <c r="P142" i="3" s="1"/>
  <c r="D211" i="1"/>
  <c r="C211" i="1"/>
  <c r="B211" i="1"/>
  <c r="L210" i="1"/>
  <c r="K210" i="1"/>
  <c r="D210" i="1"/>
  <c r="C210" i="1"/>
  <c r="B210" i="1"/>
  <c r="Q209" i="1"/>
  <c r="L209" i="1" s="1"/>
  <c r="K209" i="1"/>
  <c r="G209" i="1"/>
  <c r="D209" i="1"/>
  <c r="C209" i="1"/>
  <c r="B209" i="1"/>
  <c r="P208" i="1"/>
  <c r="O208" i="1"/>
  <c r="N208" i="1"/>
  <c r="J208" i="1"/>
  <c r="I208" i="1"/>
  <c r="H208" i="1"/>
  <c r="G208" i="1"/>
  <c r="F208" i="1"/>
  <c r="P207" i="1"/>
  <c r="O207" i="1"/>
  <c r="O206" i="1" s="1"/>
  <c r="J207" i="1"/>
  <c r="J206" i="1" s="1"/>
  <c r="I207" i="1"/>
  <c r="I206" i="1" s="1"/>
  <c r="H207" i="1"/>
  <c r="F207" i="1"/>
  <c r="F206" i="1" s="1"/>
  <c r="P206" i="1"/>
  <c r="L205" i="1"/>
  <c r="X205" i="1" s="1"/>
  <c r="D205" i="1"/>
  <c r="C205" i="1"/>
  <c r="B205" i="1"/>
  <c r="L204" i="1"/>
  <c r="X204" i="1" s="1"/>
  <c r="K204" i="1"/>
  <c r="L203" i="1"/>
  <c r="X203" i="1" s="1"/>
  <c r="K203" i="1"/>
  <c r="L202" i="1"/>
  <c r="K202" i="1"/>
  <c r="D202" i="1"/>
  <c r="C202" i="1"/>
  <c r="B202" i="1"/>
  <c r="L201" i="1"/>
  <c r="K201" i="1"/>
  <c r="G201" i="1"/>
  <c r="F131" i="3" s="1"/>
  <c r="D201" i="1"/>
  <c r="C201" i="1"/>
  <c r="B201" i="1"/>
  <c r="Q200" i="1"/>
  <c r="P129" i="3" s="1"/>
  <c r="K200" i="1"/>
  <c r="G200" i="1"/>
  <c r="F129" i="3" s="1"/>
  <c r="D200" i="1"/>
  <c r="C200" i="1"/>
  <c r="B200" i="1"/>
  <c r="Q199" i="1"/>
  <c r="P28" i="3" s="1"/>
  <c r="K199" i="1"/>
  <c r="G199" i="1"/>
  <c r="F28" i="3" s="1"/>
  <c r="D199" i="1"/>
  <c r="C199" i="1"/>
  <c r="B199" i="1"/>
  <c r="L198" i="1"/>
  <c r="K198" i="1"/>
  <c r="G198" i="1"/>
  <c r="D198" i="1"/>
  <c r="C198" i="1"/>
  <c r="B198" i="1"/>
  <c r="Q197" i="1"/>
  <c r="P197" i="1"/>
  <c r="O197" i="1"/>
  <c r="N197" i="1"/>
  <c r="K197" i="1"/>
  <c r="G197" i="1"/>
  <c r="F197" i="1"/>
  <c r="P196" i="1"/>
  <c r="P195" i="1" s="1"/>
  <c r="O196" i="1"/>
  <c r="O195" i="1" s="1"/>
  <c r="N196" i="1"/>
  <c r="N195" i="1" s="1"/>
  <c r="J196" i="1"/>
  <c r="I196" i="1"/>
  <c r="I195" i="1" s="1"/>
  <c r="H196" i="1"/>
  <c r="H195" i="1" s="1"/>
  <c r="F196" i="1"/>
  <c r="F195" i="1" s="1"/>
  <c r="J195" i="1"/>
  <c r="L194" i="1"/>
  <c r="K153" i="3" s="1"/>
  <c r="K194" i="1"/>
  <c r="L193" i="1"/>
  <c r="K193" i="1"/>
  <c r="L192" i="1"/>
  <c r="K106" i="3" s="1"/>
  <c r="K192" i="1"/>
  <c r="D192" i="1"/>
  <c r="C192" i="1"/>
  <c r="B192" i="1"/>
  <c r="L191" i="1"/>
  <c r="K105" i="3" s="1"/>
  <c r="W105" i="3" s="1"/>
  <c r="K191" i="1"/>
  <c r="Q190" i="1"/>
  <c r="L190" i="1" s="1"/>
  <c r="K190" i="1"/>
  <c r="G190" i="1"/>
  <c r="G188" i="1" s="1"/>
  <c r="G187" i="1" s="1"/>
  <c r="D190" i="1"/>
  <c r="C190" i="1"/>
  <c r="B190" i="1"/>
  <c r="Q189" i="1"/>
  <c r="P189" i="1"/>
  <c r="O189" i="1"/>
  <c r="N189" i="1"/>
  <c r="G189" i="1"/>
  <c r="F189" i="1"/>
  <c r="Q188" i="1"/>
  <c r="Q187" i="1" s="1"/>
  <c r="P188" i="1"/>
  <c r="P187" i="1" s="1"/>
  <c r="O188" i="1"/>
  <c r="O187" i="1" s="1"/>
  <c r="N188" i="1"/>
  <c r="N187" i="1" s="1"/>
  <c r="J188" i="1"/>
  <c r="J187" i="1" s="1"/>
  <c r="I188" i="1"/>
  <c r="I187" i="1" s="1"/>
  <c r="H188" i="1"/>
  <c r="H187" i="1" s="1"/>
  <c r="F188" i="1"/>
  <c r="F187" i="1" s="1"/>
  <c r="L186" i="1"/>
  <c r="K186" i="1"/>
  <c r="D186" i="1"/>
  <c r="C186" i="1"/>
  <c r="B186" i="1"/>
  <c r="L185" i="1"/>
  <c r="X185" i="1" s="1"/>
  <c r="Q184" i="1"/>
  <c r="L184" i="1" s="1"/>
  <c r="X184" i="1" s="1"/>
  <c r="L183" i="1"/>
  <c r="X183" i="1" s="1"/>
  <c r="K183" i="1"/>
  <c r="D183" i="1"/>
  <c r="C183" i="1"/>
  <c r="B183" i="1"/>
  <c r="L182" i="1"/>
  <c r="X182" i="1" s="1"/>
  <c r="K182" i="1"/>
  <c r="D182" i="1"/>
  <c r="C182" i="1"/>
  <c r="B182" i="1"/>
  <c r="L181" i="1"/>
  <c r="K181" i="1"/>
  <c r="D181" i="1"/>
  <c r="C181" i="1"/>
  <c r="B181" i="1"/>
  <c r="Q180" i="1"/>
  <c r="P126" i="3" s="1"/>
  <c r="K180" i="1"/>
  <c r="G180" i="1"/>
  <c r="F126" i="3" s="1"/>
  <c r="D180" i="1"/>
  <c r="C180" i="1"/>
  <c r="B180" i="1"/>
  <c r="L179" i="1"/>
  <c r="K125" i="3" s="1"/>
  <c r="K179" i="1"/>
  <c r="D179" i="1"/>
  <c r="L178" i="1"/>
  <c r="K124" i="3" s="1"/>
  <c r="K178" i="1"/>
  <c r="C178" i="1"/>
  <c r="B178" i="1"/>
  <c r="L177" i="1"/>
  <c r="K123" i="3" s="1"/>
  <c r="K177" i="1"/>
  <c r="L176" i="1"/>
  <c r="K122" i="3" s="1"/>
  <c r="K176" i="1"/>
  <c r="L175" i="1"/>
  <c r="K121" i="3" s="1"/>
  <c r="K175" i="1"/>
  <c r="D175" i="1"/>
  <c r="L174" i="1"/>
  <c r="K120" i="3" s="1"/>
  <c r="K174" i="1"/>
  <c r="L173" i="1"/>
  <c r="K119" i="3" s="1"/>
  <c r="K173" i="1"/>
  <c r="D173" i="1"/>
  <c r="L172" i="1"/>
  <c r="K118" i="3" s="1"/>
  <c r="K172" i="1"/>
  <c r="L171" i="1"/>
  <c r="K171" i="1"/>
  <c r="D171" i="1"/>
  <c r="C171" i="1"/>
  <c r="B171" i="1"/>
  <c r="L170" i="1"/>
  <c r="K116" i="3" s="1"/>
  <c r="K170" i="1"/>
  <c r="D170" i="1"/>
  <c r="C170" i="1"/>
  <c r="B170" i="1"/>
  <c r="L169" i="1"/>
  <c r="K115" i="3" s="1"/>
  <c r="K169" i="1"/>
  <c r="D169" i="1"/>
  <c r="C169" i="1"/>
  <c r="B169" i="1"/>
  <c r="L168" i="1"/>
  <c r="K114" i="3" s="1"/>
  <c r="K168" i="1"/>
  <c r="D168" i="1"/>
  <c r="C168" i="1"/>
  <c r="B168" i="1"/>
  <c r="L167" i="1"/>
  <c r="K113" i="3" s="1"/>
  <c r="K167" i="1"/>
  <c r="D167" i="1"/>
  <c r="C167" i="1"/>
  <c r="B167" i="1"/>
  <c r="L166" i="1"/>
  <c r="K112" i="3" s="1"/>
  <c r="K166" i="1"/>
  <c r="D166" i="1"/>
  <c r="C166" i="1"/>
  <c r="B166" i="1"/>
  <c r="L165" i="1"/>
  <c r="K111" i="3" s="1"/>
  <c r="K165" i="1"/>
  <c r="D165" i="1"/>
  <c r="C165" i="1"/>
  <c r="B165" i="1"/>
  <c r="L164" i="1"/>
  <c r="K110" i="3" s="1"/>
  <c r="K164" i="1"/>
  <c r="D164" i="1"/>
  <c r="C164" i="1"/>
  <c r="B164" i="1"/>
  <c r="Q163" i="1"/>
  <c r="P104" i="3" s="1"/>
  <c r="K163" i="1"/>
  <c r="G163" i="1"/>
  <c r="F104" i="3" s="1"/>
  <c r="D163" i="1"/>
  <c r="C163" i="1"/>
  <c r="B163" i="1"/>
  <c r="L162" i="1"/>
  <c r="K103" i="3" s="1"/>
  <c r="K162" i="1"/>
  <c r="D162" i="1"/>
  <c r="C162" i="1"/>
  <c r="B162" i="1"/>
  <c r="L161" i="1"/>
  <c r="K102" i="3" s="1"/>
  <c r="K161" i="1"/>
  <c r="L160" i="1"/>
  <c r="K101" i="3" s="1"/>
  <c r="K160" i="1"/>
  <c r="L159" i="1"/>
  <c r="K100" i="3" s="1"/>
  <c r="K159" i="1"/>
  <c r="D159" i="1"/>
  <c r="L158" i="1"/>
  <c r="K99" i="3" s="1"/>
  <c r="K158" i="1"/>
  <c r="D158" i="1"/>
  <c r="C158" i="1"/>
  <c r="B158" i="1"/>
  <c r="L157" i="1"/>
  <c r="K98" i="3" s="1"/>
  <c r="K157" i="1"/>
  <c r="D157" i="1"/>
  <c r="L156" i="1"/>
  <c r="K97" i="3" s="1"/>
  <c r="K156" i="1"/>
  <c r="D156" i="1"/>
  <c r="C156" i="1"/>
  <c r="B156" i="1"/>
  <c r="L155" i="1"/>
  <c r="K96" i="3" s="1"/>
  <c r="K155" i="1"/>
  <c r="D155" i="1"/>
  <c r="L154" i="1"/>
  <c r="K95" i="3" s="1"/>
  <c r="K154" i="1"/>
  <c r="D154" i="1"/>
  <c r="C154" i="1"/>
  <c r="B154" i="1"/>
  <c r="L153" i="1"/>
  <c r="K94" i="3" s="1"/>
  <c r="K153" i="1"/>
  <c r="D153" i="1"/>
  <c r="L152" i="1"/>
  <c r="K93" i="3" s="1"/>
  <c r="K152" i="1"/>
  <c r="D152" i="1"/>
  <c r="C152" i="1"/>
  <c r="B152" i="1"/>
  <c r="L151" i="1"/>
  <c r="K92" i="3" s="1"/>
  <c r="K151" i="1"/>
  <c r="D151" i="1"/>
  <c r="L150" i="1"/>
  <c r="K91" i="3" s="1"/>
  <c r="K150" i="1"/>
  <c r="D150" i="1"/>
  <c r="C150" i="1"/>
  <c r="B150" i="1"/>
  <c r="L149" i="1"/>
  <c r="K90" i="3" s="1"/>
  <c r="K149" i="1"/>
  <c r="D149" i="1"/>
  <c r="C149" i="1"/>
  <c r="B149" i="1"/>
  <c r="L148" i="1"/>
  <c r="K89" i="3" s="1"/>
  <c r="K148" i="1"/>
  <c r="L147" i="1"/>
  <c r="K88" i="3" s="1"/>
  <c r="K147" i="1"/>
  <c r="L146" i="1"/>
  <c r="K87" i="3" s="1"/>
  <c r="K146" i="1"/>
  <c r="D146" i="1"/>
  <c r="L145" i="1"/>
  <c r="K86" i="3" s="1"/>
  <c r="K145" i="1"/>
  <c r="D145" i="1"/>
  <c r="C145" i="1"/>
  <c r="B145" i="1"/>
  <c r="L144" i="1"/>
  <c r="K85" i="3" s="1"/>
  <c r="K144" i="1"/>
  <c r="D144" i="1"/>
  <c r="L143" i="1"/>
  <c r="K84" i="3" s="1"/>
  <c r="K143" i="1"/>
  <c r="D143" i="1"/>
  <c r="C143" i="1"/>
  <c r="B143" i="1"/>
  <c r="L142" i="1"/>
  <c r="K83" i="3" s="1"/>
  <c r="K142" i="1"/>
  <c r="D142" i="1"/>
  <c r="L141" i="1"/>
  <c r="K82" i="3" s="1"/>
  <c r="K141" i="1"/>
  <c r="D141" i="1"/>
  <c r="C141" i="1"/>
  <c r="B141" i="1"/>
  <c r="L140" i="1"/>
  <c r="K81" i="3" s="1"/>
  <c r="K140" i="1"/>
  <c r="D140" i="1"/>
  <c r="L139" i="1"/>
  <c r="K80" i="3" s="1"/>
  <c r="K139" i="1"/>
  <c r="D139" i="1"/>
  <c r="C139" i="1"/>
  <c r="B139" i="1"/>
  <c r="L138" i="1"/>
  <c r="K79" i="3" s="1"/>
  <c r="K138" i="1"/>
  <c r="D138" i="1"/>
  <c r="L137" i="1"/>
  <c r="K78" i="3" s="1"/>
  <c r="K137" i="1"/>
  <c r="D137" i="1"/>
  <c r="C137" i="1"/>
  <c r="B137" i="1"/>
  <c r="L136" i="1"/>
  <c r="K77" i="3" s="1"/>
  <c r="K136" i="1"/>
  <c r="D136" i="1"/>
  <c r="L135" i="1"/>
  <c r="K76" i="3" s="1"/>
  <c r="K135" i="1"/>
  <c r="D135" i="1"/>
  <c r="C135" i="1"/>
  <c r="B135" i="1"/>
  <c r="L134" i="1"/>
  <c r="K75" i="3" s="1"/>
  <c r="K134" i="1"/>
  <c r="D134" i="1"/>
  <c r="L133" i="1"/>
  <c r="K74" i="3" s="1"/>
  <c r="K133" i="1"/>
  <c r="D133" i="1"/>
  <c r="C133" i="1"/>
  <c r="B133" i="1"/>
  <c r="L132" i="1"/>
  <c r="K132" i="1"/>
  <c r="D132" i="1"/>
  <c r="C132" i="1"/>
  <c r="B132" i="1"/>
  <c r="L131" i="1"/>
  <c r="K72" i="3" s="1"/>
  <c r="K131" i="1"/>
  <c r="D131" i="1"/>
  <c r="C131" i="1"/>
  <c r="B131" i="1"/>
  <c r="L130" i="1"/>
  <c r="K130" i="1"/>
  <c r="D130" i="1"/>
  <c r="C130" i="1"/>
  <c r="B130" i="1"/>
  <c r="L129" i="1"/>
  <c r="K70" i="3" s="1"/>
  <c r="K129" i="1"/>
  <c r="D129" i="1"/>
  <c r="C129" i="1"/>
  <c r="B129" i="1"/>
  <c r="L128" i="1"/>
  <c r="K69" i="3" s="1"/>
  <c r="K128" i="1"/>
  <c r="D128" i="1"/>
  <c r="C128" i="1"/>
  <c r="B128" i="1"/>
  <c r="L127" i="1"/>
  <c r="K68" i="3" s="1"/>
  <c r="K127" i="1"/>
  <c r="D127" i="1"/>
  <c r="L126" i="1"/>
  <c r="K67" i="3" s="1"/>
  <c r="K126" i="1"/>
  <c r="D126" i="1"/>
  <c r="C126" i="1"/>
  <c r="B126" i="1"/>
  <c r="L125" i="1"/>
  <c r="K66" i="3" s="1"/>
  <c r="K125" i="1"/>
  <c r="D125" i="1"/>
  <c r="L124" i="1"/>
  <c r="K65" i="3" s="1"/>
  <c r="K124" i="1"/>
  <c r="D124" i="1"/>
  <c r="C124" i="1"/>
  <c r="B124" i="1"/>
  <c r="L123" i="1"/>
  <c r="K64" i="3" s="1"/>
  <c r="K123" i="1"/>
  <c r="D123" i="1"/>
  <c r="L122" i="1"/>
  <c r="K63" i="3" s="1"/>
  <c r="K122" i="1"/>
  <c r="D122" i="1"/>
  <c r="C122" i="1"/>
  <c r="B122" i="1"/>
  <c r="L121" i="1"/>
  <c r="K62" i="3" s="1"/>
  <c r="K121" i="1"/>
  <c r="D121" i="1"/>
  <c r="L120" i="1"/>
  <c r="K61" i="3" s="1"/>
  <c r="K120" i="1"/>
  <c r="D120" i="1"/>
  <c r="C120" i="1"/>
  <c r="B120" i="1"/>
  <c r="Q119" i="1"/>
  <c r="K119" i="1"/>
  <c r="G119" i="1"/>
  <c r="D119" i="1"/>
  <c r="C119" i="1"/>
  <c r="B119" i="1"/>
  <c r="Q118" i="1"/>
  <c r="P118" i="1"/>
  <c r="O118" i="1"/>
  <c r="N118" i="1"/>
  <c r="J118" i="1"/>
  <c r="I118" i="1"/>
  <c r="H118" i="1"/>
  <c r="G118" i="1"/>
  <c r="F118" i="1"/>
  <c r="P117" i="1"/>
  <c r="P116" i="1" s="1"/>
  <c r="O117" i="1"/>
  <c r="O116" i="1" s="1"/>
  <c r="N117" i="1"/>
  <c r="N116" i="1" s="1"/>
  <c r="J117" i="1"/>
  <c r="J116" i="1" s="1"/>
  <c r="I117" i="1"/>
  <c r="I116" i="1" s="1"/>
  <c r="H117" i="1"/>
  <c r="H116" i="1" s="1"/>
  <c r="F117" i="1"/>
  <c r="F116" i="1" s="1"/>
  <c r="L115" i="1"/>
  <c r="X115" i="1" s="1"/>
  <c r="K115" i="1"/>
  <c r="L114" i="1"/>
  <c r="K218" i="3" s="1"/>
  <c r="K114" i="1"/>
  <c r="L113" i="1"/>
  <c r="K217" i="3" s="1"/>
  <c r="K113" i="1"/>
  <c r="L112" i="1"/>
  <c r="K216" i="3" s="1"/>
  <c r="K112" i="1"/>
  <c r="L111" i="1"/>
  <c r="K215" i="3" s="1"/>
  <c r="K111" i="1"/>
  <c r="L110" i="1"/>
  <c r="X110" i="1" s="1"/>
  <c r="K110" i="1"/>
  <c r="Q109" i="1"/>
  <c r="P193" i="3" s="1"/>
  <c r="P192" i="3" s="1"/>
  <c r="D109" i="1"/>
  <c r="C109" i="1"/>
  <c r="B109" i="1"/>
  <c r="Q108" i="1"/>
  <c r="L108" i="1" s="1"/>
  <c r="X108" i="1" s="1"/>
  <c r="D108" i="1"/>
  <c r="C108" i="1"/>
  <c r="B108" i="1"/>
  <c r="L107" i="1"/>
  <c r="X107" i="1" s="1"/>
  <c r="Q106" i="1"/>
  <c r="L106" i="1" s="1"/>
  <c r="X106" i="1" s="1"/>
  <c r="D106" i="1"/>
  <c r="C106" i="1"/>
  <c r="B106" i="1"/>
  <c r="L105" i="1"/>
  <c r="K58" i="3" s="1"/>
  <c r="K105" i="1"/>
  <c r="Q104" i="1"/>
  <c r="P57" i="3" s="1"/>
  <c r="K104" i="1"/>
  <c r="D104" i="1"/>
  <c r="C104" i="1"/>
  <c r="B104" i="1"/>
  <c r="L103" i="1"/>
  <c r="K56" i="3" s="1"/>
  <c r="W56" i="3" s="1"/>
  <c r="K103" i="1"/>
  <c r="L102" i="1"/>
  <c r="K55" i="3" s="1"/>
  <c r="K102" i="1"/>
  <c r="D102" i="1"/>
  <c r="C102" i="1"/>
  <c r="B102" i="1"/>
  <c r="L101" i="1"/>
  <c r="K54" i="3" s="1"/>
  <c r="K101" i="1"/>
  <c r="D101" i="1"/>
  <c r="L100" i="1"/>
  <c r="K53" i="3" s="1"/>
  <c r="K100" i="1"/>
  <c r="D100" i="1"/>
  <c r="C100" i="1"/>
  <c r="B100" i="1"/>
  <c r="L99" i="1"/>
  <c r="K52" i="3" s="1"/>
  <c r="K99" i="1"/>
  <c r="D99" i="1"/>
  <c r="L98" i="1"/>
  <c r="K51" i="3" s="1"/>
  <c r="K98" i="1"/>
  <c r="D98" i="1"/>
  <c r="C98" i="1"/>
  <c r="B98" i="1"/>
  <c r="L97" i="1"/>
  <c r="K50" i="3" s="1"/>
  <c r="K97" i="1"/>
  <c r="L96" i="1"/>
  <c r="K49" i="3" s="1"/>
  <c r="K96" i="1"/>
  <c r="D96" i="1"/>
  <c r="C96" i="1"/>
  <c r="B96" i="1"/>
  <c r="L95" i="1"/>
  <c r="K48" i="3" s="1"/>
  <c r="K95" i="1"/>
  <c r="Q94" i="1"/>
  <c r="P47" i="3" s="1"/>
  <c r="K94" i="1"/>
  <c r="D94" i="1"/>
  <c r="C94" i="1"/>
  <c r="B94" i="1"/>
  <c r="L93" i="1"/>
  <c r="K46" i="3" s="1"/>
  <c r="K93" i="1"/>
  <c r="Q92" i="1"/>
  <c r="P45" i="3" s="1"/>
  <c r="K92" i="1"/>
  <c r="D92" i="1"/>
  <c r="C92" i="1"/>
  <c r="B92" i="1"/>
  <c r="L91" i="1"/>
  <c r="K44" i="3" s="1"/>
  <c r="K91" i="1"/>
  <c r="L90" i="1"/>
  <c r="K43" i="3" s="1"/>
  <c r="K90" i="1"/>
  <c r="D90" i="1"/>
  <c r="C90" i="1"/>
  <c r="B90" i="1"/>
  <c r="L89" i="1"/>
  <c r="K42" i="3" s="1"/>
  <c r="K89" i="1"/>
  <c r="L88" i="1"/>
  <c r="K41" i="3" s="1"/>
  <c r="K88" i="1"/>
  <c r="D88" i="1"/>
  <c r="C88" i="1"/>
  <c r="B88" i="1"/>
  <c r="L87" i="1"/>
  <c r="K40" i="3" s="1"/>
  <c r="K87" i="1"/>
  <c r="Q86" i="1"/>
  <c r="P39" i="3" s="1"/>
  <c r="K86" i="1"/>
  <c r="D86" i="1"/>
  <c r="C86" i="1"/>
  <c r="B86" i="1"/>
  <c r="L85" i="1"/>
  <c r="K85" i="1"/>
  <c r="D85" i="1"/>
  <c r="C85" i="1"/>
  <c r="B85" i="1"/>
  <c r="Q84" i="1"/>
  <c r="P84" i="1"/>
  <c r="O84" i="1"/>
  <c r="N84" i="1"/>
  <c r="J84" i="1"/>
  <c r="I84" i="1"/>
  <c r="H84" i="1"/>
  <c r="G84" i="1"/>
  <c r="F84" i="1"/>
  <c r="P83" i="1"/>
  <c r="P82" i="1" s="1"/>
  <c r="O83" i="1"/>
  <c r="O82" i="1" s="1"/>
  <c r="N83" i="1"/>
  <c r="N82" i="1" s="1"/>
  <c r="J83" i="1"/>
  <c r="J82" i="1" s="1"/>
  <c r="I83" i="1"/>
  <c r="I82" i="1" s="1"/>
  <c r="H83" i="1"/>
  <c r="H82" i="1" s="1"/>
  <c r="G83" i="1"/>
  <c r="G82" i="1" s="1"/>
  <c r="F83" i="1"/>
  <c r="F82" i="1" s="1"/>
  <c r="L81" i="1"/>
  <c r="K81" i="1"/>
  <c r="D81" i="1"/>
  <c r="C81" i="1"/>
  <c r="B81" i="1"/>
  <c r="L80" i="1"/>
  <c r="X80" i="1" s="1"/>
  <c r="D80" i="1"/>
  <c r="C80" i="1"/>
  <c r="B80" i="1"/>
  <c r="Q79" i="1"/>
  <c r="K79" i="1"/>
  <c r="D79" i="1"/>
  <c r="C79" i="1"/>
  <c r="B79" i="1"/>
  <c r="Q78" i="1"/>
  <c r="L78" i="1" s="1"/>
  <c r="X78" i="1" s="1"/>
  <c r="Q77" i="1"/>
  <c r="L77" i="1" s="1"/>
  <c r="X77" i="1" s="1"/>
  <c r="D77" i="1"/>
  <c r="C77" i="1"/>
  <c r="B77" i="1"/>
  <c r="Q76" i="1"/>
  <c r="L76" i="1" s="1"/>
  <c r="X76" i="1" s="1"/>
  <c r="K76" i="1"/>
  <c r="D76" i="1"/>
  <c r="C76" i="1"/>
  <c r="B76" i="1"/>
  <c r="L75" i="1"/>
  <c r="K75" i="1"/>
  <c r="D75" i="1"/>
  <c r="C75" i="1"/>
  <c r="B75" i="1"/>
  <c r="L74" i="1"/>
  <c r="K74" i="1"/>
  <c r="D74" i="1"/>
  <c r="C74" i="1"/>
  <c r="B74" i="1"/>
  <c r="L73" i="1"/>
  <c r="K36" i="3" s="1"/>
  <c r="K73" i="1"/>
  <c r="L72" i="1"/>
  <c r="K35" i="3" s="1"/>
  <c r="K72" i="1"/>
  <c r="L71" i="1"/>
  <c r="X71" i="1" s="1"/>
  <c r="K71" i="1"/>
  <c r="L70" i="1"/>
  <c r="K34" i="3" s="1"/>
  <c r="K70" i="1"/>
  <c r="D70" i="1"/>
  <c r="C70" i="1"/>
  <c r="B70" i="1"/>
  <c r="L69" i="1"/>
  <c r="K33" i="3" s="1"/>
  <c r="W33" i="3" s="1"/>
  <c r="K69" i="1"/>
  <c r="F69" i="1"/>
  <c r="E33" i="3" s="1"/>
  <c r="Q68" i="1"/>
  <c r="P32" i="3" s="1"/>
  <c r="K68" i="1"/>
  <c r="G68" i="1"/>
  <c r="F32" i="3" s="1"/>
  <c r="F68" i="1"/>
  <c r="E32" i="3" s="1"/>
  <c r="C68" i="1"/>
  <c r="B68" i="1"/>
  <c r="L67" i="1"/>
  <c r="K31" i="3" s="1"/>
  <c r="K67" i="1"/>
  <c r="G67" i="1"/>
  <c r="F31" i="3" s="1"/>
  <c r="D67" i="1"/>
  <c r="C67" i="1"/>
  <c r="B67" i="1"/>
  <c r="L66" i="1"/>
  <c r="K30" i="3" s="1"/>
  <c r="K66" i="1"/>
  <c r="Q65" i="1"/>
  <c r="P29" i="3" s="1"/>
  <c r="K65" i="1"/>
  <c r="G65" i="1"/>
  <c r="F29" i="3" s="1"/>
  <c r="D65" i="1"/>
  <c r="C65" i="1"/>
  <c r="B65" i="1"/>
  <c r="L64" i="1"/>
  <c r="K27" i="3" s="1"/>
  <c r="K64" i="1"/>
  <c r="G64" i="1"/>
  <c r="F27" i="3" s="1"/>
  <c r="F64" i="1"/>
  <c r="E27" i="3" s="1"/>
  <c r="D64" i="1"/>
  <c r="C64" i="1"/>
  <c r="B64" i="1"/>
  <c r="L63" i="1"/>
  <c r="K26" i="3" s="1"/>
  <c r="K63" i="1"/>
  <c r="Q62" i="1"/>
  <c r="P25" i="3" s="1"/>
  <c r="K62" i="1"/>
  <c r="G62" i="1"/>
  <c r="F25" i="3" s="1"/>
  <c r="D62" i="1"/>
  <c r="C62" i="1"/>
  <c r="B62" i="1"/>
  <c r="L61" i="1"/>
  <c r="K24" i="3" s="1"/>
  <c r="K61" i="1"/>
  <c r="L60" i="1"/>
  <c r="K23" i="3" s="1"/>
  <c r="K60" i="1"/>
  <c r="D60" i="1"/>
  <c r="C60" i="1"/>
  <c r="B60" i="1"/>
  <c r="L59" i="1"/>
  <c r="K22" i="3" s="1"/>
  <c r="K59" i="1"/>
  <c r="F59" i="1"/>
  <c r="E22" i="3" s="1"/>
  <c r="Q58" i="1"/>
  <c r="P21" i="3" s="1"/>
  <c r="K58" i="1"/>
  <c r="G58" i="1"/>
  <c r="F21" i="3" s="1"/>
  <c r="F58" i="1"/>
  <c r="E21" i="3" s="1"/>
  <c r="D58" i="1"/>
  <c r="C58" i="1"/>
  <c r="B58" i="1"/>
  <c r="Q57" i="1"/>
  <c r="P20" i="3" s="1"/>
  <c r="K57" i="1"/>
  <c r="G57" i="1"/>
  <c r="F20" i="3" s="1"/>
  <c r="D57" i="1"/>
  <c r="C57" i="1"/>
  <c r="B57" i="1"/>
  <c r="L56" i="1"/>
  <c r="K56" i="1"/>
  <c r="G56" i="1"/>
  <c r="D56" i="1"/>
  <c r="C56" i="1"/>
  <c r="B56" i="1"/>
  <c r="P55" i="1"/>
  <c r="O55" i="1"/>
  <c r="N55" i="1"/>
  <c r="J55" i="1"/>
  <c r="I55" i="1"/>
  <c r="H55" i="1"/>
  <c r="G55" i="1"/>
  <c r="P54" i="1"/>
  <c r="P53" i="1" s="1"/>
  <c r="O54" i="1"/>
  <c r="O53" i="1" s="1"/>
  <c r="N54" i="1"/>
  <c r="N53" i="1" s="1"/>
  <c r="J54" i="1"/>
  <c r="I54" i="1"/>
  <c r="I53" i="1" s="1"/>
  <c r="H54" i="1"/>
  <c r="K54" i="1" s="1"/>
  <c r="J53" i="1"/>
  <c r="L52" i="1"/>
  <c r="K52" i="1"/>
  <c r="D52" i="1"/>
  <c r="C52" i="1"/>
  <c r="B52" i="1"/>
  <c r="L51" i="1"/>
  <c r="D51" i="1"/>
  <c r="C51" i="1"/>
  <c r="B51" i="1"/>
  <c r="L50" i="1"/>
  <c r="K204" i="3" s="1"/>
  <c r="K50" i="1"/>
  <c r="D50" i="1"/>
  <c r="C50" i="1"/>
  <c r="B50" i="1"/>
  <c r="N49" i="1"/>
  <c r="D49" i="1"/>
  <c r="C49" i="1"/>
  <c r="B49" i="1"/>
  <c r="L48" i="1"/>
  <c r="K199" i="3" s="1"/>
  <c r="K48" i="1"/>
  <c r="G48" i="1"/>
  <c r="F199" i="3" s="1"/>
  <c r="F198" i="3" s="1"/>
  <c r="D48" i="1"/>
  <c r="C48" i="1"/>
  <c r="B48" i="1"/>
  <c r="L47" i="1"/>
  <c r="K197" i="3" s="1"/>
  <c r="K47" i="1"/>
  <c r="F47" i="1"/>
  <c r="E197" i="3" s="1"/>
  <c r="D47" i="1"/>
  <c r="C47" i="1"/>
  <c r="B47" i="1"/>
  <c r="L46" i="1"/>
  <c r="X46" i="1" s="1"/>
  <c r="K46" i="1"/>
  <c r="D46" i="1"/>
  <c r="C46" i="1"/>
  <c r="B46" i="1"/>
  <c r="L45" i="1"/>
  <c r="X45" i="1" s="1"/>
  <c r="K45" i="1"/>
  <c r="D45" i="1"/>
  <c r="C45" i="1"/>
  <c r="B45" i="1"/>
  <c r="L44" i="1"/>
  <c r="X44" i="1" s="1"/>
  <c r="C44" i="1"/>
  <c r="B44" i="1"/>
  <c r="L43" i="1"/>
  <c r="K189" i="3" s="1"/>
  <c r="K43" i="1"/>
  <c r="D43" i="1"/>
  <c r="C43" i="1"/>
  <c r="B43" i="1"/>
  <c r="Q42" i="1"/>
  <c r="P188" i="3" s="1"/>
  <c r="D42" i="1"/>
  <c r="C42" i="1"/>
  <c r="B42" i="1"/>
  <c r="L41" i="1"/>
  <c r="X41" i="1" s="1"/>
  <c r="K41" i="1"/>
  <c r="D41" i="1"/>
  <c r="C41" i="1"/>
  <c r="B41" i="1"/>
  <c r="L40" i="1"/>
  <c r="K184" i="3" s="1"/>
  <c r="K40" i="1"/>
  <c r="D40" i="1"/>
  <c r="C40" i="1"/>
  <c r="B40" i="1"/>
  <c r="Q39" i="1"/>
  <c r="P182" i="3" s="1"/>
  <c r="P181" i="3" s="1"/>
  <c r="K39" i="1"/>
  <c r="D39" i="1"/>
  <c r="C39" i="1"/>
  <c r="B39" i="1"/>
  <c r="L38" i="1"/>
  <c r="K178" i="3" s="1"/>
  <c r="K38" i="1"/>
  <c r="D38" i="1"/>
  <c r="C38" i="1"/>
  <c r="B38" i="1"/>
  <c r="Q37" i="1"/>
  <c r="P176" i="3" s="1"/>
  <c r="K37" i="1"/>
  <c r="D37" i="1"/>
  <c r="C37" i="1"/>
  <c r="B37" i="1"/>
  <c r="L36" i="1"/>
  <c r="K175" i="3" s="1"/>
  <c r="K36" i="1"/>
  <c r="D36" i="1"/>
  <c r="C36" i="1"/>
  <c r="B36" i="1"/>
  <c r="L35" i="1"/>
  <c r="K174" i="3" s="1"/>
  <c r="K35" i="1"/>
  <c r="D35" i="1"/>
  <c r="C35" i="1"/>
  <c r="B35" i="1"/>
  <c r="L34" i="1"/>
  <c r="K139" i="3" s="1"/>
  <c r="K34" i="1"/>
  <c r="D34" i="1"/>
  <c r="C34" i="1"/>
  <c r="B34" i="1"/>
  <c r="Q33" i="1"/>
  <c r="P138" i="3" s="1"/>
  <c r="K33" i="1"/>
  <c r="D33" i="1"/>
  <c r="C33" i="1"/>
  <c r="B33" i="1"/>
  <c r="Q32" i="1"/>
  <c r="P137" i="3" s="1"/>
  <c r="K32" i="1"/>
  <c r="D32" i="1"/>
  <c r="C32" i="1"/>
  <c r="B32" i="1"/>
  <c r="Q31" i="1"/>
  <c r="L31" i="1" s="1"/>
  <c r="X31" i="1" s="1"/>
  <c r="K31" i="1"/>
  <c r="D31" i="1"/>
  <c r="C31" i="1"/>
  <c r="B31" i="1"/>
  <c r="L30" i="1"/>
  <c r="K135" i="3" s="1"/>
  <c r="K30" i="1"/>
  <c r="D30" i="1"/>
  <c r="C30" i="1"/>
  <c r="B30" i="1"/>
  <c r="L29" i="1"/>
  <c r="K134" i="3" s="1"/>
  <c r="K29" i="1"/>
  <c r="D29" i="1"/>
  <c r="C29" i="1"/>
  <c r="B29" i="1"/>
  <c r="L28" i="1"/>
  <c r="K28" i="1"/>
  <c r="D28" i="1"/>
  <c r="C28" i="1"/>
  <c r="B28" i="1"/>
  <c r="Q27" i="1"/>
  <c r="P131" i="3" s="1"/>
  <c r="K27" i="1"/>
  <c r="D27" i="1"/>
  <c r="C27" i="1"/>
  <c r="B27" i="1"/>
  <c r="L26" i="1"/>
  <c r="K130" i="3" s="1"/>
  <c r="K26" i="1"/>
  <c r="G26" i="1"/>
  <c r="F130" i="3" s="1"/>
  <c r="D26" i="1"/>
  <c r="C26" i="1"/>
  <c r="B26" i="1"/>
  <c r="L25" i="1"/>
  <c r="K25" i="1"/>
  <c r="D25" i="1"/>
  <c r="C25" i="1"/>
  <c r="B25" i="1"/>
  <c r="L24" i="1"/>
  <c r="K24" i="1"/>
  <c r="D24" i="1"/>
  <c r="C24" i="1"/>
  <c r="B24" i="1"/>
  <c r="L23" i="1"/>
  <c r="K23" i="1"/>
  <c r="D23" i="1"/>
  <c r="C23" i="1"/>
  <c r="B23" i="1"/>
  <c r="L22" i="1"/>
  <c r="K108" i="3" s="1"/>
  <c r="K22" i="1"/>
  <c r="D22" i="1"/>
  <c r="C22" i="1"/>
  <c r="B22" i="1"/>
  <c r="L21" i="1"/>
  <c r="K107" i="3" s="1"/>
  <c r="K21" i="1"/>
  <c r="G21" i="1"/>
  <c r="F107" i="3" s="1"/>
  <c r="D21" i="1"/>
  <c r="C21" i="1"/>
  <c r="B21" i="1"/>
  <c r="L20" i="1"/>
  <c r="K20" i="1"/>
  <c r="D20" i="1"/>
  <c r="C20" i="1"/>
  <c r="B20" i="1"/>
  <c r="L19" i="1"/>
  <c r="K19" i="1"/>
  <c r="D19" i="1"/>
  <c r="C19" i="1"/>
  <c r="B19" i="1"/>
  <c r="L18" i="1"/>
  <c r="K17" i="3" s="1"/>
  <c r="K18" i="1"/>
  <c r="D18" i="1"/>
  <c r="C18" i="1"/>
  <c r="B18" i="1"/>
  <c r="L17" i="1"/>
  <c r="X17" i="1" s="1"/>
  <c r="K17" i="1"/>
  <c r="G17" i="1"/>
  <c r="D17" i="1"/>
  <c r="C17" i="1"/>
  <c r="B17" i="1"/>
  <c r="P16" i="1"/>
  <c r="P15" i="1" s="1"/>
  <c r="O16" i="1"/>
  <c r="O15" i="1" s="1"/>
  <c r="J16" i="1"/>
  <c r="J15" i="1" s="1"/>
  <c r="I16" i="1"/>
  <c r="I15" i="1" s="1"/>
  <c r="H16" i="1"/>
  <c r="N239" i="1" l="1"/>
  <c r="N238" i="1" s="1"/>
  <c r="K132" i="3"/>
  <c r="F54" i="1"/>
  <c r="F53" i="1" s="1"/>
  <c r="G117" i="1"/>
  <c r="G116" i="1" s="1"/>
  <c r="Q240" i="1"/>
  <c r="M202" i="3"/>
  <c r="M200" i="3" s="1"/>
  <c r="K117" i="3"/>
  <c r="K152" i="3"/>
  <c r="W152" i="3" s="1"/>
  <c r="Q207" i="1"/>
  <c r="Q206" i="1" s="1"/>
  <c r="G207" i="1"/>
  <c r="G206" i="1" s="1"/>
  <c r="L262" i="1"/>
  <c r="K179" i="3" s="1"/>
  <c r="W179" i="3" s="1"/>
  <c r="W30" i="3"/>
  <c r="X217" i="3"/>
  <c r="W43" i="3"/>
  <c r="W44" i="3"/>
  <c r="W48" i="3"/>
  <c r="Q212" i="3"/>
  <c r="X212" i="3" s="1"/>
  <c r="W35" i="3"/>
  <c r="W122" i="3"/>
  <c r="D212" i="3"/>
  <c r="J212" i="3" s="1"/>
  <c r="X193" i="3"/>
  <c r="F267" i="1"/>
  <c r="F266" i="1" s="1"/>
  <c r="L248" i="1"/>
  <c r="K162" i="3" s="1"/>
  <c r="W162" i="3" s="1"/>
  <c r="X192" i="3"/>
  <c r="X218" i="3"/>
  <c r="T223" i="3"/>
  <c r="L230" i="1"/>
  <c r="X230" i="1" s="1"/>
  <c r="V223" i="3"/>
  <c r="W22" i="3"/>
  <c r="W49" i="3"/>
  <c r="W69" i="3"/>
  <c r="D211" i="3"/>
  <c r="J211" i="3" s="1"/>
  <c r="X153" i="3"/>
  <c r="Q19" i="3"/>
  <c r="X19" i="3" s="1"/>
  <c r="U223" i="3"/>
  <c r="Q60" i="3"/>
  <c r="X60" i="3" s="1"/>
  <c r="Q208" i="3"/>
  <c r="X208" i="3" s="1"/>
  <c r="X209" i="1"/>
  <c r="H53" i="1"/>
  <c r="Y53" i="1" s="1"/>
  <c r="Q208" i="1"/>
  <c r="K177" i="3"/>
  <c r="W177" i="3" s="1"/>
  <c r="W121" i="3"/>
  <c r="W153" i="3"/>
  <c r="Q196" i="1"/>
  <c r="Q195" i="1" s="1"/>
  <c r="G196" i="1"/>
  <c r="G195" i="1" s="1"/>
  <c r="K222" i="3"/>
  <c r="K221" i="3" s="1"/>
  <c r="W221" i="3" s="1"/>
  <c r="F55" i="1"/>
  <c r="L180" i="1"/>
  <c r="X180" i="1" s="1"/>
  <c r="L232" i="1"/>
  <c r="X232" i="1" s="1"/>
  <c r="L274" i="1"/>
  <c r="Q274" i="1"/>
  <c r="Q273" i="1" s="1"/>
  <c r="Y287" i="1"/>
  <c r="X170" i="3"/>
  <c r="L197" i="1"/>
  <c r="X197" i="1" s="1"/>
  <c r="W120" i="3"/>
  <c r="W118" i="3"/>
  <c r="W119" i="3"/>
  <c r="W123" i="3"/>
  <c r="Q38" i="3"/>
  <c r="X38" i="3" s="1"/>
  <c r="W58" i="3"/>
  <c r="X58" i="3"/>
  <c r="J300" i="1"/>
  <c r="W50" i="3"/>
  <c r="S223" i="3"/>
  <c r="D203" i="3"/>
  <c r="J203" i="3" s="1"/>
  <c r="X181" i="3"/>
  <c r="H194" i="3"/>
  <c r="I224" i="3"/>
  <c r="X220" i="3"/>
  <c r="X182" i="3"/>
  <c r="Q140" i="3"/>
  <c r="X140" i="3" s="1"/>
  <c r="R300" i="1"/>
  <c r="F300" i="1"/>
  <c r="W144" i="3"/>
  <c r="M141" i="3"/>
  <c r="I194" i="3"/>
  <c r="H156" i="3"/>
  <c r="I156" i="3"/>
  <c r="I223" i="3" s="1"/>
  <c r="X203" i="3"/>
  <c r="X141" i="3"/>
  <c r="E195" i="3"/>
  <c r="W197" i="3"/>
  <c r="Q133" i="3"/>
  <c r="X133" i="3" s="1"/>
  <c r="W178" i="3"/>
  <c r="W27" i="3"/>
  <c r="F141" i="3"/>
  <c r="N141" i="3"/>
  <c r="P141" i="3"/>
  <c r="E141" i="3"/>
  <c r="O141" i="3"/>
  <c r="D157" i="3"/>
  <c r="J157" i="3" s="1"/>
  <c r="Q15" i="3"/>
  <c r="X15" i="3" s="1"/>
  <c r="D200" i="3"/>
  <c r="F200" i="3"/>
  <c r="X198" i="3"/>
  <c r="X24" i="3"/>
  <c r="X219" i="3"/>
  <c r="Q159" i="3"/>
  <c r="X159" i="3" s="1"/>
  <c r="Q18" i="3"/>
  <c r="X18" i="3" s="1"/>
  <c r="R299" i="1"/>
  <c r="W41" i="3"/>
  <c r="Q37" i="3"/>
  <c r="X37" i="3" s="1"/>
  <c r="X39" i="3"/>
  <c r="X202" i="3"/>
  <c r="W130" i="3"/>
  <c r="X200" i="3"/>
  <c r="Q207" i="3"/>
  <c r="X222" i="3"/>
  <c r="Q183" i="3"/>
  <c r="X183" i="3" s="1"/>
  <c r="Q172" i="3"/>
  <c r="X172" i="3" s="1"/>
  <c r="Q59" i="3"/>
  <c r="X59" i="3" s="1"/>
  <c r="X199" i="3"/>
  <c r="X204" i="3"/>
  <c r="Q195" i="3"/>
  <c r="Q194" i="3" s="1"/>
  <c r="Q128" i="3"/>
  <c r="X128" i="3" s="1"/>
  <c r="K198" i="3"/>
  <c r="K203" i="3"/>
  <c r="K157" i="3"/>
  <c r="W157" i="3" s="1"/>
  <c r="W158" i="3"/>
  <c r="K209" i="3"/>
  <c r="D141" i="3"/>
  <c r="J141" i="3" s="1"/>
  <c r="J181" i="3"/>
  <c r="E200" i="3"/>
  <c r="D221" i="3"/>
  <c r="J221" i="3" s="1"/>
  <c r="G207" i="3"/>
  <c r="H224" i="3"/>
  <c r="G224" i="3"/>
  <c r="D209" i="3"/>
  <c r="J209" i="3" s="1"/>
  <c r="J198" i="3"/>
  <c r="D173" i="3"/>
  <c r="J173" i="3" s="1"/>
  <c r="J180" i="3"/>
  <c r="D219" i="3"/>
  <c r="J219" i="3" s="1"/>
  <c r="J220" i="3"/>
  <c r="J182" i="3"/>
  <c r="M37" i="3"/>
  <c r="P38" i="3"/>
  <c r="E172" i="3"/>
  <c r="D195" i="3"/>
  <c r="J195" i="3" s="1"/>
  <c r="J196" i="3"/>
  <c r="G194" i="3"/>
  <c r="G156" i="3"/>
  <c r="J201" i="3"/>
  <c r="J199" i="3"/>
  <c r="E37" i="3"/>
  <c r="D128" i="3"/>
  <c r="J128" i="3" s="1"/>
  <c r="D172" i="3"/>
  <c r="J172" i="3" s="1"/>
  <c r="M172" i="3"/>
  <c r="O172" i="3"/>
  <c r="X227" i="1"/>
  <c r="L208" i="1"/>
  <c r="X208" i="1" s="1"/>
  <c r="H300" i="1"/>
  <c r="K300" i="1" s="1"/>
  <c r="Y55" i="1"/>
  <c r="K117" i="1"/>
  <c r="Y117" i="1"/>
  <c r="K118" i="1"/>
  <c r="Y118" i="1"/>
  <c r="L188" i="1"/>
  <c r="X188" i="1" s="1"/>
  <c r="K196" i="1"/>
  <c r="Y196" i="1"/>
  <c r="K207" i="1"/>
  <c r="Y207" i="1"/>
  <c r="Y208" i="1"/>
  <c r="K239" i="1"/>
  <c r="Y239" i="1"/>
  <c r="Y240" i="1"/>
  <c r="K267" i="1"/>
  <c r="L272" i="1"/>
  <c r="X272" i="1" s="1"/>
  <c r="K277" i="1"/>
  <c r="Y277" i="1"/>
  <c r="O15" i="3"/>
  <c r="Y54" i="1"/>
  <c r="X177" i="1"/>
  <c r="X173" i="1"/>
  <c r="X90" i="1"/>
  <c r="X59" i="1"/>
  <c r="X296" i="1"/>
  <c r="X282" i="1"/>
  <c r="X219" i="1"/>
  <c r="X193" i="1"/>
  <c r="X176" i="1"/>
  <c r="X172" i="1"/>
  <c r="X128" i="1"/>
  <c r="X105" i="1"/>
  <c r="X97" i="1"/>
  <c r="X72" i="1"/>
  <c r="X64" i="1"/>
  <c r="X297" i="1"/>
  <c r="X243" i="1"/>
  <c r="X220" i="1"/>
  <c r="X191" i="1"/>
  <c r="K16" i="1"/>
  <c r="Y16" i="1"/>
  <c r="L33" i="1"/>
  <c r="L39" i="1"/>
  <c r="L62" i="1"/>
  <c r="K83" i="1"/>
  <c r="Y83" i="1"/>
  <c r="K84" i="1"/>
  <c r="Y84" i="1"/>
  <c r="K38" i="3"/>
  <c r="K188" i="1"/>
  <c r="Y188" i="1"/>
  <c r="K287" i="1"/>
  <c r="D18" i="3"/>
  <c r="J18" i="3" s="1"/>
  <c r="P60" i="3"/>
  <c r="F172" i="3"/>
  <c r="N172" i="3"/>
  <c r="X194" i="1"/>
  <c r="X190" i="1"/>
  <c r="X175" i="1"/>
  <c r="X131" i="1"/>
  <c r="X96" i="1"/>
  <c r="X88" i="1"/>
  <c r="X69" i="1"/>
  <c r="X38" i="1"/>
  <c r="X26" i="1"/>
  <c r="X262" i="1"/>
  <c r="X256" i="1"/>
  <c r="X248" i="1"/>
  <c r="X231" i="1"/>
  <c r="X213" i="1"/>
  <c r="X174" i="1"/>
  <c r="X103" i="1"/>
  <c r="X95" i="1"/>
  <c r="X91" i="1"/>
  <c r="X66" i="1"/>
  <c r="X47" i="1"/>
  <c r="X283" i="1"/>
  <c r="X279" i="1"/>
  <c r="X270" i="1"/>
  <c r="K273" i="1"/>
  <c r="Y273" i="1"/>
  <c r="K274" i="1"/>
  <c r="Y274" i="1"/>
  <c r="J299" i="1"/>
  <c r="P299" i="1"/>
  <c r="P172" i="3"/>
  <c r="K116" i="1"/>
  <c r="Y116" i="1"/>
  <c r="P207" i="3"/>
  <c r="K238" i="1"/>
  <c r="Y238" i="1"/>
  <c r="K276" i="1"/>
  <c r="Y276" i="1"/>
  <c r="K53" i="1"/>
  <c r="N300" i="1"/>
  <c r="P300" i="1"/>
  <c r="K82" i="1"/>
  <c r="Y82" i="1"/>
  <c r="K187" i="1"/>
  <c r="Y187" i="1"/>
  <c r="K195" i="1"/>
  <c r="Y195" i="1"/>
  <c r="K235" i="1"/>
  <c r="Y235" i="1"/>
  <c r="K266" i="1"/>
  <c r="Y266" i="1"/>
  <c r="K286" i="1"/>
  <c r="Y286" i="1"/>
  <c r="N15" i="3"/>
  <c r="D15" i="3"/>
  <c r="J15" i="3" s="1"/>
  <c r="M15" i="3"/>
  <c r="N18" i="3"/>
  <c r="M18" i="3"/>
  <c r="O18" i="3"/>
  <c r="M19" i="3"/>
  <c r="O19" i="3"/>
  <c r="D19" i="3"/>
  <c r="J19" i="3" s="1"/>
  <c r="F19" i="3"/>
  <c r="N19" i="3"/>
  <c r="P19" i="3"/>
  <c r="N59" i="3"/>
  <c r="F60" i="3"/>
  <c r="N60" i="3"/>
  <c r="M59" i="3"/>
  <c r="O59" i="3"/>
  <c r="D59" i="3"/>
  <c r="J59" i="3" s="1"/>
  <c r="E59" i="3"/>
  <c r="D60" i="3"/>
  <c r="J60" i="3" s="1"/>
  <c r="E60" i="3"/>
  <c r="M60" i="3"/>
  <c r="O60" i="3"/>
  <c r="O183" i="3"/>
  <c r="F183" i="3"/>
  <c r="O195" i="3"/>
  <c r="E207" i="3"/>
  <c r="M207" i="3"/>
  <c r="O207" i="3"/>
  <c r="F207" i="3"/>
  <c r="N207" i="3"/>
  <c r="P200" i="3"/>
  <c r="E128" i="3"/>
  <c r="N128" i="3"/>
  <c r="M128" i="3"/>
  <c r="O128" i="3"/>
  <c r="D159" i="3"/>
  <c r="J159" i="3" s="1"/>
  <c r="O159" i="3"/>
  <c r="M195" i="3"/>
  <c r="O200" i="3"/>
  <c r="P37" i="3"/>
  <c r="P59" i="3"/>
  <c r="E18" i="3"/>
  <c r="E19" i="3"/>
  <c r="K19" i="3"/>
  <c r="M140" i="3"/>
  <c r="F37" i="3"/>
  <c r="N37" i="3"/>
  <c r="D38" i="3"/>
  <c r="E38" i="3"/>
  <c r="M38" i="3"/>
  <c r="O38" i="3"/>
  <c r="D37" i="3"/>
  <c r="J37" i="3" s="1"/>
  <c r="O37" i="3"/>
  <c r="F38" i="3"/>
  <c r="N38" i="3"/>
  <c r="D133" i="3"/>
  <c r="J133" i="3" s="1"/>
  <c r="E133" i="3"/>
  <c r="M133" i="3"/>
  <c r="O133" i="3"/>
  <c r="F133" i="3"/>
  <c r="N133" i="3"/>
  <c r="D140" i="3"/>
  <c r="J140" i="3" s="1"/>
  <c r="E140" i="3"/>
  <c r="O140" i="3"/>
  <c r="N140" i="3"/>
  <c r="E159" i="3"/>
  <c r="M159" i="3"/>
  <c r="F159" i="3"/>
  <c r="N159" i="3"/>
  <c r="N183" i="3"/>
  <c r="D183" i="3"/>
  <c r="E183" i="3"/>
  <c r="F195" i="3"/>
  <c r="N195" i="3"/>
  <c r="P195" i="3"/>
  <c r="N200" i="3"/>
  <c r="L267" i="1"/>
  <c r="I299" i="1"/>
  <c r="O299" i="1"/>
  <c r="H15" i="1"/>
  <c r="Y15" i="1" s="1"/>
  <c r="F16" i="1"/>
  <c r="F15" i="1" s="1"/>
  <c r="Q16" i="1"/>
  <c r="Q15" i="1" s="1"/>
  <c r="F16" i="3"/>
  <c r="F15" i="3" s="1"/>
  <c r="K191" i="3"/>
  <c r="W191" i="3" s="1"/>
  <c r="K196" i="3"/>
  <c r="W196" i="3" s="1"/>
  <c r="Q54" i="1"/>
  <c r="Q53" i="1" s="1"/>
  <c r="G300" i="1"/>
  <c r="I300" i="1"/>
  <c r="L55" i="1"/>
  <c r="X55" i="1" s="1"/>
  <c r="O300" i="1"/>
  <c r="Q55" i="1"/>
  <c r="F18" i="3"/>
  <c r="L57" i="1"/>
  <c r="P185" i="3"/>
  <c r="Q83" i="1"/>
  <c r="Q82" i="1" s="1"/>
  <c r="L84" i="1"/>
  <c r="X84" i="1" s="1"/>
  <c r="L86" i="1"/>
  <c r="L92" i="1"/>
  <c r="L94" i="1"/>
  <c r="L104" i="1"/>
  <c r="Q117" i="1"/>
  <c r="Q116" i="1" s="1"/>
  <c r="L118" i="1"/>
  <c r="X118" i="1" s="1"/>
  <c r="P16" i="3"/>
  <c r="P15" i="3" s="1"/>
  <c r="K60" i="3"/>
  <c r="H206" i="1"/>
  <c r="N207" i="1"/>
  <c r="N206" i="1" s="1"/>
  <c r="P140" i="3"/>
  <c r="F140" i="3"/>
  <c r="L217" i="1"/>
  <c r="X217" i="1" s="1"/>
  <c r="P194" i="3"/>
  <c r="H234" i="1"/>
  <c r="Q239" i="1"/>
  <c r="Q238" i="1" s="1"/>
  <c r="L250" i="1"/>
  <c r="L263" i="1"/>
  <c r="E15" i="3"/>
  <c r="L277" i="1"/>
  <c r="L288" i="1"/>
  <c r="X288" i="1" s="1"/>
  <c r="K136" i="3"/>
  <c r="W136" i="3" s="1"/>
  <c r="L235" i="1"/>
  <c r="K161" i="3"/>
  <c r="W161" i="3" s="1"/>
  <c r="G16" i="1"/>
  <c r="G15" i="1" s="1"/>
  <c r="N16" i="1"/>
  <c r="N15" i="1" s="1"/>
  <c r="N299" i="1" s="1"/>
  <c r="L27" i="1"/>
  <c r="X27" i="1" s="1"/>
  <c r="L32" i="1"/>
  <c r="X32" i="1" s="1"/>
  <c r="L37" i="1"/>
  <c r="X37" i="1" s="1"/>
  <c r="L42" i="1"/>
  <c r="X42" i="1" s="1"/>
  <c r="L49" i="1"/>
  <c r="X49" i="1" s="1"/>
  <c r="G54" i="1"/>
  <c r="G53" i="1" s="1"/>
  <c r="K55" i="1"/>
  <c r="P18" i="3"/>
  <c r="L58" i="1"/>
  <c r="X58" i="1" s="1"/>
  <c r="L65" i="1"/>
  <c r="X65" i="1" s="1"/>
  <c r="L68" i="1"/>
  <c r="X68" i="1" s="1"/>
  <c r="K109" i="3"/>
  <c r="K127" i="3"/>
  <c r="L79" i="1"/>
  <c r="X79" i="1" s="1"/>
  <c r="L109" i="1"/>
  <c r="X109" i="1" s="1"/>
  <c r="L119" i="1"/>
  <c r="X119" i="1" s="1"/>
  <c r="F59" i="3"/>
  <c r="L163" i="1"/>
  <c r="X163" i="1" s="1"/>
  <c r="P169" i="3"/>
  <c r="L189" i="1"/>
  <c r="L199" i="1"/>
  <c r="X199" i="1" s="1"/>
  <c r="F128" i="3"/>
  <c r="L200" i="1"/>
  <c r="X200" i="1" s="1"/>
  <c r="L211" i="1"/>
  <c r="X211" i="1" s="1"/>
  <c r="L218" i="1"/>
  <c r="X218" i="1" s="1"/>
  <c r="L224" i="1"/>
  <c r="X224" i="1" s="1"/>
  <c r="L245" i="1"/>
  <c r="X245" i="1" s="1"/>
  <c r="L249" i="1"/>
  <c r="X249" i="1" s="1"/>
  <c r="L251" i="1"/>
  <c r="X251" i="1" s="1"/>
  <c r="K168" i="3"/>
  <c r="W168" i="3" s="1"/>
  <c r="P170" i="3"/>
  <c r="P160" i="3" s="1"/>
  <c r="P190" i="3"/>
  <c r="L287" i="1"/>
  <c r="P136" i="3"/>
  <c r="P133" i="3" s="1"/>
  <c r="K71" i="3"/>
  <c r="K73" i="3"/>
  <c r="K169" i="3"/>
  <c r="W169" i="3" s="1"/>
  <c r="K170" i="3"/>
  <c r="P128" i="3"/>
  <c r="L214" i="1"/>
  <c r="X214" i="1" s="1"/>
  <c r="K141" i="3"/>
  <c r="W141" i="3" s="1"/>
  <c r="L233" i="1"/>
  <c r="P161" i="3"/>
  <c r="K171" i="3"/>
  <c r="W171" i="3" s="1"/>
  <c r="M190" i="3"/>
  <c r="M183" i="3" s="1"/>
  <c r="Q287" i="1"/>
  <c r="Q286" i="1" s="1"/>
  <c r="K211" i="3"/>
  <c r="K212" i="3"/>
  <c r="K126" i="3" l="1"/>
  <c r="W126" i="3" s="1"/>
  <c r="Q300" i="1"/>
  <c r="F299" i="1"/>
  <c r="Q224" i="3"/>
  <c r="X224" i="3" s="1"/>
  <c r="D208" i="3"/>
  <c r="J208" i="3" s="1"/>
  <c r="L187" i="1"/>
  <c r="X187" i="1" s="1"/>
  <c r="K166" i="3"/>
  <c r="W166" i="3" s="1"/>
  <c r="K190" i="3"/>
  <c r="W190" i="3" s="1"/>
  <c r="W19" i="3"/>
  <c r="L207" i="1"/>
  <c r="X274" i="1"/>
  <c r="L273" i="1"/>
  <c r="X273" i="1" s="1"/>
  <c r="K148" i="3"/>
  <c r="W148" i="3" s="1"/>
  <c r="M194" i="3"/>
  <c r="N194" i="3"/>
  <c r="K195" i="3"/>
  <c r="D194" i="3"/>
  <c r="J194" i="3" s="1"/>
  <c r="E194" i="3"/>
  <c r="H223" i="3"/>
  <c r="F224" i="3"/>
  <c r="X207" i="3"/>
  <c r="F194" i="3"/>
  <c r="O224" i="3"/>
  <c r="D207" i="3"/>
  <c r="J207" i="3" s="1"/>
  <c r="M156" i="3"/>
  <c r="W195" i="3"/>
  <c r="Q156" i="3"/>
  <c r="X156" i="3" s="1"/>
  <c r="X194" i="3"/>
  <c r="X195" i="3"/>
  <c r="K15" i="1"/>
  <c r="K208" i="3"/>
  <c r="W208" i="3" s="1"/>
  <c r="K160" i="3"/>
  <c r="W160" i="3" s="1"/>
  <c r="W170" i="3"/>
  <c r="P183" i="3"/>
  <c r="O156" i="3"/>
  <c r="D224" i="3"/>
  <c r="J38" i="3"/>
  <c r="G223" i="3"/>
  <c r="P159" i="3"/>
  <c r="P224" i="3"/>
  <c r="D156" i="3"/>
  <c r="J156" i="3" s="1"/>
  <c r="O194" i="3"/>
  <c r="J183" i="3"/>
  <c r="K180" i="3"/>
  <c r="X263" i="1"/>
  <c r="K57" i="3"/>
  <c r="W57" i="3" s="1"/>
  <c r="X104" i="1"/>
  <c r="K45" i="3"/>
  <c r="W45" i="3" s="1"/>
  <c r="X92" i="1"/>
  <c r="N224" i="3"/>
  <c r="K182" i="3"/>
  <c r="X39" i="1"/>
  <c r="X233" i="1"/>
  <c r="K220" i="3"/>
  <c r="K164" i="3"/>
  <c r="W164" i="3" s="1"/>
  <c r="X250" i="1"/>
  <c r="K47" i="3"/>
  <c r="W47" i="3" s="1"/>
  <c r="X94" i="1"/>
  <c r="K39" i="3"/>
  <c r="W39" i="3" s="1"/>
  <c r="X86" i="1"/>
  <c r="K20" i="3"/>
  <c r="W20" i="3" s="1"/>
  <c r="X57" i="1"/>
  <c r="K25" i="3"/>
  <c r="W25" i="3" s="1"/>
  <c r="X62" i="1"/>
  <c r="K138" i="3"/>
  <c r="W138" i="3" s="1"/>
  <c r="X33" i="1"/>
  <c r="Y300" i="1"/>
  <c r="L234" i="1"/>
  <c r="X234" i="1" s="1"/>
  <c r="X235" i="1"/>
  <c r="K234" i="1"/>
  <c r="Y234" i="1"/>
  <c r="K206" i="1"/>
  <c r="Y206" i="1"/>
  <c r="L266" i="1"/>
  <c r="X266" i="1" s="1"/>
  <c r="X267" i="1"/>
  <c r="Q299" i="1"/>
  <c r="L286" i="1"/>
  <c r="X286" i="1" s="1"/>
  <c r="X287" i="1"/>
  <c r="L276" i="1"/>
  <c r="X276" i="1" s="1"/>
  <c r="X277" i="1"/>
  <c r="F156" i="3"/>
  <c r="M224" i="3"/>
  <c r="E156" i="3"/>
  <c r="N156" i="3"/>
  <c r="E224" i="3"/>
  <c r="H299" i="1"/>
  <c r="L240" i="1"/>
  <c r="K165" i="3"/>
  <c r="W165" i="3" s="1"/>
  <c r="K154" i="3"/>
  <c r="W154" i="3" s="1"/>
  <c r="K129" i="3"/>
  <c r="W129" i="3" s="1"/>
  <c r="K28" i="3"/>
  <c r="W28" i="3" s="1"/>
  <c r="L196" i="1"/>
  <c r="L117" i="1"/>
  <c r="K32" i="3"/>
  <c r="W32" i="3" s="1"/>
  <c r="K29" i="3"/>
  <c r="W29" i="3" s="1"/>
  <c r="K185" i="3"/>
  <c r="W185" i="3" s="1"/>
  <c r="K16" i="3"/>
  <c r="G299" i="1"/>
  <c r="K145" i="3"/>
  <c r="W145" i="3" s="1"/>
  <c r="K163" i="3"/>
  <c r="W163" i="3" s="1"/>
  <c r="K155" i="3"/>
  <c r="W155" i="3" s="1"/>
  <c r="K142" i="3"/>
  <c r="W142" i="3" s="1"/>
  <c r="K104" i="3"/>
  <c r="K193" i="3"/>
  <c r="L83" i="1"/>
  <c r="K21" i="3"/>
  <c r="L54" i="1"/>
  <c r="K202" i="3"/>
  <c r="K188" i="3"/>
  <c r="W188" i="3" s="1"/>
  <c r="K176" i="3"/>
  <c r="K137" i="3"/>
  <c r="K131" i="3"/>
  <c r="W131" i="3" s="1"/>
  <c r="L16" i="1"/>
  <c r="L239" i="1"/>
  <c r="P156" i="3" l="1"/>
  <c r="P223" i="3" s="1"/>
  <c r="M223" i="3"/>
  <c r="N223" i="3"/>
  <c r="F223" i="3"/>
  <c r="E223" i="3"/>
  <c r="D223" i="3"/>
  <c r="Q223" i="3"/>
  <c r="O223" i="3"/>
  <c r="K133" i="3"/>
  <c r="W133" i="3" s="1"/>
  <c r="W137" i="3"/>
  <c r="K59" i="3"/>
  <c r="W59" i="3" s="1"/>
  <c r="W104" i="3"/>
  <c r="K219" i="3"/>
  <c r="W220" i="3"/>
  <c r="K159" i="3"/>
  <c r="K172" i="3"/>
  <c r="W172" i="3" s="1"/>
  <c r="W176" i="3"/>
  <c r="K200" i="3"/>
  <c r="K194" i="3" s="1"/>
  <c r="W202" i="3"/>
  <c r="K18" i="3"/>
  <c r="W18" i="3" s="1"/>
  <c r="W21" i="3"/>
  <c r="K192" i="3"/>
  <c r="W192" i="3" s="1"/>
  <c r="W193" i="3"/>
  <c r="K15" i="3"/>
  <c r="W15" i="3" s="1"/>
  <c r="W16" i="3"/>
  <c r="K181" i="3"/>
  <c r="W181" i="3" s="1"/>
  <c r="W182" i="3"/>
  <c r="K173" i="3"/>
  <c r="W180" i="3"/>
  <c r="K37" i="3"/>
  <c r="W37" i="3" s="1"/>
  <c r="J224" i="3"/>
  <c r="L53" i="1"/>
  <c r="X53" i="1" s="1"/>
  <c r="X54" i="1"/>
  <c r="L82" i="1"/>
  <c r="X82" i="1" s="1"/>
  <c r="X83" i="1"/>
  <c r="L116" i="1"/>
  <c r="X116" i="1" s="1"/>
  <c r="X117" i="1"/>
  <c r="L195" i="1"/>
  <c r="X195" i="1" s="1"/>
  <c r="X196" i="1"/>
  <c r="L300" i="1"/>
  <c r="X240" i="1"/>
  <c r="L238" i="1"/>
  <c r="X238" i="1" s="1"/>
  <c r="X239" i="1"/>
  <c r="L15" i="1"/>
  <c r="X15" i="1" s="1"/>
  <c r="X16" i="1"/>
  <c r="L206" i="1"/>
  <c r="X206" i="1" s="1"/>
  <c r="X207" i="1"/>
  <c r="K299" i="1"/>
  <c r="Y299" i="1"/>
  <c r="L299" i="1"/>
  <c r="X299" i="1" s="1"/>
  <c r="K140" i="3"/>
  <c r="W140" i="3" s="1"/>
  <c r="K183" i="3"/>
  <c r="K128" i="3"/>
  <c r="W128" i="3" s="1"/>
  <c r="W159" i="3" l="1"/>
  <c r="K156" i="3"/>
  <c r="W156" i="3" s="1"/>
  <c r="J223" i="3"/>
  <c r="X223" i="3"/>
  <c r="K207" i="3"/>
  <c r="W207" i="3" s="1"/>
  <c r="W219" i="3"/>
  <c r="W183" i="3"/>
  <c r="W173" i="3"/>
  <c r="K224" i="3"/>
  <c r="W224" i="3" s="1"/>
  <c r="W194" i="3"/>
  <c r="W200" i="3"/>
  <c r="X300" i="1"/>
  <c r="K223" i="3" l="1"/>
  <c r="W223" i="3" l="1"/>
</calcChain>
</file>

<file path=xl/comments1.xml><?xml version="1.0" encoding="utf-8"?>
<comments xmlns="http://schemas.openxmlformats.org/spreadsheetml/2006/main">
  <authors>
    <author>User</author>
  </authors>
  <commentList>
    <comment ref="B2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<sst xmlns="http://schemas.openxmlformats.org/spreadsheetml/2006/main" count="923" uniqueCount="611">
  <si>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</si>
  <si>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</si>
  <si>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</si>
  <si>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</si>
  <si>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</si>
  <si>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</si>
  <si>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</si>
  <si>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</si>
  <si>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</si>
  <si>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</si>
  <si>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</si>
  <si>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</si>
  <si>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</si>
  <si>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</si>
  <si>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</si>
  <si>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</si>
  <si>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</si>
  <si>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</si>
  <si>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</si>
  <si>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</si>
  <si>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</si>
  <si>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</si>
  <si>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</si>
  <si>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</si>
  <si>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</si>
  <si>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</si>
  <si>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</si>
  <si>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</si>
  <si>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</si>
  <si>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</si>
  <si>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</si>
  <si>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</si>
  <si>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</si>
  <si>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</si>
  <si>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</si>
  <si>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</si>
  <si>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</si>
  <si>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</si>
  <si>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</si>
  <si>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</si>
  <si>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</si>
  <si>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</si>
  <si>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</si>
  <si>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</si>
  <si>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</si>
  <si>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</si>
  <si>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</si>
  <si>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</si>
  <si>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</si>
  <si>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</si>
  <si>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</si>
  <si>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</si>
  <si>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</si>
  <si>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</si>
  <si>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</si>
  <si>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</si>
  <si>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</si>
  <si>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</si>
  <si>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</si>
  <si>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</si>
  <si>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</si>
  <si>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</si>
  <si>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</si>
  <si>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</si>
  <si>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</si>
  <si>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</si>
  <si>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</si>
  <si>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</si>
  <si>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</si>
  <si>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</si>
  <si>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</si>
  <si>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</si>
  <si>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</si>
  <si>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</si>
  <si>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</si>
  <si>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</si>
  <si>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</si>
  <si>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</si>
  <si>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</si>
  <si>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</si>
  <si>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</si>
  <si>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</si>
  <si>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</si>
  <si>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</si>
  <si>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</si>
  <si>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</si>
  <si>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</si>
  <si>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</si>
  <si>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</si>
  <si>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</si>
  <si>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</si>
  <si>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</si>
  <si>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</si>
  <si>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</si>
  <si>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</si>
  <si>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</si>
  <si>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</si>
  <si>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</si>
  <si>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</si>
  <si>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</si>
  <si>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</si>
  <si>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</si>
  <si>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</si>
  <si>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</si>
  <si>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</si>
  <si>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</si>
  <si>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</si>
  <si>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</si>
  <si>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</si>
  <si>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</si>
  <si>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</si>
  <si>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</si>
  <si>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</si>
  <si>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</si>
  <si>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</si>
  <si>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</si>
  <si>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</si>
  <si>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</si>
  <si>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</si>
  <si>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</si>
  <si>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</si>
  <si>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</si>
  <si>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</si>
  <si>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</si>
  <si>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</si>
  <si>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</si>
  <si>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</si>
  <si>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</si>
  <si>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</si>
  <si>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</si>
  <si>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</si>
  <si>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</si>
  <si>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</si>
  <si>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</si>
  <si>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</si>
  <si>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</si>
  <si>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</si>
  <si>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</si>
  <si>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</si>
  <si>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</si>
  <si>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</si>
  <si>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</si>
  <si>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</si>
  <si>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</si>
  <si>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</si>
  <si>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</si>
  <si>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</si>
  <si>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</si>
  <si>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</si>
  <si>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</si>
  <si>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</si>
  <si>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</si>
  <si>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</si>
  <si>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</si>
  <si>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</si>
  <si>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</si>
  <si>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</si>
  <si>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</si>
  <si>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</si>
  <si>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</si>
  <si>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</si>
  <si>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</si>
  <si>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</si>
  <si>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</si>
  <si>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</si>
  <si>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</si>
  <si>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</si>
  <si>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</si>
  <si>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</si>
  <si>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</si>
  <si>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</si>
  <si>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</si>
  <si>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</si>
  <si>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</si>
  <si>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</si>
  <si>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</si>
  <si>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</si>
  <si>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</si>
  <si>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</si>
  <si>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</si>
  <si>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</si>
  <si>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</si>
  <si>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</si>
  <si>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</si>
  <si>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</si>
  <si>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</si>
  <si>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</si>
  <si>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</si>
  <si>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</si>
  <si>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</si>
  <si>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</si>
  <si>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</si>
  <si>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</si>
  <si>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</si>
  <si>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</si>
  <si>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</si>
  <si>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</si>
  <si>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</si>
  <si>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</si>
  <si>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</si>
  <si>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</si>
  <si>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</si>
  <si>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</si>
  <si>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</si>
  <si>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</si>
  <si>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</si>
  <si>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</si>
  <si>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</si>
  <si>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</si>
  <si>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</si>
  <si>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</si>
  <si>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</si>
  <si>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</si>
  <si>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</si>
  <si>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</si>
  <si>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</si>
  <si>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</si>
  <si>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</si>
  <si>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</si>
  <si>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</si>
  <si>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</si>
  <si>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</si>
  <si>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</si>
  <si>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</si>
  <si>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</si>
  <si>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</si>
  <si>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</si>
  <si>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</si>
  <si>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</si>
  <si>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</si>
  <si>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</si>
  <si>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</si>
  <si>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</si>
  <si>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</si>
  <si>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</si>
  <si>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</si>
  <si>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</si>
  <si>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</si>
  <si>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</si>
  <si>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</si>
  <si>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</si>
  <si>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</si>
  <si>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</si>
  <si>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</si>
  <si>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</si>
  <si>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</si>
  <si>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</si>
  <si>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</si>
  <si>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</si>
  <si>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</si>
  <si>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</si>
  <si>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</si>
  <si>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</si>
  <si>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</si>
  <si>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</si>
  <si>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</si>
  <si>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</si>
  <si>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</si>
  <si>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</si>
  <si>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</si>
  <si>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</si>
  <si>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</si>
  <si>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</si>
  <si>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</si>
  <si>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</si>
  <si>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</si>
  <si>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</si>
  <si>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</si>
  <si>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</si>
  <si>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</si>
  <si>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</si>
  <si>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</si>
  <si>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</si>
  <si>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</si>
  <si>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</si>
  <si>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</si>
  <si>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</si>
  <si>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</si>
  <si>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</si>
  <si>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</si>
  <si>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</si>
  <si>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</si>
  <si>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</si>
  <si>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</si>
  <si>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</si>
  <si>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</si>
  <si>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</si>
  <si>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</si>
  <si>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</si>
  <si>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</si>
  <si>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</si>
  <si>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</si>
  <si>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</si>
  <si>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</si>
  <si>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</si>
  <si>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</si>
  <si>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</si>
  <si>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</si>
  <si>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</si>
  <si>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</si>
  <si>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</si>
  <si>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</si>
  <si>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</si>
  <si>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</si>
  <si>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</si>
  <si>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</si>
  <si>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</si>
  <si>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</si>
  <si>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</si>
  <si>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</si>
  <si>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</si>
  <si>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</si>
  <si>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</si>
  <si>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</si>
  <si>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</si>
  <si>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</si>
  <si>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</si>
  <si>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</si>
  <si>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</si>
  <si>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</si>
  <si>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</si>
  <si>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</si>
  <si>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</si>
  <si>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</si>
  <si>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</si>
  <si>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</si>
  <si>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</si>
  <si>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</si>
  <si>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</si>
  <si>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</si>
  <si>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</si>
  <si>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</si>
  <si>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</si>
  <si>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</si>
  <si>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</si>
  <si>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</si>
  <si>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</si>
  <si>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</si>
  <si>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</si>
  <si>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</si>
  <si>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</si>
  <si>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</si>
  <si>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</si>
  <si>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</si>
  <si>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</si>
  <si>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</si>
  <si>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</si>
  <si>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</si>
  <si>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</si>
  <si>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</si>
  <si>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</si>
  <si>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</si>
  <si>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</si>
  <si>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</si>
  <si>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</si>
  <si>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</si>
  <si>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</si>
  <si>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</si>
  <si>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</si>
  <si>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</si>
  <si>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</si>
  <si>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</si>
  <si>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</si>
  <si>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</si>
  <si>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</si>
  <si>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</si>
  <si>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</si>
  <si>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</si>
  <si>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</si>
  <si>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</si>
  <si>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</si>
  <si>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</si>
  <si>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</si>
  <si>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</si>
  <si>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</si>
  <si>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</si>
  <si>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</si>
  <si>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</si>
  <si>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</si>
  <si>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</si>
  <si>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</si>
  <si>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</si>
  <si>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</si>
  <si>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</si>
  <si>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</si>
  <si>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</si>
  <si>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</si>
  <si>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</si>
  <si>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</si>
  <si>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</si>
  <si>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</si>
  <si>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</si>
  <si>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</si>
  <si>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</si>
  <si>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</si>
  <si>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</si>
  <si>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</si>
  <si>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</si>
  <si>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</si>
  <si>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</si>
  <si>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</si>
  <si>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</si>
  <si>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</si>
  <si>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</si>
  <si>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</si>
  <si>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</si>
  <si>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</si>
  <si>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</si>
  <si>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</si>
  <si>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</si>
  <si>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</si>
  <si>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</si>
  <si>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</si>
  <si>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</si>
  <si>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</si>
  <si>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</si>
  <si>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</si>
  <si>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</si>
  <si>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</si>
  <si>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</si>
  <si>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</si>
  <si>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</si>
  <si>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</si>
  <si>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</si>
  <si>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</si>
  <si>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</si>
  <si>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</si>
  <si>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</si>
  <si>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</si>
  <si>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</si>
  <si>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</si>
  <si>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</si>
  <si>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</si>
  <si>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</si>
  <si>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</si>
  <si>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</si>
  <si>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</si>
  <si>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</si>
  <si>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</si>
  <si>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</si>
  <si>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</si>
  <si>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</si>
  <si>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</si>
  <si>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</si>
  <si>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</si>
  <si>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</si>
  <si>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</si>
  <si>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</si>
  <si>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</si>
  <si>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</si>
  <si>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</si>
  <si>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</si>
  <si>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</si>
  <si>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</si>
  <si>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</si>
  <si>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</si>
  <si>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</si>
  <si>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</si>
  <si>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</si>
  <si>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</si>
  <si>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</si>
  <si>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</si>
  <si>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</si>
  <si>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</si>
  <si>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</si>
  <si>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</si>
  <si>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</si>
  <si>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</si>
  <si>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</si>
  <si>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</si>
  <si>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</si>
  <si>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</si>
  <si>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</si>
  <si>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</si>
  <si>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</si>
  <si>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</si>
  <si>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</si>
  <si>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</si>
  <si>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</si>
  <si>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</si>
  <si>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</si>
  <si>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</si>
  <si>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</si>
  <si>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</si>
  <si>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</si>
  <si>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</si>
  <si>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</si>
  <si>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</si>
  <si>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</si>
  <si>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</si>
  <si>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</si>
  <si>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</si>
  <si>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</si>
  <si>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</si>
  <si>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</si>
  <si>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</si>
  <si>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</si>
  <si>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</si>
  <si>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</si>
  <si>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</si>
  <si>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</si>
  <si>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</si>
  <si>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</si>
  <si>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</si>
  <si>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</si>
  <si>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</si>
  <si>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</si>
  <si>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</si>
  <si>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</si>
  <si>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</si>
  <si>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</si>
  <si>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</si>
  <si>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</si>
  <si>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</si>
  <si>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</si>
  <si>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</si>
  <si>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</si>
  <si>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</si>
  <si>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</si>
  <si>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</si>
  <si>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</si>
  <si>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</si>
  <si>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</si>
  <si>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</si>
  <si>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</si>
  <si>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</si>
  <si>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</si>
  <si>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</si>
  <si>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</si>
  <si>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</si>
  <si>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</si>
  <si>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</si>
  <si>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</si>
  <si>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</si>
  <si>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</si>
  <si>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</si>
  <si>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</si>
  <si>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</si>
  <si>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</si>
  <si>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</si>
  <si>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</si>
  <si>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</si>
  <si>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</si>
  <si>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</si>
  <si>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</si>
  <si>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</si>
  <si>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</si>
  <si>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</si>
  <si>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</si>
  <si>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</si>
  <si>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</si>
  <si>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</si>
  <si>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</si>
  <si>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</si>
  <si>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</si>
  <si>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</si>
  <si>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</si>
  <si>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</si>
  <si>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</si>
  <si>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</si>
  <si>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</si>
  <si>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</si>
  <si>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</si>
  <si>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</si>
  <si>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</si>
  <si>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</si>
  <si>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</si>
  <si>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</si>
  <si>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</si>
  <si>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</si>
  <si>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</si>
  <si>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</si>
  <si>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</si>
  <si>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</si>
  <si>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</si>
  <si>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</si>
  <si>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</si>
  <si>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</si>
  <si>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</si>
  <si>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</si>
  <si>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</si>
  <si>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</si>
  <si>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</si>
  <si>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</si>
  <si>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</si>
  <si>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</si>
  <si>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</si>
  <si>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</si>
  <si>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</si>
  <si>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</si>
  <si>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</si>
  <si>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</si>
  <si>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</si>
  <si>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</si>
  <si>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</si>
  <si>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</si>
  <si>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</si>
  <si>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>Звіт про виконання видаткової частини міського бюджету м. Суми за І квартал 2019 року за головними розпорядниками коштів</t>
  </si>
  <si>
    <t>Звіт про виконання видаткової частини міського бюджету м. Суми за І квартал 2019 року за  за типовою програмною класифікацією видатків та кредитування місцевих бюджетів</t>
  </si>
  <si>
    <t>Сумський міський голова</t>
  </si>
  <si>
    <t>О.М. Лисенко</t>
  </si>
  <si>
    <t>Виконавець: Липова С.А.</t>
  </si>
  <si>
    <t>бюджету м. Суми за І квартал 2019 року»</t>
  </si>
  <si>
    <t>до    рішення     Сумської    міської    ради</t>
  </si>
  <si>
    <t>«Про    звіт     про     виконання   міського</t>
  </si>
  <si>
    <t xml:space="preserve">                    Додаток  № 2</t>
  </si>
  <si>
    <t>від  05  червня  2019  року  № 5116 - МР</t>
  </si>
  <si>
    <t>«Про    звіт    про     виконання   міського</t>
  </si>
  <si>
    <t>до    рішення    Сумської    міської    ради</t>
  </si>
  <si>
    <t xml:space="preserve">                    Додаток  № 3</t>
  </si>
  <si>
    <r>
      <t>від 05  червня</t>
    </r>
    <r>
      <rPr>
        <sz val="25"/>
        <color theme="0"/>
        <rFont val="Times New Roman"/>
        <family val="1"/>
        <charset val="204"/>
      </rPr>
      <t xml:space="preserve"> </t>
    </r>
    <r>
      <rPr>
        <sz val="25"/>
        <rFont val="Times New Roman"/>
        <family val="1"/>
        <charset val="204"/>
      </rPr>
      <t>2019  року   №  5116 - 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</si>
</sst>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30"/>
      <name val="Times New Roman"/>
      <family val="1"/>
      <charset val="204"/>
    </font>
    <font>
      <sz val="24"/>
      <name val="Times New Roman"/>
      <family val="1"/>
      <charset val="204"/>
    </font>
    <font>
      <sz val="15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5"/>
      <color theme="0"/>
      <name val="Times New Roman"/>
      <family val="1"/>
      <charset val="204"/>
    </font>
    <font>
      <sz val="2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8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13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5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8" fillId="27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8" fillId="28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8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8" fillId="30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8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8" fillId="32" borderId="0" applyNumberFormat="0" applyBorder="0" applyAlignment="0" applyProtection="0"/>
  </cellStyleXfs>
  <cellXfs count="245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8" fillId="0" borderId="0" xfId="0" applyFont="1" applyFill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0" fontId="27" fillId="0" borderId="0" xfId="0" applyFont="1" applyFill="1"/>
    <xf numFmtId="49" fontId="27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/>
    <xf numFmtId="49" fontId="3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center" vertical="center"/>
    </xf>
    <xf numFmtId="3" fontId="25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" fontId="22" fillId="0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" fontId="23" fillId="0" borderId="9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4" fontId="27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/>
    <xf numFmtId="3" fontId="31" fillId="0" borderId="0" xfId="0" applyNumberFormat="1" applyFont="1" applyFill="1"/>
    <xf numFmtId="1" fontId="22" fillId="0" borderId="7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>
      <alignment horizontal="center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Alignment="1">
      <alignment horizontal="center"/>
    </xf>
    <xf numFmtId="4" fontId="24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center" wrapText="1"/>
    </xf>
    <xf numFmtId="164" fontId="23" fillId="0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0" fontId="31" fillId="0" borderId="0" xfId="0" applyFont="1" applyFill="1"/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 textRotation="180"/>
    </xf>
    <xf numFmtId="4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Alignment="1">
      <alignment horizontal="center" vertical="center" textRotation="180"/>
    </xf>
    <xf numFmtId="0" fontId="40" fillId="33" borderId="0" xfId="0" applyFont="1" applyFill="1"/>
    <xf numFmtId="0" fontId="40" fillId="33" borderId="0" xfId="0" applyNumberFormat="1" applyFont="1" applyFill="1" applyAlignment="1" applyProtection="1"/>
    <xf numFmtId="165" fontId="4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41" fillId="33" borderId="0" xfId="0" applyFont="1" applyFill="1"/>
    <xf numFmtId="0" fontId="34" fillId="33" borderId="0" xfId="0" applyNumberFormat="1" applyFont="1" applyFill="1" applyAlignment="1" applyProtection="1"/>
    <xf numFmtId="165" fontId="20" fillId="0" borderId="0" xfId="0" applyNumberFormat="1" applyFont="1" applyFill="1" applyBorder="1" applyAlignment="1">
      <alignment vertical="center"/>
    </xf>
    <xf numFmtId="0" fontId="31" fillId="33" borderId="0" xfId="0" applyNumberFormat="1" applyFont="1" applyFill="1" applyAlignment="1" applyProtection="1"/>
    <xf numFmtId="165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vertical="center" wrapText="1"/>
    </xf>
    <xf numFmtId="0" fontId="41" fillId="33" borderId="15" xfId="0" applyNumberFormat="1" applyFont="1" applyFill="1" applyBorder="1" applyAlignment="1" applyProtection="1"/>
    <xf numFmtId="0" fontId="36" fillId="33" borderId="15" xfId="0" applyNumberFormat="1" applyFont="1" applyFill="1" applyBorder="1" applyAlignment="1" applyProtection="1"/>
    <xf numFmtId="0" fontId="42" fillId="33" borderId="0" xfId="0" applyFont="1" applyFill="1"/>
    <xf numFmtId="0" fontId="42" fillId="33" borderId="0" xfId="0" applyNumberFormat="1" applyFont="1" applyFill="1" applyAlignment="1" applyProtection="1"/>
    <xf numFmtId="0" fontId="42" fillId="0" borderId="0" xfId="0" applyFont="1" applyFill="1"/>
    <xf numFmtId="165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45" fillId="33" borderId="0" xfId="0" applyNumberFormat="1" applyFont="1" applyFill="1" applyAlignment="1" applyProtection="1"/>
    <xf numFmtId="165" fontId="4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textRotation="180"/>
    </xf>
    <xf numFmtId="3" fontId="31" fillId="0" borderId="14" xfId="0" applyNumberFormat="1" applyFont="1" applyFill="1" applyBorder="1" applyAlignment="1">
      <alignment horizontal="center" vertical="center" textRotation="180"/>
    </xf>
    <xf numFmtId="49" fontId="26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horizontal="center" vertical="center" textRotation="180"/>
    </xf>
    <xf numFmtId="0" fontId="31" fillId="0" borderId="14" xfId="0" applyFont="1" applyFill="1" applyBorder="1" applyAlignment="1">
      <alignment horizontal="center" vertical="center" textRotation="180"/>
    </xf>
    <xf numFmtId="0" fontId="20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23" fillId="34" borderId="7" xfId="0" applyNumberFormat="1" applyFont="1" applyFill="1" applyBorder="1" applyAlignment="1" applyProtection="1">
      <alignment horizontal="center" vertical="center" wrapText="1"/>
    </xf>
    <xf numFmtId="4" fontId="27" fillId="34" borderId="7" xfId="0" applyNumberFormat="1" applyFont="1" applyFill="1" applyBorder="1" applyAlignment="1">
      <alignment horizontal="center" vertical="center"/>
    </xf>
    <xf numFmtId="4" fontId="20" fillId="34" borderId="7" xfId="0" applyNumberFormat="1" applyFont="1" applyFill="1" applyBorder="1" applyAlignment="1">
      <alignment horizontal="center" vertical="center"/>
    </xf>
    <xf numFmtId="4" fontId="29" fillId="34" borderId="7" xfId="0" applyNumberFormat="1" applyFont="1" applyFill="1" applyBorder="1" applyAlignment="1">
      <alignment horizontal="center" vertical="center"/>
    </xf>
    <xf numFmtId="4" fontId="27" fillId="34" borderId="0" xfId="0" applyNumberFormat="1" applyFont="1" applyFill="1" applyBorder="1" applyAlignment="1">
      <alignment horizontal="center" vertical="center"/>
    </xf>
    <xf numFmtId="49" fontId="40" fillId="34" borderId="0" xfId="0" applyNumberFormat="1" applyFont="1" applyFill="1" applyBorder="1" applyAlignment="1">
      <alignment vertical="center"/>
    </xf>
    <xf numFmtId="49" fontId="20" fillId="34" borderId="0" xfId="0" applyNumberFormat="1" applyFont="1" applyFill="1" applyBorder="1" applyAlignment="1">
      <alignment vertical="center"/>
    </xf>
    <xf numFmtId="49" fontId="31" fillId="34" borderId="0" xfId="0" applyNumberFormat="1" applyFont="1" applyFill="1" applyBorder="1" applyAlignment="1">
      <alignment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/>
    </xf>
    <xf numFmtId="3" fontId="31" fillId="34" borderId="0" xfId="0" applyNumberFormat="1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>
      <alignment horizontal="center" vertical="center" wrapText="1"/>
    </xf>
    <xf numFmtId="4" fontId="32" fillId="34" borderId="0" xfId="0" applyNumberFormat="1" applyFont="1" applyFill="1" applyBorder="1" applyAlignment="1">
      <alignment horizontal="center" vertical="center"/>
    </xf>
    <xf numFmtId="3" fontId="23" fillId="34" borderId="7" xfId="0" applyNumberFormat="1" applyFont="1" applyFill="1" applyBorder="1" applyAlignment="1" applyProtection="1">
      <alignment horizontal="center" vertical="center" wrapText="1"/>
    </xf>
    <xf numFmtId="0" fontId="40" fillId="34" borderId="0" xfId="0" applyFont="1" applyFill="1"/>
    <xf numFmtId="0" fontId="34" fillId="34" borderId="0" xfId="0" applyNumberFormat="1" applyFont="1" applyFill="1" applyAlignment="1" applyProtection="1"/>
    <xf numFmtId="0" fontId="31" fillId="34" borderId="0" xfId="0" applyNumberFormat="1" applyFont="1" applyFill="1" applyAlignment="1" applyProtection="1"/>
    <xf numFmtId="49" fontId="31" fillId="34" borderId="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49" fontId="36" fillId="34" borderId="0" xfId="0" applyNumberFormat="1" applyFont="1" applyFill="1" applyAlignment="1">
      <alignment vertical="center" textRotation="180"/>
    </xf>
    <xf numFmtId="49" fontId="36" fillId="34" borderId="0" xfId="0" applyNumberFormat="1" applyFont="1" applyFill="1" applyAlignment="1">
      <alignment horizontal="center" vertical="center" textRotation="180"/>
    </xf>
    <xf numFmtId="0" fontId="22" fillId="34" borderId="0" xfId="0" applyFont="1" applyFill="1" applyBorder="1" applyAlignment="1">
      <alignment vertical="center"/>
    </xf>
    <xf numFmtId="49" fontId="31" fillId="34" borderId="0" xfId="0" applyNumberFormat="1" applyFont="1" applyFill="1" applyAlignment="1">
      <alignment horizontal="center" vertical="center" textRotation="180"/>
    </xf>
    <xf numFmtId="3" fontId="23" fillId="34" borderId="10" xfId="0" applyNumberFormat="1" applyFont="1" applyFill="1" applyBorder="1" applyAlignment="1" applyProtection="1">
      <alignment horizontal="center" vertical="center" wrapText="1"/>
    </xf>
    <xf numFmtId="3" fontId="23" fillId="34" borderId="9" xfId="0" applyNumberFormat="1" applyFont="1" applyFill="1" applyBorder="1" applyAlignment="1" applyProtection="1">
      <alignment horizontal="center" vertical="center" wrapText="1"/>
    </xf>
    <xf numFmtId="0" fontId="40" fillId="34" borderId="0" xfId="0" applyNumberFormat="1" applyFont="1" applyFill="1" applyAlignment="1" applyProtection="1"/>
  </cellXfs>
  <cellStyles count="61">
    <cellStyle name="20% - Акцент1" xfId="43" hidden="1"/>
    <cellStyle name="20% - Акцент2" xfId="46" hidden="1"/>
    <cellStyle name="20% - Акцент3" xfId="49" hidden="1"/>
    <cellStyle name="20% - Акцент4" xfId="52" hidden="1"/>
    <cellStyle name="20% - Акцент5" xfId="55" hidden="1"/>
    <cellStyle name="20% - Акцент6" xfId="58" hidden="1"/>
    <cellStyle name="40% - Акцент1" xfId="44" hidden="1"/>
    <cellStyle name="40% - Акцент2" xfId="47" hidden="1"/>
    <cellStyle name="40% - Акцент3" xfId="50" hidden="1"/>
    <cellStyle name="40% - Акцент4" xfId="53" hidden="1"/>
    <cellStyle name="40% - Акцент5" xfId="56" hidden="1"/>
    <cellStyle name="40% - Акцент6" xfId="59" hidden="1"/>
    <cellStyle name="60% - Акцент1" xfId="45" hidden="1"/>
    <cellStyle name="60% - Акцент2" xfId="48" hidden="1"/>
    <cellStyle name="60% - Акцент3" xfId="51" hidden="1"/>
    <cellStyle name="60% - Акцент4" xfId="54" hidden="1"/>
    <cellStyle name="60% - Акцент5" xfId="57" hidden="1"/>
    <cellStyle name="60% - Акцент6" xfId="60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Плохой" xfId="36"/>
    <cellStyle name="Пояснение" xfId="37"/>
    <cellStyle name="Примечание" xfId="38"/>
    <cellStyle name="Связанная ячейка" xfId="39"/>
    <cellStyle name="Стиль 1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F952"/>
  <sheetViews>
    <sheetView showGridLines="0" showZeros="0" view="pageBreakPreview" zoomScale="68" zoomScaleNormal="25" zoomScaleSheetLayoutView="68" workbookViewId="0">
      <pane ySplit="15" topLeftCell="A46" activePane="bottomLeft" state="frozen"/>
      <selection pane="bottomLeft" activeCell="A16" sqref="A16:XFD16"/>
    </sheetView>
  </sheetViews>
  <sheetFormatPr defaultColWidth="9.1640625" defaultRowHeight="15" x14ac:dyDescent="0.25"/>
  <cols>
    <col min="1" max="1" width="21.1640625" style="35" customWidth="1"/>
    <col min="2" max="2" width="16" style="35" customWidth="1"/>
    <col min="3" max="3" width="16.6640625" style="35" customWidth="1"/>
    <col min="4" max="4" width="62" style="54" customWidth="1"/>
    <col min="5" max="5" width="20.1640625" style="37" customWidth="1"/>
    <col min="6" max="6" width="18.1640625" style="37" customWidth="1"/>
    <col min="7" max="7" width="17.83203125" style="37" customWidth="1"/>
    <col min="8" max="8" width="17.6640625" style="37" customWidth="1"/>
    <col min="9" max="9" width="19" style="37" customWidth="1"/>
    <col min="10" max="10" width="16.5" style="37" customWidth="1"/>
    <col min="11" max="11" width="9.83203125" style="37" customWidth="1"/>
    <col min="12" max="12" width="18.6640625" style="37" customWidth="1"/>
    <col min="13" max="13" width="18.5" style="37" customWidth="1"/>
    <col min="14" max="14" width="16.5" style="37" customWidth="1"/>
    <col min="15" max="15" width="15.83203125" style="37" customWidth="1"/>
    <col min="16" max="16" width="14.83203125" style="37" customWidth="1"/>
    <col min="17" max="17" width="17.6640625" style="37" customWidth="1"/>
    <col min="18" max="18" width="18" style="111" customWidth="1"/>
    <col min="19" max="19" width="17.1640625" style="111" customWidth="1"/>
    <col min="20" max="20" width="15.83203125" style="111" customWidth="1"/>
    <col min="21" max="21" width="15.6640625" style="111" customWidth="1"/>
    <col min="22" max="22" width="13.33203125" style="111" customWidth="1"/>
    <col min="23" max="23" width="17.5" style="111" customWidth="1"/>
    <col min="24" max="24" width="13.6640625" style="111" customWidth="1"/>
    <col min="25" max="25" width="18.83203125" style="111" customWidth="1"/>
    <col min="26" max="26" width="9.1640625" style="149" customWidth="1"/>
    <col min="27" max="578" width="9.1640625" style="69"/>
    <col min="579" max="16384" width="9.1640625" style="38"/>
  </cols>
  <sheetData>
    <row r="1" spans="1:578" ht="38.25" customHeight="1" x14ac:dyDescent="0.25">
      <c r="R1" s="144"/>
      <c r="S1" s="179" t="s">
        <v>605</v>
      </c>
      <c r="T1" s="180"/>
      <c r="U1" s="179"/>
      <c r="V1" s="179"/>
      <c r="W1" s="179"/>
      <c r="X1" s="144"/>
      <c r="Y1" s="144"/>
      <c r="Z1" s="202"/>
    </row>
    <row r="2" spans="1:578" ht="29.25" customHeight="1" x14ac:dyDescent="0.25">
      <c r="R2" s="144"/>
      <c r="S2" s="190" t="s">
        <v>608</v>
      </c>
      <c r="T2" s="190"/>
      <c r="U2" s="190"/>
      <c r="V2" s="190"/>
      <c r="W2" s="190"/>
      <c r="X2" s="190"/>
      <c r="Y2" s="190"/>
      <c r="Z2" s="202"/>
    </row>
    <row r="3" spans="1:578" ht="29.25" customHeight="1" x14ac:dyDescent="0.25">
      <c r="R3" s="144"/>
      <c r="S3" s="191" t="s">
        <v>607</v>
      </c>
      <c r="T3" s="191"/>
      <c r="U3" s="191"/>
      <c r="V3" s="191"/>
      <c r="W3" s="191"/>
      <c r="X3" s="191"/>
      <c r="Y3" s="191"/>
      <c r="Z3" s="202"/>
    </row>
    <row r="4" spans="1:578" ht="29.25" customHeight="1" x14ac:dyDescent="0.25">
      <c r="R4" s="144"/>
      <c r="S4" s="191" t="s">
        <v>602</v>
      </c>
      <c r="T4" s="191"/>
      <c r="U4" s="191"/>
      <c r="V4" s="191"/>
      <c r="W4" s="191"/>
      <c r="X4" s="191"/>
      <c r="Y4" s="191"/>
      <c r="Z4" s="202"/>
    </row>
    <row r="5" spans="1:578" ht="29.25" customHeight="1" x14ac:dyDescent="0.25">
      <c r="R5" s="144"/>
      <c r="S5" s="179" t="s">
        <v>606</v>
      </c>
      <c r="T5" s="179"/>
      <c r="U5" s="179"/>
      <c r="V5" s="179"/>
      <c r="W5" s="179"/>
      <c r="X5" s="144"/>
      <c r="Y5" s="144"/>
      <c r="Z5" s="202"/>
    </row>
    <row r="6" spans="1:578" ht="29.25" customHeight="1" x14ac:dyDescent="0.25">
      <c r="R6" s="144"/>
      <c r="S6" s="179"/>
      <c r="T6" s="179"/>
      <c r="U6" s="179"/>
      <c r="V6" s="179"/>
      <c r="W6" s="179"/>
      <c r="X6" s="144"/>
      <c r="Y6" s="144"/>
      <c r="Z6" s="202"/>
    </row>
    <row r="7" spans="1:578" ht="22.5" customHeight="1" x14ac:dyDescent="0.25">
      <c r="R7" s="144"/>
      <c r="S7" s="144"/>
      <c r="T7" s="144"/>
      <c r="U7" s="144"/>
      <c r="V7" s="144"/>
      <c r="W7" s="144"/>
      <c r="X7" s="144"/>
      <c r="Y7" s="144"/>
      <c r="Z7" s="202"/>
    </row>
    <row r="8" spans="1:578" ht="9" customHeight="1" x14ac:dyDescent="0.25">
      <c r="R8" s="137"/>
      <c r="S8" s="137"/>
      <c r="T8" s="137"/>
      <c r="U8" s="137"/>
      <c r="V8" s="137"/>
      <c r="Z8" s="202"/>
    </row>
    <row r="9" spans="1:578" s="92" customFormat="1" ht="27.75" x14ac:dyDescent="0.4">
      <c r="A9" s="200" t="s">
        <v>597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2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  <c r="IW9" s="91"/>
      <c r="IX9" s="91"/>
      <c r="IY9" s="91"/>
      <c r="IZ9" s="91"/>
      <c r="JA9" s="91"/>
      <c r="JB9" s="91"/>
      <c r="JC9" s="91"/>
      <c r="JD9" s="91"/>
      <c r="JE9" s="91"/>
      <c r="JF9" s="91"/>
      <c r="JG9" s="91"/>
      <c r="JH9" s="91"/>
      <c r="JI9" s="91"/>
      <c r="JJ9" s="91"/>
      <c r="JK9" s="91"/>
      <c r="JL9" s="91"/>
      <c r="JM9" s="91"/>
      <c r="JN9" s="91"/>
      <c r="JO9" s="91"/>
      <c r="JP9" s="91"/>
      <c r="JQ9" s="91"/>
      <c r="JR9" s="91"/>
      <c r="JS9" s="91"/>
      <c r="JT9" s="91"/>
      <c r="JU9" s="91"/>
      <c r="JV9" s="91"/>
      <c r="JW9" s="91"/>
      <c r="JX9" s="91"/>
      <c r="JY9" s="91"/>
      <c r="JZ9" s="91"/>
      <c r="KA9" s="91"/>
      <c r="KB9" s="91"/>
      <c r="KC9" s="91"/>
      <c r="KD9" s="91"/>
      <c r="KE9" s="91"/>
      <c r="KF9" s="91"/>
      <c r="KG9" s="91"/>
      <c r="KH9" s="91"/>
      <c r="KI9" s="91"/>
      <c r="KJ9" s="91"/>
      <c r="KK9" s="91"/>
      <c r="KL9" s="91"/>
      <c r="KM9" s="91"/>
      <c r="KN9" s="91"/>
      <c r="KO9" s="91"/>
      <c r="KP9" s="91"/>
      <c r="KQ9" s="91"/>
      <c r="KR9" s="91"/>
      <c r="KS9" s="91"/>
      <c r="KT9" s="91"/>
      <c r="KU9" s="91"/>
      <c r="KV9" s="91"/>
      <c r="KW9" s="91"/>
      <c r="KX9" s="91"/>
      <c r="KY9" s="91"/>
      <c r="KZ9" s="91"/>
      <c r="LA9" s="91"/>
      <c r="LB9" s="91"/>
      <c r="LC9" s="91"/>
      <c r="LD9" s="91"/>
      <c r="LE9" s="91"/>
      <c r="LF9" s="91"/>
      <c r="LG9" s="91"/>
      <c r="LH9" s="91"/>
      <c r="LI9" s="91"/>
      <c r="LJ9" s="91"/>
      <c r="LK9" s="91"/>
      <c r="LL9" s="91"/>
      <c r="LM9" s="91"/>
      <c r="LN9" s="91"/>
      <c r="LO9" s="91"/>
      <c r="LP9" s="91"/>
      <c r="LQ9" s="91"/>
      <c r="LR9" s="91"/>
      <c r="LS9" s="91"/>
      <c r="LT9" s="91"/>
      <c r="LU9" s="91"/>
      <c r="LV9" s="91"/>
      <c r="LW9" s="91"/>
      <c r="LX9" s="91"/>
      <c r="LY9" s="91"/>
      <c r="LZ9" s="91"/>
      <c r="MA9" s="91"/>
      <c r="MB9" s="91"/>
      <c r="MC9" s="91"/>
      <c r="MD9" s="91"/>
      <c r="ME9" s="91"/>
      <c r="MF9" s="91"/>
      <c r="MG9" s="91"/>
      <c r="MH9" s="91"/>
      <c r="MI9" s="91"/>
      <c r="MJ9" s="91"/>
      <c r="MK9" s="91"/>
      <c r="ML9" s="91"/>
      <c r="MM9" s="91"/>
      <c r="MN9" s="91"/>
      <c r="MO9" s="91"/>
      <c r="MP9" s="91"/>
      <c r="MQ9" s="91"/>
      <c r="MR9" s="91"/>
      <c r="MS9" s="91"/>
      <c r="MT9" s="91"/>
      <c r="MU9" s="91"/>
      <c r="MV9" s="91"/>
      <c r="MW9" s="91"/>
      <c r="MX9" s="91"/>
      <c r="MY9" s="91"/>
      <c r="MZ9" s="91"/>
      <c r="NA9" s="91"/>
      <c r="NB9" s="91"/>
      <c r="NC9" s="91"/>
      <c r="ND9" s="91"/>
      <c r="NE9" s="91"/>
      <c r="NF9" s="91"/>
      <c r="NG9" s="91"/>
      <c r="NH9" s="91"/>
      <c r="NI9" s="91"/>
      <c r="NJ9" s="91"/>
      <c r="NK9" s="91"/>
      <c r="NL9" s="91"/>
      <c r="NM9" s="91"/>
      <c r="NN9" s="91"/>
      <c r="NO9" s="91"/>
      <c r="NP9" s="91"/>
      <c r="NQ9" s="91"/>
      <c r="NR9" s="91"/>
      <c r="NS9" s="91"/>
      <c r="NT9" s="91"/>
      <c r="NU9" s="91"/>
      <c r="NV9" s="91"/>
      <c r="NW9" s="91"/>
      <c r="NX9" s="91"/>
      <c r="NY9" s="91"/>
      <c r="NZ9" s="91"/>
      <c r="OA9" s="91"/>
      <c r="OB9" s="91"/>
      <c r="OC9" s="91"/>
      <c r="OD9" s="91"/>
      <c r="OE9" s="91"/>
      <c r="OF9" s="91"/>
      <c r="OG9" s="91"/>
      <c r="OH9" s="91"/>
      <c r="OI9" s="91"/>
      <c r="OJ9" s="91"/>
      <c r="OK9" s="91"/>
      <c r="OL9" s="91"/>
      <c r="OM9" s="91"/>
      <c r="ON9" s="91"/>
      <c r="OO9" s="91"/>
      <c r="OP9" s="91"/>
      <c r="OQ9" s="91"/>
      <c r="OR9" s="91"/>
      <c r="OS9" s="91"/>
      <c r="OT9" s="91"/>
      <c r="OU9" s="91"/>
      <c r="OV9" s="91"/>
      <c r="OW9" s="91"/>
      <c r="OX9" s="91"/>
      <c r="OY9" s="91"/>
      <c r="OZ9" s="91"/>
      <c r="PA9" s="91"/>
      <c r="PB9" s="91"/>
      <c r="PC9" s="91"/>
      <c r="PD9" s="91"/>
      <c r="PE9" s="91"/>
      <c r="PF9" s="91"/>
      <c r="PG9" s="91"/>
      <c r="PH9" s="91"/>
      <c r="PI9" s="91"/>
      <c r="PJ9" s="91"/>
      <c r="PK9" s="91"/>
      <c r="PL9" s="91"/>
      <c r="PM9" s="91"/>
      <c r="PN9" s="91"/>
      <c r="PO9" s="91"/>
      <c r="PP9" s="91"/>
      <c r="PQ9" s="91"/>
      <c r="PR9" s="91"/>
      <c r="PS9" s="91"/>
      <c r="PT9" s="91"/>
      <c r="PU9" s="91"/>
      <c r="PV9" s="91"/>
      <c r="PW9" s="91"/>
      <c r="PX9" s="91"/>
      <c r="PY9" s="91"/>
      <c r="PZ9" s="91"/>
      <c r="QA9" s="91"/>
      <c r="QB9" s="91"/>
      <c r="QC9" s="91"/>
      <c r="QD9" s="91"/>
      <c r="QE9" s="91"/>
      <c r="QF9" s="91"/>
      <c r="QG9" s="91"/>
      <c r="QH9" s="91"/>
      <c r="QI9" s="91"/>
      <c r="QJ9" s="91"/>
      <c r="QK9" s="91"/>
      <c r="QL9" s="91"/>
      <c r="QM9" s="91"/>
      <c r="QN9" s="91"/>
      <c r="QO9" s="91"/>
      <c r="QP9" s="91"/>
      <c r="QQ9" s="91"/>
      <c r="QR9" s="91"/>
      <c r="QS9" s="91"/>
      <c r="QT9" s="91"/>
      <c r="QU9" s="91"/>
      <c r="QV9" s="91"/>
      <c r="QW9" s="91"/>
      <c r="QX9" s="91"/>
      <c r="QY9" s="91"/>
      <c r="QZ9" s="91"/>
      <c r="RA9" s="91"/>
      <c r="RB9" s="91"/>
      <c r="RC9" s="91"/>
      <c r="RD9" s="91"/>
      <c r="RE9" s="91"/>
      <c r="RF9" s="91"/>
      <c r="RG9" s="91"/>
      <c r="RH9" s="91"/>
      <c r="RI9" s="91"/>
      <c r="RJ9" s="91"/>
      <c r="RK9" s="91"/>
      <c r="RL9" s="91"/>
      <c r="RM9" s="91"/>
      <c r="RN9" s="91"/>
      <c r="RO9" s="91"/>
      <c r="RP9" s="91"/>
      <c r="RQ9" s="91"/>
      <c r="RR9" s="91"/>
      <c r="RS9" s="91"/>
      <c r="RT9" s="91"/>
      <c r="RU9" s="91"/>
      <c r="RV9" s="91"/>
      <c r="RW9" s="91"/>
      <c r="RX9" s="91"/>
      <c r="RY9" s="91"/>
      <c r="RZ9" s="91"/>
      <c r="SA9" s="91"/>
      <c r="SB9" s="91"/>
      <c r="SC9" s="91"/>
      <c r="SD9" s="91"/>
      <c r="SE9" s="91"/>
      <c r="SF9" s="91"/>
      <c r="SG9" s="91"/>
      <c r="SH9" s="91"/>
      <c r="SI9" s="91"/>
      <c r="SJ9" s="91"/>
      <c r="SK9" s="91"/>
      <c r="SL9" s="91"/>
      <c r="SM9" s="91"/>
      <c r="SN9" s="91"/>
      <c r="SO9" s="91"/>
      <c r="SP9" s="91"/>
      <c r="SQ9" s="91"/>
      <c r="SR9" s="91"/>
      <c r="SS9" s="91"/>
      <c r="ST9" s="91"/>
      <c r="SU9" s="91"/>
      <c r="SV9" s="91"/>
      <c r="SW9" s="91"/>
      <c r="SX9" s="91"/>
      <c r="SY9" s="91"/>
      <c r="SZ9" s="91"/>
      <c r="TA9" s="91"/>
      <c r="TB9" s="91"/>
      <c r="TC9" s="91"/>
      <c r="TD9" s="91"/>
      <c r="TE9" s="91"/>
      <c r="TF9" s="91"/>
      <c r="TG9" s="91"/>
      <c r="TH9" s="91"/>
      <c r="TI9" s="91"/>
      <c r="TJ9" s="91"/>
      <c r="TK9" s="91"/>
      <c r="TL9" s="91"/>
      <c r="TM9" s="91"/>
      <c r="TN9" s="91"/>
      <c r="TO9" s="91"/>
      <c r="TP9" s="91"/>
      <c r="TQ9" s="91"/>
      <c r="TR9" s="91"/>
      <c r="TS9" s="91"/>
      <c r="TT9" s="91"/>
      <c r="TU9" s="91"/>
      <c r="TV9" s="91"/>
      <c r="TW9" s="91"/>
      <c r="TX9" s="91"/>
      <c r="TY9" s="91"/>
      <c r="TZ9" s="91"/>
      <c r="UA9" s="91"/>
      <c r="UB9" s="91"/>
      <c r="UC9" s="91"/>
      <c r="UD9" s="91"/>
      <c r="UE9" s="91"/>
      <c r="UF9" s="91"/>
      <c r="UG9" s="91"/>
      <c r="UH9" s="91"/>
      <c r="UI9" s="91"/>
      <c r="UJ9" s="91"/>
      <c r="UK9" s="91"/>
      <c r="UL9" s="91"/>
      <c r="UM9" s="91"/>
      <c r="UN9" s="91"/>
      <c r="UO9" s="91"/>
      <c r="UP9" s="91"/>
      <c r="UQ9" s="91"/>
      <c r="UR9" s="91"/>
      <c r="US9" s="91"/>
      <c r="UT9" s="91"/>
      <c r="UU9" s="91"/>
      <c r="UV9" s="91"/>
      <c r="UW9" s="91"/>
      <c r="UX9" s="91"/>
      <c r="UY9" s="91"/>
      <c r="UZ9" s="91"/>
      <c r="VA9" s="91"/>
      <c r="VB9" s="91"/>
      <c r="VC9" s="91"/>
      <c r="VD9" s="91"/>
      <c r="VE9" s="91"/>
      <c r="VF9" s="91"/>
    </row>
    <row r="10" spans="1:578" ht="17.25" customHeight="1" x14ac:dyDescent="0.4">
      <c r="D10" s="36"/>
      <c r="X10" s="142" t="s">
        <v>303</v>
      </c>
      <c r="Z10" s="202"/>
    </row>
    <row r="11" spans="1:578" s="136" customFormat="1" ht="30" customHeight="1" x14ac:dyDescent="0.2">
      <c r="A11" s="193" t="s">
        <v>556</v>
      </c>
      <c r="B11" s="193" t="s">
        <v>557</v>
      </c>
      <c r="C11" s="193" t="s">
        <v>558</v>
      </c>
      <c r="D11" s="193" t="s">
        <v>560</v>
      </c>
      <c r="E11" s="194" t="s">
        <v>594</v>
      </c>
      <c r="F11" s="195"/>
      <c r="G11" s="195"/>
      <c r="H11" s="195"/>
      <c r="I11" s="195"/>
      <c r="J11" s="196"/>
      <c r="K11" s="197" t="s">
        <v>591</v>
      </c>
      <c r="L11" s="193" t="s">
        <v>595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7" t="s">
        <v>591</v>
      </c>
      <c r="Y11" s="201" t="s">
        <v>297</v>
      </c>
      <c r="Z11" s="202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</row>
    <row r="12" spans="1:578" s="136" customFormat="1" ht="30" customHeight="1" x14ac:dyDescent="0.2">
      <c r="A12" s="193"/>
      <c r="B12" s="193"/>
      <c r="C12" s="193"/>
      <c r="D12" s="193"/>
      <c r="E12" s="193" t="s">
        <v>593</v>
      </c>
      <c r="F12" s="193"/>
      <c r="G12" s="193"/>
      <c r="H12" s="194" t="s">
        <v>592</v>
      </c>
      <c r="I12" s="195"/>
      <c r="J12" s="196"/>
      <c r="K12" s="198"/>
      <c r="L12" s="194" t="s">
        <v>593</v>
      </c>
      <c r="M12" s="195"/>
      <c r="N12" s="195"/>
      <c r="O12" s="195"/>
      <c r="P12" s="195"/>
      <c r="Q12" s="196"/>
      <c r="R12" s="194" t="s">
        <v>592</v>
      </c>
      <c r="S12" s="195"/>
      <c r="T12" s="195"/>
      <c r="U12" s="195"/>
      <c r="V12" s="195"/>
      <c r="W12" s="196"/>
      <c r="X12" s="198"/>
      <c r="Y12" s="201"/>
      <c r="Z12" s="202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</row>
    <row r="13" spans="1:578" s="136" customFormat="1" ht="25.5" customHeight="1" x14ac:dyDescent="0.2">
      <c r="A13" s="193"/>
      <c r="B13" s="193"/>
      <c r="C13" s="193"/>
      <c r="D13" s="193"/>
      <c r="E13" s="193" t="s">
        <v>559</v>
      </c>
      <c r="F13" s="193" t="s">
        <v>299</v>
      </c>
      <c r="G13" s="193"/>
      <c r="H13" s="193" t="s">
        <v>559</v>
      </c>
      <c r="I13" s="193" t="s">
        <v>299</v>
      </c>
      <c r="J13" s="193"/>
      <c r="K13" s="198"/>
      <c r="L13" s="193" t="s">
        <v>559</v>
      </c>
      <c r="M13" s="197" t="s">
        <v>596</v>
      </c>
      <c r="N13" s="193" t="s">
        <v>298</v>
      </c>
      <c r="O13" s="193" t="s">
        <v>299</v>
      </c>
      <c r="P13" s="193"/>
      <c r="Q13" s="193" t="s">
        <v>300</v>
      </c>
      <c r="R13" s="193" t="s">
        <v>559</v>
      </c>
      <c r="S13" s="197" t="s">
        <v>596</v>
      </c>
      <c r="T13" s="193" t="s">
        <v>298</v>
      </c>
      <c r="U13" s="193" t="s">
        <v>299</v>
      </c>
      <c r="V13" s="193"/>
      <c r="W13" s="193" t="s">
        <v>300</v>
      </c>
      <c r="X13" s="198"/>
      <c r="Y13" s="201"/>
      <c r="Z13" s="202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</row>
    <row r="14" spans="1:578" s="136" customFormat="1" ht="49.5" customHeight="1" x14ac:dyDescent="0.2">
      <c r="A14" s="193"/>
      <c r="B14" s="193"/>
      <c r="C14" s="193"/>
      <c r="D14" s="193"/>
      <c r="E14" s="193"/>
      <c r="F14" s="135" t="s">
        <v>301</v>
      </c>
      <c r="G14" s="135" t="s">
        <v>302</v>
      </c>
      <c r="H14" s="193"/>
      <c r="I14" s="135" t="s">
        <v>301</v>
      </c>
      <c r="J14" s="135" t="s">
        <v>302</v>
      </c>
      <c r="K14" s="199"/>
      <c r="L14" s="193"/>
      <c r="M14" s="199"/>
      <c r="N14" s="193"/>
      <c r="O14" s="135" t="s">
        <v>301</v>
      </c>
      <c r="P14" s="135" t="s">
        <v>302</v>
      </c>
      <c r="Q14" s="193"/>
      <c r="R14" s="193"/>
      <c r="S14" s="199"/>
      <c r="T14" s="193"/>
      <c r="U14" s="135" t="s">
        <v>301</v>
      </c>
      <c r="V14" s="135" t="s">
        <v>302</v>
      </c>
      <c r="W14" s="193"/>
      <c r="X14" s="199"/>
      <c r="Y14" s="201"/>
      <c r="Z14" s="202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</row>
    <row r="15" spans="1:578" s="57" customFormat="1" ht="19.5" customHeight="1" x14ac:dyDescent="0.2">
      <c r="A15" s="58" t="s">
        <v>202</v>
      </c>
      <c r="B15" s="58"/>
      <c r="C15" s="58"/>
      <c r="D15" s="59" t="s">
        <v>58</v>
      </c>
      <c r="E15" s="77">
        <v>164514070</v>
      </c>
      <c r="F15" s="77">
        <f t="shared" ref="F15:W15" si="0">F16</f>
        <v>83507132</v>
      </c>
      <c r="G15" s="77">
        <f t="shared" si="0"/>
        <v>4790396</v>
      </c>
      <c r="H15" s="77">
        <f t="shared" si="0"/>
        <v>31469286.509999998</v>
      </c>
      <c r="I15" s="77">
        <f t="shared" si="0"/>
        <v>18475860.300000001</v>
      </c>
      <c r="J15" s="77">
        <f t="shared" si="0"/>
        <v>1154703.72</v>
      </c>
      <c r="K15" s="129">
        <f>SUM(H15/E15)*100</f>
        <v>19.128629247334285</v>
      </c>
      <c r="L15" s="77">
        <f t="shared" si="0"/>
        <v>71492053</v>
      </c>
      <c r="M15" s="77">
        <f t="shared" si="0"/>
        <v>70866900</v>
      </c>
      <c r="N15" s="77">
        <f t="shared" si="0"/>
        <v>625153</v>
      </c>
      <c r="O15" s="77">
        <f t="shared" si="0"/>
        <v>158895</v>
      </c>
      <c r="P15" s="77">
        <f t="shared" si="0"/>
        <v>56455</v>
      </c>
      <c r="Q15" s="77">
        <f t="shared" si="0"/>
        <v>70866900</v>
      </c>
      <c r="R15" s="77">
        <f t="shared" si="0"/>
        <v>274907.31</v>
      </c>
      <c r="S15" s="79">
        <f t="shared" si="0"/>
        <v>160536.97999999998</v>
      </c>
      <c r="T15" s="79">
        <f t="shared" si="0"/>
        <v>114370.33</v>
      </c>
      <c r="U15" s="79">
        <f t="shared" si="0"/>
        <v>19214.490000000002</v>
      </c>
      <c r="V15" s="79">
        <f t="shared" si="0"/>
        <v>10356.85</v>
      </c>
      <c r="W15" s="79">
        <f t="shared" si="0"/>
        <v>160536.97999999998</v>
      </c>
      <c r="X15" s="131">
        <f>SUM(R15/L15)*100</f>
        <v>0.38452848738306622</v>
      </c>
      <c r="Y15" s="79">
        <f>SUM(H15+R15)</f>
        <v>31744193.819999997</v>
      </c>
      <c r="Z15" s="202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</row>
    <row r="16" spans="1:578" s="75" customFormat="1" ht="19.5" customHeight="1" x14ac:dyDescent="0.2">
      <c r="A16" s="60" t="s">
        <v>203</v>
      </c>
      <c r="B16" s="60"/>
      <c r="C16" s="60"/>
      <c r="D16" s="61" t="s">
        <v>58</v>
      </c>
      <c r="E16" s="78">
        <v>164514070</v>
      </c>
      <c r="F16" s="78">
        <f t="shared" ref="F16:Q16" si="1">F17+F18+F19+F20+F21+F22+F23+F24+F25+F26+F27+F28+F29+F30+F31+F32+F33+F34+F35+F36+F37+F38+F39+F40+F41+F42+F43+F44+F45+F46+F47+F48+F49+F50+F51+F52</f>
        <v>83507132</v>
      </c>
      <c r="G16" s="78">
        <f t="shared" si="1"/>
        <v>4790396</v>
      </c>
      <c r="H16" s="78">
        <f>H17+H18+H19+H20+H21+H22+H23+H24+H25+H26+H27+H28+H29+H30+H31+H32+H33+H34+H35+H36+H37+H38+H39+H40+H41+H42+H43+H44+H45+H46+H47+H48+H49+H50+H51+H52</f>
        <v>31469286.509999998</v>
      </c>
      <c r="I16" s="78">
        <f>I17+I18+I19+I20+I21+I22+I23+I24+I25+I26+I27+I28+I29+I30+I31+I32+I33+I34+I35+I36+I37+I38+I39+I40+I41+I42+I43+I44+I45+I46+I47+I48+I49+I50+I51+I52</f>
        <v>18475860.300000001</v>
      </c>
      <c r="J16" s="78">
        <f>J17+J18+J19+J20+J21+J22+J23+J24+J25+J26+J27+J28+J29+J30+J31+J32+J33+J34+J35+J36+J37+J38+J39+J40+J41+J42+J43+J44+J45+J46+J47+J48+J49+J50+J51+J52</f>
        <v>1154703.72</v>
      </c>
      <c r="K16" s="129">
        <f t="shared" ref="K16:K79" si="2">SUM(H16/E16)*100</f>
        <v>19.128629247334285</v>
      </c>
      <c r="L16" s="78">
        <f t="shared" si="1"/>
        <v>71492053</v>
      </c>
      <c r="M16" s="78">
        <f>M17+M18+M19+M20+M21+M22+M23+M24+M25+M26+M27+M28+M29+M30+M31+M32+M33+M34+M35+M36+M37+M38+M39+M40+M41+M42+M43+M44+M45+M46+M47+M48+M49+M50+M51+M52</f>
        <v>70866900</v>
      </c>
      <c r="N16" s="78">
        <f t="shared" si="1"/>
        <v>625153</v>
      </c>
      <c r="O16" s="78">
        <f t="shared" si="1"/>
        <v>158895</v>
      </c>
      <c r="P16" s="78">
        <f t="shared" si="1"/>
        <v>56455</v>
      </c>
      <c r="Q16" s="78">
        <f t="shared" si="1"/>
        <v>70866900</v>
      </c>
      <c r="R16" s="78">
        <f t="shared" ref="R16:W16" si="3">R17+R18+R19+R20+R21+R22+R23+R24+R25+R26+R27+R28+R29+R30+R31+R32+R33+R34+R35+R36+R37+R38+R39+R40+R41+R42+R43+R44+R45+R46+R47+R48+R49+R50+R51+R52</f>
        <v>274907.31</v>
      </c>
      <c r="S16" s="78">
        <f t="shared" ref="S16" si="4">S17+S18+S19+S20+S21+S22+S23+S24+S25+S26+S27+S28+S29+S30+S31+S32+S33+S34+S35+S36+S37+S38+S39+S40+S41+S42+S43+S44+S45+S46+S47+S48+S49+S50+S51+S52</f>
        <v>160536.97999999998</v>
      </c>
      <c r="T16" s="78">
        <f t="shared" si="3"/>
        <v>114370.33</v>
      </c>
      <c r="U16" s="78">
        <f t="shared" si="3"/>
        <v>19214.490000000002</v>
      </c>
      <c r="V16" s="78">
        <f t="shared" si="3"/>
        <v>10356.85</v>
      </c>
      <c r="W16" s="78">
        <f t="shared" si="3"/>
        <v>160536.97999999998</v>
      </c>
      <c r="X16" s="131">
        <f t="shared" ref="X16:X79" si="5">SUM(R16/L16)*100</f>
        <v>0.38452848738306622</v>
      </c>
      <c r="Y16" s="79">
        <f t="shared" ref="Y16:Y79" si="6">SUM(H16+R16)</f>
        <v>31744193.819999997</v>
      </c>
      <c r="Z16" s="202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</row>
    <row r="17" spans="1:578" s="41" customFormat="1" ht="44.25" customHeight="1" x14ac:dyDescent="0.2">
      <c r="A17" s="39" t="s">
        <v>204</v>
      </c>
      <c r="B17" s="90" t="str">
        <f>'дод 3'!A16</f>
        <v>0160</v>
      </c>
      <c r="C17" s="90" t="str">
        <f>'дод 3'!B16</f>
        <v>0111</v>
      </c>
      <c r="D17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7" s="65">
        <v>93435600</v>
      </c>
      <c r="F17" s="65">
        <v>67900413</v>
      </c>
      <c r="G17" s="65">
        <f>2571728+35280</f>
        <v>2607008</v>
      </c>
      <c r="H17" s="65">
        <v>19828596.09</v>
      </c>
      <c r="I17" s="65">
        <v>14942702.57</v>
      </c>
      <c r="J17" s="65">
        <v>595422.41</v>
      </c>
      <c r="K17" s="130">
        <f t="shared" si="2"/>
        <v>21.22167149352067</v>
      </c>
      <c r="L17" s="65">
        <f t="shared" ref="L17:L67" si="7">N17+Q17</f>
        <v>2000000</v>
      </c>
      <c r="M17" s="65">
        <v>2000000</v>
      </c>
      <c r="N17" s="65"/>
      <c r="O17" s="65"/>
      <c r="P17" s="65"/>
      <c r="Q17" s="65">
        <v>2000000</v>
      </c>
      <c r="R17" s="65">
        <f t="shared" ref="R17:R80" si="8">T17+W17</f>
        <v>83433.84</v>
      </c>
      <c r="S17" s="65">
        <v>58883</v>
      </c>
      <c r="T17" s="65">
        <v>24550.84</v>
      </c>
      <c r="U17" s="65"/>
      <c r="V17" s="65"/>
      <c r="W17" s="65">
        <v>58883</v>
      </c>
      <c r="X17" s="132">
        <f t="shared" si="5"/>
        <v>4.1716920000000002</v>
      </c>
      <c r="Y17" s="65">
        <f t="shared" si="6"/>
        <v>19912029.93</v>
      </c>
      <c r="Z17" s="202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</row>
    <row r="18" spans="1:578" s="41" customFormat="1" ht="27" customHeight="1" x14ac:dyDescent="0.2">
      <c r="A18" s="39" t="s">
        <v>315</v>
      </c>
      <c r="B18" s="90" t="str">
        <f>'дод 3'!A17</f>
        <v>0180</v>
      </c>
      <c r="C18" s="90" t="str">
        <f>'дод 3'!B17</f>
        <v>0133</v>
      </c>
      <c r="D18" s="42" t="str">
        <f>'дод 3'!C17</f>
        <v>Інша діяльність у сфері державного управління</v>
      </c>
      <c r="E18" s="65">
        <v>210000</v>
      </c>
      <c r="F18" s="65"/>
      <c r="G18" s="65"/>
      <c r="H18" s="65">
        <v>20470</v>
      </c>
      <c r="I18" s="65"/>
      <c r="J18" s="65"/>
      <c r="K18" s="130">
        <f t="shared" si="2"/>
        <v>9.7476190476190485</v>
      </c>
      <c r="L18" s="65">
        <f t="shared" si="7"/>
        <v>0</v>
      </c>
      <c r="M18" s="65"/>
      <c r="N18" s="65"/>
      <c r="O18" s="65"/>
      <c r="P18" s="65"/>
      <c r="Q18" s="65"/>
      <c r="R18" s="65">
        <f t="shared" si="8"/>
        <v>0</v>
      </c>
      <c r="S18" s="65"/>
      <c r="T18" s="65"/>
      <c r="U18" s="65"/>
      <c r="V18" s="65"/>
      <c r="W18" s="65"/>
      <c r="X18" s="132"/>
      <c r="Y18" s="65">
        <f t="shared" si="6"/>
        <v>20470</v>
      </c>
      <c r="Z18" s="202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</row>
    <row r="19" spans="1:578" s="41" customFormat="1" ht="45.75" customHeight="1" x14ac:dyDescent="0.2">
      <c r="A19" s="39" t="s">
        <v>331</v>
      </c>
      <c r="B19" s="90" t="str">
        <f>'дод 3'!A71</f>
        <v>3033</v>
      </c>
      <c r="C19" s="90" t="str">
        <f>'дод 3'!B71</f>
        <v>1070</v>
      </c>
      <c r="D19" s="42" t="str">
        <f>'дод 3'!C71</f>
        <v>Компенсаційні виплати на пільговий проїзд автомобільним транспортом окремим категоріям громадян</v>
      </c>
      <c r="E19" s="65">
        <v>116396</v>
      </c>
      <c r="F19" s="65"/>
      <c r="G19" s="65"/>
      <c r="H19" s="65">
        <v>29098.25</v>
      </c>
      <c r="I19" s="65"/>
      <c r="J19" s="65"/>
      <c r="K19" s="130">
        <f t="shared" si="2"/>
        <v>24.99935564796041</v>
      </c>
      <c r="L19" s="65">
        <f t="shared" si="7"/>
        <v>0</v>
      </c>
      <c r="M19" s="65"/>
      <c r="N19" s="65"/>
      <c r="O19" s="65"/>
      <c r="P19" s="65"/>
      <c r="Q19" s="65"/>
      <c r="R19" s="65">
        <f t="shared" si="8"/>
        <v>0</v>
      </c>
      <c r="S19" s="65"/>
      <c r="T19" s="65"/>
      <c r="U19" s="65"/>
      <c r="V19" s="65"/>
      <c r="W19" s="65"/>
      <c r="X19" s="132"/>
      <c r="Y19" s="65">
        <f t="shared" si="6"/>
        <v>29098.25</v>
      </c>
      <c r="Z19" s="202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</row>
    <row r="20" spans="1:578" s="41" customFormat="1" ht="46.5" customHeight="1" x14ac:dyDescent="0.2">
      <c r="A20" s="39" t="s">
        <v>205</v>
      </c>
      <c r="B20" s="90" t="str">
        <f>'дод 3'!A73</f>
        <v>3036</v>
      </c>
      <c r="C20" s="90" t="str">
        <f>'дод 3'!B73</f>
        <v>1070</v>
      </c>
      <c r="D20" s="42" t="str">
        <f>'дод 3'!C73</f>
        <v>Компенсаційні виплати на пільговий проїзд електротранспортом окремим категоріям громадян</v>
      </c>
      <c r="E20" s="65">
        <v>253530</v>
      </c>
      <c r="F20" s="65"/>
      <c r="G20" s="65"/>
      <c r="H20" s="65">
        <v>63703.5</v>
      </c>
      <c r="I20" s="65"/>
      <c r="J20" s="65"/>
      <c r="K20" s="130">
        <f t="shared" si="2"/>
        <v>25.126612235238433</v>
      </c>
      <c r="L20" s="65">
        <f t="shared" si="7"/>
        <v>0</v>
      </c>
      <c r="M20" s="65"/>
      <c r="N20" s="65"/>
      <c r="O20" s="65"/>
      <c r="P20" s="65"/>
      <c r="Q20" s="65"/>
      <c r="R20" s="65">
        <f t="shared" si="8"/>
        <v>0</v>
      </c>
      <c r="S20" s="65"/>
      <c r="T20" s="65"/>
      <c r="U20" s="65"/>
      <c r="V20" s="65"/>
      <c r="W20" s="65"/>
      <c r="X20" s="132"/>
      <c r="Y20" s="65">
        <f t="shared" si="6"/>
        <v>63703.5</v>
      </c>
      <c r="Z20" s="202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</row>
    <row r="21" spans="1:578" s="41" customFormat="1" ht="36" customHeight="1" x14ac:dyDescent="0.2">
      <c r="A21" s="39" t="s">
        <v>206</v>
      </c>
      <c r="B21" s="90" t="str">
        <f>'дод 3'!A107</f>
        <v>3121</v>
      </c>
      <c r="C21" s="90" t="str">
        <f>'дод 3'!B107</f>
        <v>1040</v>
      </c>
      <c r="D21" s="42" t="str">
        <f>'дод 3'!C107</f>
        <v>Утримання та забезпечення діяльності центрів соціальних служб для сім’ї, дітей та молоді</v>
      </c>
      <c r="E21" s="65">
        <v>2260500</v>
      </c>
      <c r="F21" s="65">
        <v>1724250</v>
      </c>
      <c r="G21" s="65">
        <f>53204+510</f>
        <v>53714</v>
      </c>
      <c r="H21" s="65">
        <v>496439.32</v>
      </c>
      <c r="I21" s="65">
        <v>387783.81</v>
      </c>
      <c r="J21" s="65">
        <v>17696.650000000001</v>
      </c>
      <c r="K21" s="130">
        <f t="shared" si="2"/>
        <v>21.961482857774829</v>
      </c>
      <c r="L21" s="65">
        <f t="shared" si="7"/>
        <v>0</v>
      </c>
      <c r="M21" s="65"/>
      <c r="N21" s="65"/>
      <c r="O21" s="65"/>
      <c r="P21" s="65"/>
      <c r="Q21" s="65"/>
      <c r="R21" s="65">
        <f t="shared" si="8"/>
        <v>0</v>
      </c>
      <c r="S21" s="65"/>
      <c r="T21" s="65"/>
      <c r="U21" s="65"/>
      <c r="V21" s="65"/>
      <c r="W21" s="65"/>
      <c r="X21" s="132"/>
      <c r="Y21" s="65">
        <f t="shared" si="6"/>
        <v>496439.32</v>
      </c>
      <c r="Z21" s="202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</row>
    <row r="22" spans="1:578" s="41" customFormat="1" ht="51" customHeight="1" x14ac:dyDescent="0.2">
      <c r="A22" s="39" t="s">
        <v>207</v>
      </c>
      <c r="B22" s="90" t="str">
        <f>'дод 3'!A108</f>
        <v>3131</v>
      </c>
      <c r="C22" s="90" t="str">
        <f>'дод 3'!B108</f>
        <v>1040</v>
      </c>
      <c r="D22" s="42" t="str">
        <f>'дод 3'!C108</f>
        <v>Здійснення заходів та реалізація проектів на виконання Державної цільової соціальної програми «Молодь України»</v>
      </c>
      <c r="E22" s="65">
        <v>800000</v>
      </c>
      <c r="F22" s="65"/>
      <c r="G22" s="65"/>
      <c r="H22" s="65">
        <v>34716.93</v>
      </c>
      <c r="I22" s="65"/>
      <c r="J22" s="65"/>
      <c r="K22" s="130">
        <f t="shared" si="2"/>
        <v>4.3396162500000006</v>
      </c>
      <c r="L22" s="65">
        <f t="shared" si="7"/>
        <v>0</v>
      </c>
      <c r="M22" s="65"/>
      <c r="N22" s="65"/>
      <c r="O22" s="65"/>
      <c r="P22" s="65"/>
      <c r="Q22" s="65"/>
      <c r="R22" s="65">
        <f t="shared" si="8"/>
        <v>0</v>
      </c>
      <c r="S22" s="65"/>
      <c r="T22" s="65"/>
      <c r="U22" s="65"/>
      <c r="V22" s="65"/>
      <c r="W22" s="65"/>
      <c r="X22" s="132"/>
      <c r="Y22" s="65">
        <f t="shared" si="6"/>
        <v>34716.93</v>
      </c>
      <c r="Z22" s="202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</row>
    <row r="23" spans="1:578" s="41" customFormat="1" ht="60" customHeight="1" x14ac:dyDescent="0.2">
      <c r="A23" s="39" t="s">
        <v>208</v>
      </c>
      <c r="B23" s="90" t="str">
        <f>'дод 3'!A109</f>
        <v>3140</v>
      </c>
      <c r="C23" s="90" t="str">
        <f>'дод 3'!B109</f>
        <v>1040</v>
      </c>
      <c r="D23" s="42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3" s="65">
        <v>3076854</v>
      </c>
      <c r="F23" s="65"/>
      <c r="G23" s="65"/>
      <c r="H23" s="65"/>
      <c r="I23" s="65"/>
      <c r="J23" s="65"/>
      <c r="K23" s="130">
        <f t="shared" si="2"/>
        <v>0</v>
      </c>
      <c r="L23" s="65">
        <f t="shared" si="7"/>
        <v>0</v>
      </c>
      <c r="M23" s="65"/>
      <c r="N23" s="65"/>
      <c r="O23" s="65"/>
      <c r="P23" s="65"/>
      <c r="Q23" s="65"/>
      <c r="R23" s="65">
        <f t="shared" si="8"/>
        <v>0</v>
      </c>
      <c r="S23" s="65"/>
      <c r="T23" s="65"/>
      <c r="U23" s="65"/>
      <c r="V23" s="65"/>
      <c r="W23" s="65"/>
      <c r="X23" s="132"/>
      <c r="Y23" s="65">
        <f t="shared" si="6"/>
        <v>0</v>
      </c>
      <c r="Z23" s="202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</row>
    <row r="24" spans="1:578" s="41" customFormat="1" ht="37.5" customHeight="1" x14ac:dyDescent="0.2">
      <c r="A24" s="39" t="s">
        <v>397</v>
      </c>
      <c r="B24" s="90" t="str">
        <f>'дод 3'!A126</f>
        <v>3241</v>
      </c>
      <c r="C24" s="90" t="str">
        <f>'дод 3'!B126</f>
        <v>1090</v>
      </c>
      <c r="D24" s="42" t="str">
        <f>'дод 3'!C126</f>
        <v>Забезпечення діяльності інших закладів у сфері соціального захисту і соціального забезпечення</v>
      </c>
      <c r="E24" s="65">
        <v>1028700</v>
      </c>
      <c r="F24" s="65">
        <v>720662</v>
      </c>
      <c r="G24" s="65">
        <v>114491</v>
      </c>
      <c r="H24" s="65">
        <v>250551.28</v>
      </c>
      <c r="I24" s="65">
        <v>167762.62</v>
      </c>
      <c r="J24" s="65">
        <v>40092.51</v>
      </c>
      <c r="K24" s="130">
        <f t="shared" si="2"/>
        <v>24.356107708758628</v>
      </c>
      <c r="L24" s="65">
        <f t="shared" si="7"/>
        <v>0</v>
      </c>
      <c r="M24" s="65"/>
      <c r="N24" s="65"/>
      <c r="O24" s="65"/>
      <c r="P24" s="65"/>
      <c r="Q24" s="65"/>
      <c r="R24" s="65">
        <f t="shared" si="8"/>
        <v>0</v>
      </c>
      <c r="S24" s="65"/>
      <c r="T24" s="65"/>
      <c r="U24" s="65"/>
      <c r="V24" s="65"/>
      <c r="W24" s="65"/>
      <c r="X24" s="132"/>
      <c r="Y24" s="65">
        <f t="shared" si="6"/>
        <v>250551.28</v>
      </c>
      <c r="Z24" s="202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</row>
    <row r="25" spans="1:578" s="41" customFormat="1" ht="33.75" customHeight="1" x14ac:dyDescent="0.2">
      <c r="A25" s="39" t="s">
        <v>398</v>
      </c>
      <c r="B25" s="90" t="str">
        <f>'дод 3'!A127</f>
        <v>3242</v>
      </c>
      <c r="C25" s="90" t="str">
        <f>'дод 3'!B127</f>
        <v>1090</v>
      </c>
      <c r="D25" s="42" t="str">
        <f>'дод 3'!C127</f>
        <v>Інші заходи у сфері соціального захисту і соціального забезпечення</v>
      </c>
      <c r="E25" s="65">
        <v>238590</v>
      </c>
      <c r="F25" s="65"/>
      <c r="G25" s="65"/>
      <c r="H25" s="65">
        <v>17302.919999999998</v>
      </c>
      <c r="I25" s="65"/>
      <c r="J25" s="65"/>
      <c r="K25" s="130">
        <f t="shared" si="2"/>
        <v>7.2521564189613974</v>
      </c>
      <c r="L25" s="65">
        <f t="shared" si="7"/>
        <v>0</v>
      </c>
      <c r="M25" s="65"/>
      <c r="N25" s="65"/>
      <c r="O25" s="65"/>
      <c r="P25" s="65"/>
      <c r="Q25" s="65"/>
      <c r="R25" s="65">
        <f t="shared" si="8"/>
        <v>0</v>
      </c>
      <c r="S25" s="65"/>
      <c r="T25" s="65"/>
      <c r="U25" s="65"/>
      <c r="V25" s="65"/>
      <c r="W25" s="65"/>
      <c r="X25" s="132"/>
      <c r="Y25" s="65">
        <f t="shared" si="6"/>
        <v>17302.919999999998</v>
      </c>
      <c r="Z25" s="202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</row>
    <row r="26" spans="1:578" s="41" customFormat="1" ht="33.75" customHeight="1" x14ac:dyDescent="0.2">
      <c r="A26" s="39" t="s">
        <v>485</v>
      </c>
      <c r="B26" s="90" t="str">
        <f>'дод 3'!A130</f>
        <v>4060</v>
      </c>
      <c r="C26" s="90" t="str">
        <f>'дод 3'!B130</f>
        <v>0828</v>
      </c>
      <c r="D26" s="42" t="str">
        <f>'дод 3'!C130</f>
        <v>Забезпечення діяльності палаців i будинків культури, клубів, центрів дозвілля та iнших клубних закладів</v>
      </c>
      <c r="E26" s="65">
        <v>2487400</v>
      </c>
      <c r="F26" s="65">
        <v>1067040</v>
      </c>
      <c r="G26" s="65">
        <f>409840+389</f>
        <v>410229</v>
      </c>
      <c r="H26" s="65">
        <v>447501.45</v>
      </c>
      <c r="I26" s="65">
        <v>245287.34</v>
      </c>
      <c r="J26" s="65">
        <v>122281.49</v>
      </c>
      <c r="K26" s="130">
        <f t="shared" si="2"/>
        <v>17.990731285679825</v>
      </c>
      <c r="L26" s="65">
        <f t="shared" si="7"/>
        <v>20000</v>
      </c>
      <c r="M26" s="65">
        <v>20000</v>
      </c>
      <c r="N26" s="65"/>
      <c r="O26" s="65"/>
      <c r="P26" s="65"/>
      <c r="Q26" s="65">
        <v>20000</v>
      </c>
      <c r="R26" s="65">
        <f t="shared" si="8"/>
        <v>0</v>
      </c>
      <c r="S26" s="65"/>
      <c r="T26" s="65"/>
      <c r="U26" s="65"/>
      <c r="V26" s="65"/>
      <c r="W26" s="65"/>
      <c r="X26" s="132">
        <f t="shared" si="5"/>
        <v>0</v>
      </c>
      <c r="Y26" s="65">
        <f t="shared" si="6"/>
        <v>447501.45</v>
      </c>
      <c r="Z26" s="202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</row>
    <row r="27" spans="1:578" s="41" customFormat="1" ht="30.75" customHeight="1" x14ac:dyDescent="0.2">
      <c r="A27" s="39" t="s">
        <v>395</v>
      </c>
      <c r="B27" s="90" t="str">
        <f>'дод 3'!A131</f>
        <v>4081</v>
      </c>
      <c r="C27" s="90" t="str">
        <f>'дод 3'!B131</f>
        <v>0829</v>
      </c>
      <c r="D27" s="42" t="str">
        <f>'дод 3'!C131</f>
        <v xml:space="preserve">Забезпечення діяльності інших закладів в галузі культури і мистецтва </v>
      </c>
      <c r="E27" s="65">
        <v>2598000</v>
      </c>
      <c r="F27" s="65">
        <v>1268300</v>
      </c>
      <c r="G27" s="65">
        <v>95365</v>
      </c>
      <c r="H27" s="65">
        <v>362499.74</v>
      </c>
      <c r="I27" s="65">
        <v>255517.15</v>
      </c>
      <c r="J27" s="65">
        <v>29099.33</v>
      </c>
      <c r="K27" s="130">
        <f t="shared" si="2"/>
        <v>13.953030792917628</v>
      </c>
      <c r="L27" s="65">
        <f t="shared" si="7"/>
        <v>23000</v>
      </c>
      <c r="M27" s="65">
        <v>23000</v>
      </c>
      <c r="N27" s="65"/>
      <c r="O27" s="65"/>
      <c r="P27" s="65"/>
      <c r="Q27" s="65">
        <f>23000</f>
        <v>23000</v>
      </c>
      <c r="R27" s="65">
        <f t="shared" si="8"/>
        <v>0</v>
      </c>
      <c r="S27" s="65"/>
      <c r="T27" s="65"/>
      <c r="U27" s="65"/>
      <c r="V27" s="65"/>
      <c r="W27" s="65"/>
      <c r="X27" s="132">
        <f t="shared" si="5"/>
        <v>0</v>
      </c>
      <c r="Y27" s="65">
        <f t="shared" si="6"/>
        <v>362499.74</v>
      </c>
      <c r="Z27" s="202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</row>
    <row r="28" spans="1:578" s="41" customFormat="1" ht="25.5" customHeight="1" x14ac:dyDescent="0.2">
      <c r="A28" s="39" t="s">
        <v>396</v>
      </c>
      <c r="B28" s="90" t="str">
        <f>'дод 3'!A132</f>
        <v>4082</v>
      </c>
      <c r="C28" s="90" t="str">
        <f>'дод 3'!B132</f>
        <v>0829</v>
      </c>
      <c r="D28" s="42" t="str">
        <f>'дод 3'!C132</f>
        <v>Інші заходи в галузі культури і мистецтва</v>
      </c>
      <c r="E28" s="65">
        <v>429100</v>
      </c>
      <c r="F28" s="65"/>
      <c r="G28" s="65"/>
      <c r="H28" s="65"/>
      <c r="I28" s="65"/>
      <c r="J28" s="65"/>
      <c r="K28" s="130">
        <f t="shared" si="2"/>
        <v>0</v>
      </c>
      <c r="L28" s="65">
        <f t="shared" si="7"/>
        <v>0</v>
      </c>
      <c r="M28" s="65"/>
      <c r="N28" s="65"/>
      <c r="O28" s="65"/>
      <c r="P28" s="65"/>
      <c r="Q28" s="65"/>
      <c r="R28" s="65">
        <f t="shared" si="8"/>
        <v>0</v>
      </c>
      <c r="S28" s="65"/>
      <c r="T28" s="65"/>
      <c r="U28" s="65"/>
      <c r="V28" s="65"/>
      <c r="W28" s="65"/>
      <c r="X28" s="132"/>
      <c r="Y28" s="65">
        <f t="shared" si="6"/>
        <v>0</v>
      </c>
      <c r="Z28" s="202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</row>
    <row r="29" spans="1:578" s="41" customFormat="1" ht="36.75" customHeight="1" x14ac:dyDescent="0.2">
      <c r="A29" s="43" t="s">
        <v>209</v>
      </c>
      <c r="B29" s="95" t="str">
        <f>'дод 3'!A134</f>
        <v>5011</v>
      </c>
      <c r="C29" s="95" t="str">
        <f>'дод 3'!B134</f>
        <v>0810</v>
      </c>
      <c r="D29" s="40" t="str">
        <f>'дод 3'!C134</f>
        <v>Проведення навчально-тренувальних зборів і змагань з олімпійських видів спорту</v>
      </c>
      <c r="E29" s="65">
        <v>750000</v>
      </c>
      <c r="F29" s="65"/>
      <c r="G29" s="65"/>
      <c r="H29" s="65">
        <v>75190.81</v>
      </c>
      <c r="I29" s="65"/>
      <c r="J29" s="65"/>
      <c r="K29" s="130">
        <f t="shared" si="2"/>
        <v>10.025441333333333</v>
      </c>
      <c r="L29" s="65">
        <f t="shared" si="7"/>
        <v>0</v>
      </c>
      <c r="M29" s="65"/>
      <c r="N29" s="65"/>
      <c r="O29" s="65"/>
      <c r="P29" s="65"/>
      <c r="Q29" s="65"/>
      <c r="R29" s="65">
        <f t="shared" si="8"/>
        <v>0</v>
      </c>
      <c r="S29" s="65"/>
      <c r="T29" s="65"/>
      <c r="U29" s="65"/>
      <c r="V29" s="65"/>
      <c r="W29" s="65"/>
      <c r="X29" s="132"/>
      <c r="Y29" s="65">
        <f t="shared" si="6"/>
        <v>75190.81</v>
      </c>
      <c r="Z29" s="202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7"/>
      <c r="TJ29" s="47"/>
      <c r="TK29" s="47"/>
      <c r="TL29" s="47"/>
      <c r="TM29" s="47"/>
      <c r="TN29" s="47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7"/>
      <c r="TZ29" s="47"/>
      <c r="UA29" s="47"/>
      <c r="UB29" s="47"/>
      <c r="UC29" s="47"/>
      <c r="UD29" s="47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7"/>
      <c r="UP29" s="47"/>
      <c r="UQ29" s="47"/>
      <c r="UR29" s="47"/>
      <c r="US29" s="47"/>
      <c r="UT29" s="47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7"/>
      <c r="VF29" s="47"/>
    </row>
    <row r="30" spans="1:578" s="41" customFormat="1" ht="34.5" customHeight="1" x14ac:dyDescent="0.2">
      <c r="A30" s="43" t="s">
        <v>210</v>
      </c>
      <c r="B30" s="95" t="str">
        <f>'дод 3'!A135</f>
        <v>5012</v>
      </c>
      <c r="C30" s="95" t="str">
        <f>'дод 3'!B135</f>
        <v>0810</v>
      </c>
      <c r="D30" s="40" t="str">
        <f>'дод 3'!C135</f>
        <v>Проведення навчально-тренувальних зборів і змагань з неолімпійських видів спорту</v>
      </c>
      <c r="E30" s="65">
        <v>837000</v>
      </c>
      <c r="F30" s="65"/>
      <c r="G30" s="65"/>
      <c r="H30" s="65">
        <v>83973.81</v>
      </c>
      <c r="I30" s="65"/>
      <c r="J30" s="65"/>
      <c r="K30" s="130">
        <f t="shared" si="2"/>
        <v>10.032713261648746</v>
      </c>
      <c r="L30" s="65">
        <f t="shared" si="7"/>
        <v>0</v>
      </c>
      <c r="M30" s="65"/>
      <c r="N30" s="65"/>
      <c r="O30" s="65"/>
      <c r="P30" s="65"/>
      <c r="Q30" s="65"/>
      <c r="R30" s="65">
        <f t="shared" si="8"/>
        <v>0</v>
      </c>
      <c r="S30" s="65"/>
      <c r="T30" s="65"/>
      <c r="U30" s="65"/>
      <c r="V30" s="65"/>
      <c r="W30" s="65"/>
      <c r="X30" s="132"/>
      <c r="Y30" s="65">
        <f t="shared" si="6"/>
        <v>83973.81</v>
      </c>
      <c r="Z30" s="202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</row>
    <row r="31" spans="1:578" s="41" customFormat="1" ht="39" customHeight="1" x14ac:dyDescent="0.2">
      <c r="A31" s="43" t="s">
        <v>211</v>
      </c>
      <c r="B31" s="95" t="str">
        <f>'дод 3'!A136</f>
        <v>5031</v>
      </c>
      <c r="C31" s="95" t="str">
        <f>'дод 3'!B136</f>
        <v>0810</v>
      </c>
      <c r="D31" s="40" t="str">
        <f>'дод 3'!C136</f>
        <v>Утримання та навчально-тренувальна робота комунальних дитячо-юнацьких спортивних шкіл</v>
      </c>
      <c r="E31" s="65">
        <v>10141300</v>
      </c>
      <c r="F31" s="65">
        <v>7398000</v>
      </c>
      <c r="G31" s="65">
        <v>659700</v>
      </c>
      <c r="H31" s="65">
        <v>2366070.44</v>
      </c>
      <c r="I31" s="65">
        <v>1716453.4</v>
      </c>
      <c r="J31" s="65">
        <v>218812.25</v>
      </c>
      <c r="K31" s="130">
        <f t="shared" si="2"/>
        <v>23.331036849319119</v>
      </c>
      <c r="L31" s="65">
        <f t="shared" si="7"/>
        <v>200000</v>
      </c>
      <c r="M31" s="65">
        <v>200000</v>
      </c>
      <c r="N31" s="65"/>
      <c r="O31" s="65"/>
      <c r="P31" s="65"/>
      <c r="Q31" s="65">
        <f>200000</f>
        <v>200000</v>
      </c>
      <c r="R31" s="65">
        <f t="shared" si="8"/>
        <v>0</v>
      </c>
      <c r="S31" s="65"/>
      <c r="T31" s="65"/>
      <c r="U31" s="65"/>
      <c r="V31" s="65"/>
      <c r="W31" s="65"/>
      <c r="X31" s="132">
        <f t="shared" si="5"/>
        <v>0</v>
      </c>
      <c r="Y31" s="65">
        <f t="shared" si="6"/>
        <v>2366070.44</v>
      </c>
      <c r="Z31" s="202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7"/>
      <c r="OP31" s="47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7"/>
      <c r="PB31" s="47"/>
      <c r="PC31" s="47"/>
      <c r="PD31" s="47"/>
      <c r="PE31" s="47"/>
      <c r="PF31" s="47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7"/>
      <c r="PR31" s="47"/>
      <c r="PS31" s="47"/>
      <c r="PT31" s="47"/>
      <c r="PU31" s="47"/>
      <c r="PV31" s="47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7"/>
      <c r="QH31" s="47"/>
      <c r="QI31" s="47"/>
      <c r="QJ31" s="47"/>
      <c r="QK31" s="47"/>
      <c r="QL31" s="47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7"/>
      <c r="QX31" s="47"/>
      <c r="QY31" s="47"/>
      <c r="QZ31" s="47"/>
      <c r="RA31" s="47"/>
      <c r="RB31" s="47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7"/>
      <c r="RN31" s="47"/>
      <c r="RO31" s="47"/>
      <c r="RP31" s="47"/>
      <c r="RQ31" s="47"/>
      <c r="RR31" s="47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7"/>
      <c r="SD31" s="47"/>
      <c r="SE31" s="47"/>
      <c r="SF31" s="47"/>
      <c r="SG31" s="47"/>
      <c r="SH31" s="47"/>
      <c r="SI31" s="47"/>
      <c r="SJ31" s="47"/>
      <c r="SK31" s="47"/>
      <c r="SL31" s="47"/>
      <c r="SM31" s="47"/>
      <c r="SN31" s="47"/>
      <c r="SO31" s="47"/>
      <c r="SP31" s="47"/>
      <c r="SQ31" s="47"/>
      <c r="SR31" s="47"/>
      <c r="SS31" s="47"/>
      <c r="ST31" s="47"/>
      <c r="SU31" s="47"/>
      <c r="SV31" s="47"/>
      <c r="SW31" s="47"/>
      <c r="SX31" s="47"/>
      <c r="SY31" s="47"/>
      <c r="SZ31" s="47"/>
      <c r="TA31" s="47"/>
      <c r="TB31" s="47"/>
      <c r="TC31" s="47"/>
      <c r="TD31" s="47"/>
      <c r="TE31" s="47"/>
      <c r="TF31" s="47"/>
      <c r="TG31" s="47"/>
      <c r="TH31" s="47"/>
      <c r="TI31" s="47"/>
      <c r="TJ31" s="47"/>
      <c r="TK31" s="47"/>
      <c r="TL31" s="47"/>
      <c r="TM31" s="47"/>
      <c r="TN31" s="47"/>
      <c r="TO31" s="47"/>
      <c r="TP31" s="47"/>
      <c r="TQ31" s="47"/>
      <c r="TR31" s="47"/>
      <c r="TS31" s="47"/>
      <c r="TT31" s="47"/>
      <c r="TU31" s="47"/>
      <c r="TV31" s="47"/>
      <c r="TW31" s="47"/>
      <c r="TX31" s="47"/>
      <c r="TY31" s="47"/>
      <c r="TZ31" s="47"/>
      <c r="UA31" s="47"/>
      <c r="UB31" s="47"/>
      <c r="UC31" s="47"/>
      <c r="UD31" s="47"/>
      <c r="UE31" s="47"/>
      <c r="UF31" s="47"/>
      <c r="UG31" s="47"/>
      <c r="UH31" s="47"/>
      <c r="UI31" s="47"/>
      <c r="UJ31" s="47"/>
      <c r="UK31" s="47"/>
      <c r="UL31" s="47"/>
      <c r="UM31" s="47"/>
      <c r="UN31" s="47"/>
      <c r="UO31" s="47"/>
      <c r="UP31" s="47"/>
      <c r="UQ31" s="47"/>
      <c r="UR31" s="47"/>
      <c r="US31" s="47"/>
      <c r="UT31" s="47"/>
      <c r="UU31" s="47"/>
      <c r="UV31" s="47"/>
      <c r="UW31" s="47"/>
      <c r="UX31" s="47"/>
      <c r="UY31" s="47"/>
      <c r="UZ31" s="47"/>
      <c r="VA31" s="47"/>
      <c r="VB31" s="47"/>
      <c r="VC31" s="47"/>
      <c r="VD31" s="47"/>
      <c r="VE31" s="47"/>
      <c r="VF31" s="47"/>
    </row>
    <row r="32" spans="1:578" s="41" customFormat="1" ht="42" customHeight="1" x14ac:dyDescent="0.2">
      <c r="A32" s="43" t="s">
        <v>212</v>
      </c>
      <c r="B32" s="95" t="str">
        <f>'дод 3'!A137</f>
        <v>5032</v>
      </c>
      <c r="C32" s="95" t="str">
        <f>'дод 3'!B137</f>
        <v>0810</v>
      </c>
      <c r="D32" s="40" t="str">
        <f>'дод 3'!C137</f>
        <v>Фінансова підтримка дитячо-юнацьких спортивних шкіл фізкультурно-спортивних товариств</v>
      </c>
      <c r="E32" s="65">
        <v>8765300</v>
      </c>
      <c r="F32" s="65"/>
      <c r="G32" s="65"/>
      <c r="H32" s="65">
        <v>2000462.72</v>
      </c>
      <c r="I32" s="65"/>
      <c r="J32" s="65"/>
      <c r="K32" s="130">
        <f t="shared" si="2"/>
        <v>22.82252427184466</v>
      </c>
      <c r="L32" s="65">
        <f t="shared" si="7"/>
        <v>172000</v>
      </c>
      <c r="M32" s="65">
        <v>172000</v>
      </c>
      <c r="N32" s="65"/>
      <c r="O32" s="65"/>
      <c r="P32" s="65"/>
      <c r="Q32" s="65">
        <f>120000+52000</f>
        <v>172000</v>
      </c>
      <c r="R32" s="65">
        <f t="shared" si="8"/>
        <v>0</v>
      </c>
      <c r="S32" s="65"/>
      <c r="T32" s="65"/>
      <c r="U32" s="65"/>
      <c r="V32" s="65"/>
      <c r="W32" s="65"/>
      <c r="X32" s="132">
        <f t="shared" si="5"/>
        <v>0</v>
      </c>
      <c r="Y32" s="65">
        <f t="shared" si="6"/>
        <v>2000462.72</v>
      </c>
      <c r="Z32" s="202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</row>
    <row r="33" spans="1:578" s="41" customFormat="1" ht="56.25" customHeight="1" x14ac:dyDescent="0.2">
      <c r="A33" s="43" t="s">
        <v>213</v>
      </c>
      <c r="B33" s="95" t="str">
        <f>'дод 3'!A138</f>
        <v>5061</v>
      </c>
      <c r="C33" s="95" t="str">
        <f>'дод 3'!B138</f>
        <v>0810</v>
      </c>
      <c r="D33" s="40" t="str">
        <f>'дод 3'!C138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3" s="65">
        <v>3534500</v>
      </c>
      <c r="F33" s="65">
        <v>2106300</v>
      </c>
      <c r="G33" s="65">
        <v>486300</v>
      </c>
      <c r="H33" s="65">
        <v>611869.4</v>
      </c>
      <c r="I33" s="65">
        <v>458965.27</v>
      </c>
      <c r="J33" s="65">
        <v>28716.52</v>
      </c>
      <c r="K33" s="130">
        <f t="shared" si="2"/>
        <v>17.31134248125619</v>
      </c>
      <c r="L33" s="65">
        <f t="shared" si="7"/>
        <v>892389</v>
      </c>
      <c r="M33" s="65">
        <v>642000</v>
      </c>
      <c r="N33" s="65">
        <v>250389</v>
      </c>
      <c r="O33" s="65">
        <v>158895</v>
      </c>
      <c r="P33" s="65">
        <v>55055</v>
      </c>
      <c r="Q33" s="65">
        <f>135000+7000+500000</f>
        <v>642000</v>
      </c>
      <c r="R33" s="65">
        <f t="shared" si="8"/>
        <v>46653.49</v>
      </c>
      <c r="S33" s="65"/>
      <c r="T33" s="65">
        <v>46653.49</v>
      </c>
      <c r="U33" s="65">
        <v>19214.490000000002</v>
      </c>
      <c r="V33" s="65">
        <v>10356.85</v>
      </c>
      <c r="W33" s="65"/>
      <c r="X33" s="132">
        <f t="shared" si="5"/>
        <v>5.2279319893006297</v>
      </c>
      <c r="Y33" s="65">
        <f t="shared" si="6"/>
        <v>658522.89</v>
      </c>
      <c r="Z33" s="202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</row>
    <row r="34" spans="1:578" s="41" customFormat="1" ht="39" customHeight="1" x14ac:dyDescent="0.2">
      <c r="A34" s="43" t="s">
        <v>214</v>
      </c>
      <c r="B34" s="95" t="str">
        <f>'дод 3'!A139</f>
        <v>5062</v>
      </c>
      <c r="C34" s="95" t="str">
        <f>'дод 3'!B139</f>
        <v>0810</v>
      </c>
      <c r="D34" s="40" t="str">
        <f>'дод 3'!C139</f>
        <v>Підтримка спорту вищих досягнень та організацій, які здійснюють фізкультурно-спортивну діяльність в регіоні</v>
      </c>
      <c r="E34" s="65">
        <v>6057200</v>
      </c>
      <c r="F34" s="65"/>
      <c r="G34" s="65"/>
      <c r="H34" s="65">
        <v>1503865.76</v>
      </c>
      <c r="I34" s="65"/>
      <c r="J34" s="65"/>
      <c r="K34" s="130">
        <f t="shared" si="2"/>
        <v>24.827738228884634</v>
      </c>
      <c r="L34" s="65">
        <f t="shared" si="7"/>
        <v>0</v>
      </c>
      <c r="M34" s="65"/>
      <c r="N34" s="65"/>
      <c r="O34" s="65"/>
      <c r="P34" s="65"/>
      <c r="Q34" s="65"/>
      <c r="R34" s="65">
        <f t="shared" si="8"/>
        <v>0</v>
      </c>
      <c r="S34" s="65"/>
      <c r="T34" s="65"/>
      <c r="U34" s="65"/>
      <c r="V34" s="65"/>
      <c r="W34" s="65"/>
      <c r="X34" s="132"/>
      <c r="Y34" s="65">
        <f t="shared" si="6"/>
        <v>1503865.76</v>
      </c>
      <c r="Z34" s="202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7"/>
      <c r="ST34" s="47"/>
      <c r="SU34" s="47"/>
      <c r="SV34" s="47"/>
      <c r="SW34" s="47"/>
      <c r="SX34" s="47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7"/>
      <c r="TJ34" s="47"/>
      <c r="TK34" s="47"/>
      <c r="TL34" s="47"/>
      <c r="TM34" s="47"/>
      <c r="TN34" s="47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7"/>
      <c r="TZ34" s="47"/>
      <c r="UA34" s="47"/>
      <c r="UB34" s="47"/>
      <c r="UC34" s="47"/>
      <c r="UD34" s="47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7"/>
      <c r="UP34" s="47"/>
      <c r="UQ34" s="47"/>
      <c r="UR34" s="47"/>
      <c r="US34" s="47"/>
      <c r="UT34" s="47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7"/>
      <c r="VF34" s="47"/>
    </row>
    <row r="35" spans="1:578" s="41" customFormat="1" ht="31.5" customHeight="1" x14ac:dyDescent="0.2">
      <c r="A35" s="43" t="s">
        <v>215</v>
      </c>
      <c r="B35" s="95" t="str">
        <f>'дод 3'!A174</f>
        <v>7412</v>
      </c>
      <c r="C35" s="95" t="str">
        <f>'дод 3'!B174</f>
        <v>0451</v>
      </c>
      <c r="D35" s="40" t="str">
        <f>'дод 3'!C174</f>
        <v>Регулювання цін на послуги місцевого автотранспорту</v>
      </c>
      <c r="E35" s="65">
        <v>10102369.4</v>
      </c>
      <c r="F35" s="65"/>
      <c r="G35" s="65"/>
      <c r="H35" s="65">
        <v>1102369.3999999999</v>
      </c>
      <c r="I35" s="65"/>
      <c r="J35" s="65"/>
      <c r="K35" s="130">
        <f t="shared" si="2"/>
        <v>10.911988627143252</v>
      </c>
      <c r="L35" s="65">
        <f t="shared" si="7"/>
        <v>0</v>
      </c>
      <c r="M35" s="65"/>
      <c r="N35" s="65"/>
      <c r="O35" s="65"/>
      <c r="P35" s="65"/>
      <c r="Q35" s="65"/>
      <c r="R35" s="65">
        <f t="shared" si="8"/>
        <v>0</v>
      </c>
      <c r="S35" s="65"/>
      <c r="T35" s="65"/>
      <c r="U35" s="65"/>
      <c r="V35" s="65"/>
      <c r="W35" s="65"/>
      <c r="X35" s="132"/>
      <c r="Y35" s="65">
        <f t="shared" si="6"/>
        <v>1102369.3999999999</v>
      </c>
      <c r="Z35" s="202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</row>
    <row r="36" spans="1:578" s="41" customFormat="1" ht="30" x14ac:dyDescent="0.2">
      <c r="A36" s="43" t="s">
        <v>216</v>
      </c>
      <c r="B36" s="95" t="str">
        <f>'дод 3'!A175</f>
        <v>7422</v>
      </c>
      <c r="C36" s="95" t="str">
        <f>'дод 3'!B175</f>
        <v>0453</v>
      </c>
      <c r="D36" s="40" t="str">
        <f>'дод 3'!C175</f>
        <v>Регулювання цін на послуги місцевого наземного електротранспорту</v>
      </c>
      <c r="E36" s="65">
        <v>897630.59999999963</v>
      </c>
      <c r="F36" s="65"/>
      <c r="G36" s="65"/>
      <c r="H36" s="65">
        <v>897630.6</v>
      </c>
      <c r="I36" s="65"/>
      <c r="J36" s="65"/>
      <c r="K36" s="130">
        <f t="shared" si="2"/>
        <v>100.00000000000004</v>
      </c>
      <c r="L36" s="65">
        <f t="shared" si="7"/>
        <v>0</v>
      </c>
      <c r="M36" s="65"/>
      <c r="N36" s="65"/>
      <c r="O36" s="65"/>
      <c r="P36" s="65"/>
      <c r="Q36" s="65"/>
      <c r="R36" s="65">
        <f t="shared" si="8"/>
        <v>0</v>
      </c>
      <c r="S36" s="65"/>
      <c r="T36" s="65"/>
      <c r="U36" s="65"/>
      <c r="V36" s="65"/>
      <c r="W36" s="65"/>
      <c r="X36" s="132"/>
      <c r="Y36" s="65">
        <f t="shared" si="6"/>
        <v>897630.6</v>
      </c>
      <c r="Z36" s="202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</row>
    <row r="37" spans="1:578" s="41" customFormat="1" ht="15" hidden="1" customHeight="1" x14ac:dyDescent="0.2">
      <c r="A37" s="43" t="s">
        <v>306</v>
      </c>
      <c r="B37" s="95" t="str">
        <f>'дод 3'!A176</f>
        <v>7426</v>
      </c>
      <c r="C37" s="95" t="str">
        <f>'дод 3'!B176</f>
        <v>0453</v>
      </c>
      <c r="D37" s="40" t="str">
        <f>'дод 3'!C176</f>
        <v>Інші заходи у сфері електротранспорту</v>
      </c>
      <c r="E37" s="65">
        <v>0</v>
      </c>
      <c r="F37" s="65"/>
      <c r="G37" s="65"/>
      <c r="H37" s="65"/>
      <c r="I37" s="65"/>
      <c r="J37" s="65"/>
      <c r="K37" s="130" t="e">
        <f t="shared" si="2"/>
        <v>#DIV/0!</v>
      </c>
      <c r="L37" s="65">
        <f t="shared" si="7"/>
        <v>0</v>
      </c>
      <c r="M37" s="65"/>
      <c r="N37" s="65"/>
      <c r="O37" s="65"/>
      <c r="P37" s="65"/>
      <c r="Q37" s="65">
        <f>810000+680000-1490000</f>
        <v>0</v>
      </c>
      <c r="R37" s="65">
        <f t="shared" si="8"/>
        <v>0</v>
      </c>
      <c r="S37" s="65"/>
      <c r="T37" s="65"/>
      <c r="U37" s="65"/>
      <c r="V37" s="65"/>
      <c r="W37" s="65"/>
      <c r="X37" s="132" t="e">
        <f t="shared" si="5"/>
        <v>#DIV/0!</v>
      </c>
      <c r="Y37" s="65">
        <f t="shared" si="6"/>
        <v>0</v>
      </c>
      <c r="Z37" s="202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</row>
    <row r="38" spans="1:578" s="41" customFormat="1" ht="15" hidden="1" customHeight="1" x14ac:dyDescent="0.2">
      <c r="A38" s="43" t="s">
        <v>408</v>
      </c>
      <c r="B38" s="95" t="str">
        <f>'дод 3'!A178</f>
        <v>7450</v>
      </c>
      <c r="C38" s="95" t="str">
        <f>'дод 3'!B178</f>
        <v>0456</v>
      </c>
      <c r="D38" s="40" t="str">
        <f>'дод 3'!C178</f>
        <v xml:space="preserve">Інша діяльність у сфері транспорту </v>
      </c>
      <c r="E38" s="65">
        <v>0</v>
      </c>
      <c r="F38" s="65"/>
      <c r="G38" s="65"/>
      <c r="H38" s="65"/>
      <c r="I38" s="65"/>
      <c r="J38" s="65"/>
      <c r="K38" s="130" t="e">
        <f t="shared" si="2"/>
        <v>#DIV/0!</v>
      </c>
      <c r="L38" s="65">
        <f t="shared" si="7"/>
        <v>0</v>
      </c>
      <c r="M38" s="65"/>
      <c r="N38" s="65"/>
      <c r="O38" s="65"/>
      <c r="P38" s="65"/>
      <c r="Q38" s="65"/>
      <c r="R38" s="65">
        <f t="shared" si="8"/>
        <v>0</v>
      </c>
      <c r="S38" s="65"/>
      <c r="T38" s="65"/>
      <c r="U38" s="65"/>
      <c r="V38" s="65"/>
      <c r="W38" s="65"/>
      <c r="X38" s="132" t="e">
        <f t="shared" si="5"/>
        <v>#DIV/0!</v>
      </c>
      <c r="Y38" s="65">
        <f t="shared" si="6"/>
        <v>0</v>
      </c>
      <c r="Z38" s="202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</row>
    <row r="39" spans="1:578" s="41" customFormat="1" ht="32.25" customHeight="1" x14ac:dyDescent="0.2">
      <c r="A39" s="43" t="s">
        <v>307</v>
      </c>
      <c r="B39" s="95" t="str">
        <f>'дод 3'!A182</f>
        <v>7530</v>
      </c>
      <c r="C39" s="95" t="str">
        <f>'дод 3'!B182</f>
        <v>0460</v>
      </c>
      <c r="D39" s="40" t="str">
        <f>'дод 3'!C182</f>
        <v>Інші заходи у сфері зв'язку, телекомунікації та інформатики</v>
      </c>
      <c r="E39" s="65">
        <v>10063860</v>
      </c>
      <c r="F39" s="65"/>
      <c r="G39" s="65"/>
      <c r="H39" s="65">
        <v>661527.02</v>
      </c>
      <c r="I39" s="65"/>
      <c r="J39" s="65"/>
      <c r="K39" s="130">
        <f t="shared" si="2"/>
        <v>6.5732931499444547</v>
      </c>
      <c r="L39" s="65">
        <f t="shared" si="7"/>
        <v>3787500</v>
      </c>
      <c r="M39" s="65">
        <v>3787500</v>
      </c>
      <c r="N39" s="65"/>
      <c r="O39" s="65"/>
      <c r="P39" s="65"/>
      <c r="Q39" s="65">
        <f>3197500+590000</f>
        <v>3787500</v>
      </c>
      <c r="R39" s="65">
        <f t="shared" si="8"/>
        <v>0</v>
      </c>
      <c r="S39" s="65"/>
      <c r="T39" s="65"/>
      <c r="U39" s="65"/>
      <c r="V39" s="65"/>
      <c r="W39" s="65"/>
      <c r="X39" s="132">
        <f t="shared" si="5"/>
        <v>0</v>
      </c>
      <c r="Y39" s="65">
        <f t="shared" si="6"/>
        <v>661527.02</v>
      </c>
      <c r="Z39" s="202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</row>
    <row r="40" spans="1:578" s="41" customFormat="1" ht="25.5" customHeight="1" x14ac:dyDescent="0.2">
      <c r="A40" s="43" t="s">
        <v>217</v>
      </c>
      <c r="B40" s="95" t="str">
        <f>'дод 3'!A184</f>
        <v>7610</v>
      </c>
      <c r="C40" s="95" t="str">
        <f>'дод 3'!B184</f>
        <v>0411</v>
      </c>
      <c r="D40" s="40" t="str">
        <f>'дод 3'!C184</f>
        <v>Сприяння розвитку малого та середнього підприємництва</v>
      </c>
      <c r="E40" s="65">
        <v>100000</v>
      </c>
      <c r="F40" s="65"/>
      <c r="G40" s="65"/>
      <c r="H40" s="65">
        <v>0</v>
      </c>
      <c r="I40" s="65"/>
      <c r="J40" s="65"/>
      <c r="K40" s="130">
        <f t="shared" si="2"/>
        <v>0</v>
      </c>
      <c r="L40" s="65">
        <f t="shared" si="7"/>
        <v>0</v>
      </c>
      <c r="M40" s="65"/>
      <c r="N40" s="65"/>
      <c r="O40" s="65"/>
      <c r="P40" s="65"/>
      <c r="Q40" s="65"/>
      <c r="R40" s="65">
        <f t="shared" si="8"/>
        <v>0</v>
      </c>
      <c r="S40" s="65"/>
      <c r="T40" s="65"/>
      <c r="U40" s="65"/>
      <c r="V40" s="65"/>
      <c r="W40" s="65"/>
      <c r="X40" s="132"/>
      <c r="Y40" s="65">
        <f t="shared" si="6"/>
        <v>0</v>
      </c>
      <c r="Z40" s="202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</row>
    <row r="41" spans="1:578" s="41" customFormat="1" ht="15" hidden="1" customHeight="1" x14ac:dyDescent="0.2">
      <c r="A41" s="43" t="s">
        <v>332</v>
      </c>
      <c r="B41" s="95" t="str">
        <f>'дод 3'!A185</f>
        <v>7640</v>
      </c>
      <c r="C41" s="95" t="str">
        <f>'дод 3'!B185</f>
        <v>0470</v>
      </c>
      <c r="D41" s="40" t="str">
        <f>'дод 3'!C185</f>
        <v>Заходи з енергозбереження</v>
      </c>
      <c r="E41" s="65">
        <v>0</v>
      </c>
      <c r="F41" s="65"/>
      <c r="G41" s="65"/>
      <c r="H41" s="65"/>
      <c r="I41" s="65"/>
      <c r="J41" s="65"/>
      <c r="K41" s="130" t="e">
        <f t="shared" si="2"/>
        <v>#DIV/0!</v>
      </c>
      <c r="L41" s="65">
        <f t="shared" si="7"/>
        <v>0</v>
      </c>
      <c r="M41" s="65"/>
      <c r="N41" s="65"/>
      <c r="O41" s="65"/>
      <c r="P41" s="65"/>
      <c r="Q41" s="65"/>
      <c r="R41" s="65">
        <f t="shared" si="8"/>
        <v>0</v>
      </c>
      <c r="S41" s="65"/>
      <c r="T41" s="65"/>
      <c r="U41" s="65"/>
      <c r="V41" s="65"/>
      <c r="W41" s="65"/>
      <c r="X41" s="132" t="e">
        <f t="shared" si="5"/>
        <v>#DIV/0!</v>
      </c>
      <c r="Y41" s="65">
        <f t="shared" si="6"/>
        <v>0</v>
      </c>
      <c r="Z41" s="202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</row>
    <row r="42" spans="1:578" s="41" customFormat="1" ht="31.5" customHeight="1" x14ac:dyDescent="0.2">
      <c r="A42" s="43" t="s">
        <v>218</v>
      </c>
      <c r="B42" s="95" t="str">
        <f>'дод 3'!A188</f>
        <v>7670</v>
      </c>
      <c r="C42" s="95" t="str">
        <f>'дод 3'!B188</f>
        <v>0490</v>
      </c>
      <c r="D42" s="40" t="str">
        <f>'дод 3'!C188</f>
        <v>Внески до статутного капіталу суб’єктів господарювання</v>
      </c>
      <c r="E42" s="65">
        <v>0</v>
      </c>
      <c r="F42" s="65"/>
      <c r="G42" s="65"/>
      <c r="H42" s="65"/>
      <c r="I42" s="65"/>
      <c r="J42" s="65"/>
      <c r="K42" s="130"/>
      <c r="L42" s="65">
        <f t="shared" si="7"/>
        <v>61989300</v>
      </c>
      <c r="M42" s="65">
        <v>61989300</v>
      </c>
      <c r="N42" s="65"/>
      <c r="O42" s="65"/>
      <c r="P42" s="65"/>
      <c r="Q42" s="65">
        <f>36900000+25089300</f>
        <v>61989300</v>
      </c>
      <c r="R42" s="65">
        <f t="shared" si="8"/>
        <v>0</v>
      </c>
      <c r="S42" s="65"/>
      <c r="T42" s="65"/>
      <c r="U42" s="65"/>
      <c r="V42" s="65"/>
      <c r="W42" s="65"/>
      <c r="X42" s="132">
        <f t="shared" si="5"/>
        <v>0</v>
      </c>
      <c r="Y42" s="65">
        <f t="shared" si="6"/>
        <v>0</v>
      </c>
      <c r="Z42" s="202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</row>
    <row r="43" spans="1:578" s="41" customFormat="1" ht="36.75" customHeight="1" x14ac:dyDescent="0.2">
      <c r="A43" s="43" t="s">
        <v>321</v>
      </c>
      <c r="B43" s="95" t="str">
        <f>'дод 3'!A189</f>
        <v>7680</v>
      </c>
      <c r="C43" s="95" t="str">
        <f>'дод 3'!B189</f>
        <v>0490</v>
      </c>
      <c r="D43" s="40" t="str">
        <f>'дод 3'!C189</f>
        <v>Членські внески до асоціацій органів місцевого самоврядування</v>
      </c>
      <c r="E43" s="65">
        <v>243690</v>
      </c>
      <c r="F43" s="65"/>
      <c r="G43" s="65"/>
      <c r="H43" s="65">
        <v>39673</v>
      </c>
      <c r="I43" s="65"/>
      <c r="J43" s="65"/>
      <c r="K43" s="130">
        <f t="shared" si="2"/>
        <v>16.280109975788911</v>
      </c>
      <c r="L43" s="65">
        <f t="shared" si="7"/>
        <v>0</v>
      </c>
      <c r="M43" s="65"/>
      <c r="N43" s="65"/>
      <c r="O43" s="65"/>
      <c r="P43" s="65"/>
      <c r="Q43" s="65"/>
      <c r="R43" s="65">
        <f t="shared" si="8"/>
        <v>0</v>
      </c>
      <c r="S43" s="65"/>
      <c r="T43" s="65"/>
      <c r="U43" s="65"/>
      <c r="V43" s="65"/>
      <c r="W43" s="65"/>
      <c r="X43" s="132"/>
      <c r="Y43" s="65">
        <f t="shared" si="6"/>
        <v>39673</v>
      </c>
      <c r="Z43" s="202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  <c r="SK43" s="47"/>
      <c r="SL43" s="47"/>
      <c r="SM43" s="47"/>
      <c r="SN43" s="47"/>
      <c r="SO43" s="47"/>
      <c r="SP43" s="47"/>
      <c r="SQ43" s="47"/>
      <c r="SR43" s="47"/>
      <c r="SS43" s="47"/>
      <c r="ST43" s="47"/>
      <c r="SU43" s="47"/>
      <c r="SV43" s="47"/>
      <c r="SW43" s="47"/>
      <c r="SX43" s="47"/>
      <c r="SY43" s="47"/>
      <c r="SZ43" s="47"/>
      <c r="TA43" s="47"/>
      <c r="TB43" s="47"/>
      <c r="TC43" s="47"/>
      <c r="TD43" s="47"/>
      <c r="TE43" s="47"/>
      <c r="TF43" s="47"/>
      <c r="TG43" s="47"/>
      <c r="TH43" s="47"/>
      <c r="TI43" s="47"/>
      <c r="TJ43" s="47"/>
      <c r="TK43" s="47"/>
      <c r="TL43" s="47"/>
      <c r="TM43" s="47"/>
      <c r="TN43" s="47"/>
      <c r="TO43" s="47"/>
      <c r="TP43" s="47"/>
      <c r="TQ43" s="47"/>
      <c r="TR43" s="47"/>
      <c r="TS43" s="47"/>
      <c r="TT43" s="47"/>
      <c r="TU43" s="47"/>
      <c r="TV43" s="47"/>
      <c r="TW43" s="47"/>
      <c r="TX43" s="47"/>
      <c r="TY43" s="47"/>
      <c r="TZ43" s="47"/>
      <c r="UA43" s="47"/>
      <c r="UB43" s="47"/>
      <c r="UC43" s="47"/>
      <c r="UD43" s="47"/>
      <c r="UE43" s="47"/>
      <c r="UF43" s="47"/>
      <c r="UG43" s="47"/>
      <c r="UH43" s="47"/>
      <c r="UI43" s="47"/>
      <c r="UJ43" s="47"/>
      <c r="UK43" s="47"/>
      <c r="UL43" s="47"/>
      <c r="UM43" s="47"/>
      <c r="UN43" s="47"/>
      <c r="UO43" s="47"/>
      <c r="UP43" s="47"/>
      <c r="UQ43" s="47"/>
      <c r="UR43" s="47"/>
      <c r="US43" s="47"/>
      <c r="UT43" s="47"/>
      <c r="UU43" s="47"/>
      <c r="UV43" s="47"/>
      <c r="UW43" s="47"/>
      <c r="UX43" s="47"/>
      <c r="UY43" s="47"/>
      <c r="UZ43" s="47"/>
      <c r="VA43" s="47"/>
      <c r="VB43" s="47"/>
      <c r="VC43" s="47"/>
      <c r="VD43" s="47"/>
      <c r="VE43" s="47"/>
      <c r="VF43" s="47"/>
    </row>
    <row r="44" spans="1:578" s="41" customFormat="1" ht="104.25" customHeight="1" x14ac:dyDescent="0.2">
      <c r="A44" s="43" t="s">
        <v>393</v>
      </c>
      <c r="B44" s="95" t="str">
        <f>'дод 3'!A190</f>
        <v>7691</v>
      </c>
      <c r="C44" s="95" t="str">
        <f>'дод 3'!B190</f>
        <v>0490</v>
      </c>
      <c r="D44" s="40" t="s">
        <v>415</v>
      </c>
      <c r="E44" s="65">
        <v>0</v>
      </c>
      <c r="F44" s="65"/>
      <c r="G44" s="65"/>
      <c r="H44" s="65"/>
      <c r="I44" s="65"/>
      <c r="J44" s="65"/>
      <c r="K44" s="130"/>
      <c r="L44" s="65">
        <f t="shared" si="7"/>
        <v>59464</v>
      </c>
      <c r="M44" s="65"/>
      <c r="N44" s="65">
        <v>59464</v>
      </c>
      <c r="O44" s="65"/>
      <c r="P44" s="65"/>
      <c r="Q44" s="65"/>
      <c r="R44" s="65">
        <f t="shared" si="8"/>
        <v>5077</v>
      </c>
      <c r="S44" s="65"/>
      <c r="T44" s="65">
        <v>5077</v>
      </c>
      <c r="U44" s="65"/>
      <c r="V44" s="65"/>
      <c r="W44" s="65"/>
      <c r="X44" s="132">
        <f t="shared" si="5"/>
        <v>8.5379389210278482</v>
      </c>
      <c r="Y44" s="65">
        <f t="shared" si="6"/>
        <v>5077</v>
      </c>
      <c r="Z44" s="202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</row>
    <row r="45" spans="1:578" s="41" customFormat="1" ht="23.25" customHeight="1" x14ac:dyDescent="0.2">
      <c r="A45" s="43" t="s">
        <v>314</v>
      </c>
      <c r="B45" s="95" t="str">
        <f>'дод 3'!A191</f>
        <v>7693</v>
      </c>
      <c r="C45" s="95" t="str">
        <f>'дод 3'!B191</f>
        <v>0490</v>
      </c>
      <c r="D45" s="40" t="str">
        <f>'дод 3'!C191</f>
        <v>Інші заходи, пов'язані з економічною діяльністю</v>
      </c>
      <c r="E45" s="65">
        <v>2628100</v>
      </c>
      <c r="F45" s="65">
        <v>37557</v>
      </c>
      <c r="G45" s="65"/>
      <c r="H45" s="65">
        <v>33602.61</v>
      </c>
      <c r="I45" s="65"/>
      <c r="J45" s="65"/>
      <c r="K45" s="130">
        <f t="shared" si="2"/>
        <v>1.2785894752863285</v>
      </c>
      <c r="L45" s="65">
        <f t="shared" si="7"/>
        <v>25900</v>
      </c>
      <c r="M45" s="65">
        <v>25900</v>
      </c>
      <c r="N45" s="65"/>
      <c r="O45" s="65"/>
      <c r="P45" s="65"/>
      <c r="Q45" s="65">
        <v>25900</v>
      </c>
      <c r="R45" s="65">
        <f t="shared" si="8"/>
        <v>0</v>
      </c>
      <c r="S45" s="65"/>
      <c r="T45" s="65"/>
      <c r="U45" s="65"/>
      <c r="V45" s="65"/>
      <c r="W45" s="65"/>
      <c r="X45" s="132">
        <f t="shared" si="5"/>
        <v>0</v>
      </c>
      <c r="Y45" s="65">
        <f t="shared" si="6"/>
        <v>33602.61</v>
      </c>
      <c r="Z45" s="202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</row>
    <row r="46" spans="1:578" s="41" customFormat="1" ht="34.5" customHeight="1" x14ac:dyDescent="0.2">
      <c r="A46" s="43" t="s">
        <v>219</v>
      </c>
      <c r="B46" s="95" t="str">
        <f>'дод 3'!A196</f>
        <v>8110</v>
      </c>
      <c r="C46" s="95" t="str">
        <f>'дод 3'!B196</f>
        <v>0320</v>
      </c>
      <c r="D46" s="40" t="str">
        <f>'дод 3'!C196</f>
        <v>Заходи із запобігання та ліквідації надзвичайних ситуацій та наслідків стихійного лиха</v>
      </c>
      <c r="E46" s="65">
        <v>450600</v>
      </c>
      <c r="F46" s="65"/>
      <c r="G46" s="65">
        <v>6500</v>
      </c>
      <c r="H46" s="65">
        <v>63609.95</v>
      </c>
      <c r="I46" s="65"/>
      <c r="J46" s="65">
        <v>279</v>
      </c>
      <c r="K46" s="130">
        <f t="shared" si="2"/>
        <v>14.116722148246783</v>
      </c>
      <c r="L46" s="65">
        <f t="shared" si="7"/>
        <v>2007200</v>
      </c>
      <c r="M46" s="65">
        <v>2007200</v>
      </c>
      <c r="N46" s="65"/>
      <c r="O46" s="65"/>
      <c r="P46" s="65"/>
      <c r="Q46" s="65">
        <v>2007200</v>
      </c>
      <c r="R46" s="65">
        <f t="shared" si="8"/>
        <v>101653.98</v>
      </c>
      <c r="S46" s="65">
        <v>101653.98</v>
      </c>
      <c r="T46" s="65"/>
      <c r="U46" s="65"/>
      <c r="V46" s="65"/>
      <c r="W46" s="65">
        <v>101653.98</v>
      </c>
      <c r="X46" s="132">
        <f t="shared" si="5"/>
        <v>5.064466919091271</v>
      </c>
      <c r="Y46" s="65">
        <f t="shared" si="6"/>
        <v>165263.93</v>
      </c>
      <c r="Z46" s="202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  <c r="SK46" s="47"/>
      <c r="SL46" s="47"/>
      <c r="SM46" s="47"/>
      <c r="SN46" s="47"/>
      <c r="SO46" s="47"/>
      <c r="SP46" s="47"/>
      <c r="SQ46" s="47"/>
      <c r="SR46" s="47"/>
      <c r="SS46" s="47"/>
      <c r="ST46" s="47"/>
      <c r="SU46" s="47"/>
      <c r="SV46" s="47"/>
      <c r="SW46" s="47"/>
      <c r="SX46" s="47"/>
      <c r="SY46" s="47"/>
      <c r="SZ46" s="47"/>
      <c r="TA46" s="47"/>
      <c r="TB46" s="47"/>
      <c r="TC46" s="47"/>
      <c r="TD46" s="47"/>
      <c r="TE46" s="47"/>
      <c r="TF46" s="47"/>
      <c r="TG46" s="47"/>
      <c r="TH46" s="47"/>
      <c r="TI46" s="47"/>
      <c r="TJ46" s="47"/>
      <c r="TK46" s="47"/>
      <c r="TL46" s="47"/>
      <c r="TM46" s="47"/>
      <c r="TN46" s="47"/>
      <c r="TO46" s="47"/>
      <c r="TP46" s="47"/>
      <c r="TQ46" s="47"/>
      <c r="TR46" s="47"/>
      <c r="TS46" s="47"/>
      <c r="TT46" s="47"/>
      <c r="TU46" s="47"/>
      <c r="TV46" s="47"/>
      <c r="TW46" s="47"/>
      <c r="TX46" s="47"/>
      <c r="TY46" s="47"/>
      <c r="TZ46" s="47"/>
      <c r="UA46" s="47"/>
      <c r="UB46" s="47"/>
      <c r="UC46" s="47"/>
      <c r="UD46" s="47"/>
      <c r="UE46" s="47"/>
      <c r="UF46" s="47"/>
      <c r="UG46" s="47"/>
      <c r="UH46" s="47"/>
      <c r="UI46" s="47"/>
      <c r="UJ46" s="47"/>
      <c r="UK46" s="47"/>
      <c r="UL46" s="47"/>
      <c r="UM46" s="47"/>
      <c r="UN46" s="47"/>
      <c r="UO46" s="47"/>
      <c r="UP46" s="47"/>
      <c r="UQ46" s="47"/>
      <c r="UR46" s="47"/>
      <c r="US46" s="47"/>
      <c r="UT46" s="47"/>
      <c r="UU46" s="47"/>
      <c r="UV46" s="47"/>
      <c r="UW46" s="47"/>
      <c r="UX46" s="47"/>
      <c r="UY46" s="47"/>
      <c r="UZ46" s="47"/>
      <c r="VA46" s="47"/>
      <c r="VB46" s="47"/>
      <c r="VC46" s="47"/>
      <c r="VD46" s="47"/>
      <c r="VE46" s="47"/>
      <c r="VF46" s="47"/>
    </row>
    <row r="47" spans="1:578" s="41" customFormat="1" ht="19.5" customHeight="1" x14ac:dyDescent="0.2">
      <c r="A47" s="43" t="s">
        <v>295</v>
      </c>
      <c r="B47" s="95" t="str">
        <f>'дод 3'!A197</f>
        <v>8120</v>
      </c>
      <c r="C47" s="95" t="str">
        <f>'дод 3'!B197</f>
        <v>0320</v>
      </c>
      <c r="D47" s="40" t="str">
        <f>'дод 3'!C197</f>
        <v>Заходи з організації рятування на водах</v>
      </c>
      <c r="E47" s="65">
        <v>1723200</v>
      </c>
      <c r="F47" s="65">
        <f>1264118+20492</f>
        <v>1284610</v>
      </c>
      <c r="G47" s="65">
        <v>86593</v>
      </c>
      <c r="H47" s="65">
        <v>386362.87</v>
      </c>
      <c r="I47" s="65">
        <v>301388.14</v>
      </c>
      <c r="J47" s="65">
        <v>13891.23</v>
      </c>
      <c r="K47" s="130">
        <f t="shared" si="2"/>
        <v>22.421243616527388</v>
      </c>
      <c r="L47" s="65">
        <f t="shared" si="7"/>
        <v>5300</v>
      </c>
      <c r="M47" s="65"/>
      <c r="N47" s="65">
        <v>5300</v>
      </c>
      <c r="O47" s="65"/>
      <c r="P47" s="65">
        <v>1400</v>
      </c>
      <c r="Q47" s="65"/>
      <c r="R47" s="65">
        <f t="shared" si="8"/>
        <v>1860</v>
      </c>
      <c r="S47" s="65"/>
      <c r="T47" s="65">
        <v>1860</v>
      </c>
      <c r="U47" s="65"/>
      <c r="V47" s="65"/>
      <c r="W47" s="65"/>
      <c r="X47" s="132">
        <f t="shared" si="5"/>
        <v>35.094339622641506</v>
      </c>
      <c r="Y47" s="65">
        <f t="shared" si="6"/>
        <v>388222.87</v>
      </c>
      <c r="Z47" s="202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  <c r="OB47" s="47"/>
      <c r="OC47" s="47"/>
      <c r="OD47" s="47"/>
      <c r="OE47" s="47"/>
      <c r="OF47" s="47"/>
      <c r="OG47" s="47"/>
      <c r="OH47" s="47"/>
      <c r="OI47" s="47"/>
      <c r="OJ47" s="47"/>
      <c r="OK47" s="47"/>
      <c r="OL47" s="47"/>
      <c r="OM47" s="47"/>
      <c r="ON47" s="47"/>
      <c r="OO47" s="47"/>
      <c r="OP47" s="47"/>
      <c r="OQ47" s="47"/>
      <c r="OR47" s="47"/>
      <c r="OS47" s="47"/>
      <c r="OT47" s="47"/>
      <c r="OU47" s="47"/>
      <c r="OV47" s="47"/>
      <c r="OW47" s="47"/>
      <c r="OX47" s="47"/>
      <c r="OY47" s="47"/>
      <c r="OZ47" s="47"/>
      <c r="PA47" s="47"/>
      <c r="PB47" s="47"/>
      <c r="PC47" s="47"/>
      <c r="PD47" s="47"/>
      <c r="PE47" s="47"/>
      <c r="PF47" s="47"/>
      <c r="PG47" s="47"/>
      <c r="PH47" s="47"/>
      <c r="PI47" s="47"/>
      <c r="PJ47" s="47"/>
      <c r="PK47" s="47"/>
      <c r="PL47" s="47"/>
      <c r="PM47" s="47"/>
      <c r="PN47" s="47"/>
      <c r="PO47" s="47"/>
      <c r="PP47" s="47"/>
      <c r="PQ47" s="47"/>
      <c r="PR47" s="47"/>
      <c r="PS47" s="47"/>
      <c r="PT47" s="47"/>
      <c r="PU47" s="47"/>
      <c r="PV47" s="47"/>
      <c r="PW47" s="47"/>
      <c r="PX47" s="47"/>
      <c r="PY47" s="47"/>
      <c r="PZ47" s="47"/>
      <c r="QA47" s="47"/>
      <c r="QB47" s="47"/>
      <c r="QC47" s="47"/>
      <c r="QD47" s="47"/>
      <c r="QE47" s="47"/>
      <c r="QF47" s="47"/>
      <c r="QG47" s="47"/>
      <c r="QH47" s="47"/>
      <c r="QI47" s="47"/>
      <c r="QJ47" s="47"/>
      <c r="QK47" s="47"/>
      <c r="QL47" s="47"/>
      <c r="QM47" s="47"/>
      <c r="QN47" s="47"/>
      <c r="QO47" s="47"/>
      <c r="QP47" s="47"/>
      <c r="QQ47" s="47"/>
      <c r="QR47" s="47"/>
      <c r="QS47" s="47"/>
      <c r="QT47" s="47"/>
      <c r="QU47" s="47"/>
      <c r="QV47" s="47"/>
      <c r="QW47" s="47"/>
      <c r="QX47" s="47"/>
      <c r="QY47" s="47"/>
      <c r="QZ47" s="47"/>
      <c r="RA47" s="47"/>
      <c r="RB47" s="47"/>
      <c r="RC47" s="47"/>
      <c r="RD47" s="47"/>
      <c r="RE47" s="47"/>
      <c r="RF47" s="47"/>
      <c r="RG47" s="47"/>
      <c r="RH47" s="47"/>
      <c r="RI47" s="47"/>
      <c r="RJ47" s="47"/>
      <c r="RK47" s="47"/>
      <c r="RL47" s="47"/>
      <c r="RM47" s="47"/>
      <c r="RN47" s="47"/>
      <c r="RO47" s="47"/>
      <c r="RP47" s="47"/>
      <c r="RQ47" s="47"/>
      <c r="RR47" s="47"/>
      <c r="RS47" s="47"/>
      <c r="RT47" s="47"/>
      <c r="RU47" s="47"/>
      <c r="RV47" s="47"/>
      <c r="RW47" s="47"/>
      <c r="RX47" s="47"/>
      <c r="RY47" s="47"/>
      <c r="RZ47" s="47"/>
      <c r="SA47" s="47"/>
      <c r="SB47" s="47"/>
      <c r="SC47" s="47"/>
      <c r="SD47" s="47"/>
      <c r="SE47" s="47"/>
      <c r="SF47" s="47"/>
      <c r="SG47" s="47"/>
      <c r="SH47" s="47"/>
      <c r="SI47" s="47"/>
      <c r="SJ47" s="47"/>
      <c r="SK47" s="47"/>
      <c r="SL47" s="47"/>
      <c r="SM47" s="47"/>
      <c r="SN47" s="47"/>
      <c r="SO47" s="47"/>
      <c r="SP47" s="47"/>
      <c r="SQ47" s="47"/>
      <c r="SR47" s="47"/>
      <c r="SS47" s="47"/>
      <c r="ST47" s="47"/>
      <c r="SU47" s="47"/>
      <c r="SV47" s="47"/>
      <c r="SW47" s="47"/>
      <c r="SX47" s="47"/>
      <c r="SY47" s="47"/>
      <c r="SZ47" s="47"/>
      <c r="TA47" s="47"/>
      <c r="TB47" s="47"/>
      <c r="TC47" s="47"/>
      <c r="TD47" s="47"/>
      <c r="TE47" s="47"/>
      <c r="TF47" s="47"/>
      <c r="TG47" s="47"/>
      <c r="TH47" s="47"/>
      <c r="TI47" s="47"/>
      <c r="TJ47" s="47"/>
      <c r="TK47" s="47"/>
      <c r="TL47" s="47"/>
      <c r="TM47" s="47"/>
      <c r="TN47" s="47"/>
      <c r="TO47" s="47"/>
      <c r="TP47" s="47"/>
      <c r="TQ47" s="47"/>
      <c r="TR47" s="47"/>
      <c r="TS47" s="47"/>
      <c r="TT47" s="47"/>
      <c r="TU47" s="47"/>
      <c r="TV47" s="47"/>
      <c r="TW47" s="47"/>
      <c r="TX47" s="47"/>
      <c r="TY47" s="47"/>
      <c r="TZ47" s="47"/>
      <c r="UA47" s="47"/>
      <c r="UB47" s="47"/>
      <c r="UC47" s="47"/>
      <c r="UD47" s="47"/>
      <c r="UE47" s="47"/>
      <c r="UF47" s="47"/>
      <c r="UG47" s="47"/>
      <c r="UH47" s="47"/>
      <c r="UI47" s="47"/>
      <c r="UJ47" s="47"/>
      <c r="UK47" s="47"/>
      <c r="UL47" s="47"/>
      <c r="UM47" s="47"/>
      <c r="UN47" s="47"/>
      <c r="UO47" s="47"/>
      <c r="UP47" s="47"/>
      <c r="UQ47" s="47"/>
      <c r="UR47" s="47"/>
      <c r="US47" s="47"/>
      <c r="UT47" s="47"/>
      <c r="UU47" s="47"/>
      <c r="UV47" s="47"/>
      <c r="UW47" s="47"/>
      <c r="UX47" s="47"/>
      <c r="UY47" s="47"/>
      <c r="UZ47" s="47"/>
      <c r="VA47" s="47"/>
      <c r="VB47" s="47"/>
      <c r="VC47" s="47"/>
      <c r="VD47" s="47"/>
      <c r="VE47" s="47"/>
      <c r="VF47" s="47"/>
    </row>
    <row r="48" spans="1:578" s="41" customFormat="1" ht="21.75" customHeight="1" x14ac:dyDescent="0.2">
      <c r="A48" s="43" t="s">
        <v>317</v>
      </c>
      <c r="B48" s="95" t="str">
        <f>'дод 3'!A199</f>
        <v>8230</v>
      </c>
      <c r="C48" s="95" t="str">
        <f>'дод 3'!B199</f>
        <v>0380</v>
      </c>
      <c r="D48" s="40" t="str">
        <f>'дод 3'!C199</f>
        <v>Інші заходи громадського порядку та безпеки</v>
      </c>
      <c r="E48" s="65">
        <v>819800</v>
      </c>
      <c r="F48" s="65"/>
      <c r="G48" s="65">
        <f>269900+596</f>
        <v>270496</v>
      </c>
      <c r="H48" s="65">
        <v>92198.64</v>
      </c>
      <c r="I48" s="65"/>
      <c r="J48" s="65">
        <v>88412.33</v>
      </c>
      <c r="K48" s="130">
        <f t="shared" si="2"/>
        <v>11.246479629177848</v>
      </c>
      <c r="L48" s="65">
        <f t="shared" si="7"/>
        <v>0</v>
      </c>
      <c r="M48" s="65"/>
      <c r="N48" s="65"/>
      <c r="O48" s="65"/>
      <c r="P48" s="65"/>
      <c r="Q48" s="65"/>
      <c r="R48" s="65">
        <f t="shared" si="8"/>
        <v>0</v>
      </c>
      <c r="S48" s="65"/>
      <c r="T48" s="65"/>
      <c r="U48" s="65"/>
      <c r="V48" s="65"/>
      <c r="W48" s="65"/>
      <c r="X48" s="132"/>
      <c r="Y48" s="65">
        <f t="shared" si="6"/>
        <v>92198.64</v>
      </c>
      <c r="Z48" s="202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  <c r="SK48" s="47"/>
      <c r="SL48" s="47"/>
      <c r="SM48" s="47"/>
      <c r="SN48" s="47"/>
      <c r="SO48" s="47"/>
      <c r="SP48" s="47"/>
      <c r="SQ48" s="47"/>
      <c r="SR48" s="47"/>
      <c r="SS48" s="47"/>
      <c r="ST48" s="47"/>
      <c r="SU48" s="47"/>
      <c r="SV48" s="47"/>
      <c r="SW48" s="47"/>
      <c r="SX48" s="47"/>
      <c r="SY48" s="47"/>
      <c r="SZ48" s="47"/>
      <c r="TA48" s="47"/>
      <c r="TB48" s="47"/>
      <c r="TC48" s="47"/>
      <c r="TD48" s="47"/>
      <c r="TE48" s="47"/>
      <c r="TF48" s="47"/>
      <c r="TG48" s="47"/>
      <c r="TH48" s="47"/>
      <c r="TI48" s="47"/>
      <c r="TJ48" s="47"/>
      <c r="TK48" s="47"/>
      <c r="TL48" s="47"/>
      <c r="TM48" s="47"/>
      <c r="TN48" s="47"/>
      <c r="TO48" s="47"/>
      <c r="TP48" s="47"/>
      <c r="TQ48" s="47"/>
      <c r="TR48" s="47"/>
      <c r="TS48" s="47"/>
      <c r="TT48" s="47"/>
      <c r="TU48" s="47"/>
      <c r="TV48" s="47"/>
      <c r="TW48" s="47"/>
      <c r="TX48" s="47"/>
      <c r="TY48" s="47"/>
      <c r="TZ48" s="47"/>
      <c r="UA48" s="47"/>
      <c r="UB48" s="47"/>
      <c r="UC48" s="47"/>
      <c r="UD48" s="47"/>
      <c r="UE48" s="47"/>
      <c r="UF48" s="47"/>
      <c r="UG48" s="47"/>
      <c r="UH48" s="47"/>
      <c r="UI48" s="47"/>
      <c r="UJ48" s="47"/>
      <c r="UK48" s="47"/>
      <c r="UL48" s="47"/>
      <c r="UM48" s="47"/>
      <c r="UN48" s="47"/>
      <c r="UO48" s="47"/>
      <c r="UP48" s="47"/>
      <c r="UQ48" s="47"/>
      <c r="UR48" s="47"/>
      <c r="US48" s="47"/>
      <c r="UT48" s="47"/>
      <c r="UU48" s="47"/>
      <c r="UV48" s="47"/>
      <c r="UW48" s="47"/>
      <c r="UX48" s="47"/>
      <c r="UY48" s="47"/>
      <c r="UZ48" s="47"/>
      <c r="VA48" s="47"/>
      <c r="VB48" s="47"/>
      <c r="VC48" s="47"/>
      <c r="VD48" s="47"/>
      <c r="VE48" s="47"/>
      <c r="VF48" s="47"/>
    </row>
    <row r="49" spans="1:578" s="41" customFormat="1" ht="23.25" customHeight="1" x14ac:dyDescent="0.2">
      <c r="A49" s="39" t="s">
        <v>220</v>
      </c>
      <c r="B49" s="90" t="str">
        <f>'дод 3'!A202</f>
        <v>8340</v>
      </c>
      <c r="C49" s="90" t="str">
        <f>'дод 3'!B202</f>
        <v>0540</v>
      </c>
      <c r="D49" s="42" t="str">
        <f>'дод 3'!C202</f>
        <v>Природоохоронні заходи за рахунок цільових фондів</v>
      </c>
      <c r="E49" s="65">
        <v>0</v>
      </c>
      <c r="F49" s="65"/>
      <c r="G49" s="65"/>
      <c r="H49" s="65"/>
      <c r="I49" s="65"/>
      <c r="J49" s="65"/>
      <c r="K49" s="130"/>
      <c r="L49" s="65">
        <f t="shared" si="7"/>
        <v>310000</v>
      </c>
      <c r="M49" s="65"/>
      <c r="N49" s="65">
        <f>260000+50000</f>
        <v>310000</v>
      </c>
      <c r="O49" s="65"/>
      <c r="P49" s="65"/>
      <c r="Q49" s="65"/>
      <c r="R49" s="65">
        <f t="shared" si="8"/>
        <v>36229</v>
      </c>
      <c r="S49" s="65"/>
      <c r="T49" s="65">
        <v>36229</v>
      </c>
      <c r="U49" s="65"/>
      <c r="V49" s="65"/>
      <c r="W49" s="65"/>
      <c r="X49" s="132">
        <f t="shared" si="5"/>
        <v>11.686774193548386</v>
      </c>
      <c r="Y49" s="65">
        <f t="shared" si="6"/>
        <v>36229</v>
      </c>
      <c r="Z49" s="202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</row>
    <row r="50" spans="1:578" s="41" customFormat="1" ht="26.25" customHeight="1" x14ac:dyDescent="0.2">
      <c r="A50" s="43" t="s">
        <v>328</v>
      </c>
      <c r="B50" s="95" t="str">
        <f>'дод 3'!A204</f>
        <v>8420</v>
      </c>
      <c r="C50" s="95" t="str">
        <f>'дод 3'!B204</f>
        <v>0830</v>
      </c>
      <c r="D50" s="40" t="str">
        <f>'дод 3'!C204</f>
        <v>Інші заходи у сфері засобів масової інформації</v>
      </c>
      <c r="E50" s="65">
        <v>193000</v>
      </c>
      <c r="F50" s="65"/>
      <c r="G50" s="65"/>
      <c r="H50" s="65"/>
      <c r="I50" s="65"/>
      <c r="J50" s="65"/>
      <c r="K50" s="130">
        <f t="shared" si="2"/>
        <v>0</v>
      </c>
      <c r="L50" s="65">
        <f t="shared" si="7"/>
        <v>0</v>
      </c>
      <c r="M50" s="65"/>
      <c r="N50" s="65"/>
      <c r="O50" s="65"/>
      <c r="P50" s="65"/>
      <c r="Q50" s="65"/>
      <c r="R50" s="65">
        <f t="shared" si="8"/>
        <v>0</v>
      </c>
      <c r="S50" s="65"/>
      <c r="T50" s="65"/>
      <c r="U50" s="65"/>
      <c r="V50" s="65"/>
      <c r="W50" s="65"/>
      <c r="X50" s="132"/>
      <c r="Y50" s="65">
        <f t="shared" si="6"/>
        <v>0</v>
      </c>
      <c r="Z50" s="202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</row>
    <row r="51" spans="1:578" s="41" customFormat="1" x14ac:dyDescent="0.2">
      <c r="A51" s="43" t="s">
        <v>520</v>
      </c>
      <c r="B51" s="95" t="str">
        <f>'дод 3'!A220</f>
        <v>9770</v>
      </c>
      <c r="C51" s="95" t="str">
        <f>'дод 3'!B220</f>
        <v>0180</v>
      </c>
      <c r="D51" s="44" t="str">
        <f>'дод 3'!C220</f>
        <v xml:space="preserve">Інші субвенції з місцевого бюджету </v>
      </c>
      <c r="E51" s="65">
        <v>0</v>
      </c>
      <c r="F51" s="65"/>
      <c r="G51" s="65"/>
      <c r="H51" s="65"/>
      <c r="I51" s="65"/>
      <c r="J51" s="65"/>
      <c r="K51" s="130"/>
      <c r="L51" s="65">
        <f t="shared" si="7"/>
        <v>0</v>
      </c>
      <c r="M51" s="65"/>
      <c r="N51" s="65"/>
      <c r="O51" s="65"/>
      <c r="P51" s="65"/>
      <c r="Q51" s="65"/>
      <c r="R51" s="65">
        <f t="shared" si="8"/>
        <v>0</v>
      </c>
      <c r="S51" s="65"/>
      <c r="T51" s="65"/>
      <c r="U51" s="65"/>
      <c r="V51" s="65"/>
      <c r="W51" s="65"/>
      <c r="X51" s="132"/>
      <c r="Y51" s="65">
        <f t="shared" si="6"/>
        <v>0</v>
      </c>
      <c r="Z51" s="202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</row>
    <row r="52" spans="1:578" s="41" customFormat="1" ht="45" x14ac:dyDescent="0.2">
      <c r="A52" s="43" t="s">
        <v>491</v>
      </c>
      <c r="B52" s="95" t="str">
        <f>'дод 3'!A222</f>
        <v>9800</v>
      </c>
      <c r="C52" s="95" t="str">
        <f>'дод 3'!B222</f>
        <v>0180</v>
      </c>
      <c r="D52" s="40" t="str">
        <f>'дод 3'!C222</f>
        <v xml:space="preserve">Субвенція з місцевого бюджету державному бюджету на виконання програм соціально-економічного розвитку регіонів </v>
      </c>
      <c r="E52" s="65">
        <v>271850</v>
      </c>
      <c r="F52" s="65"/>
      <c r="G52" s="65"/>
      <c r="H52" s="65"/>
      <c r="I52" s="65"/>
      <c r="J52" s="65"/>
      <c r="K52" s="130">
        <f t="shared" si="2"/>
        <v>0</v>
      </c>
      <c r="L52" s="65">
        <f t="shared" si="7"/>
        <v>0</v>
      </c>
      <c r="M52" s="65"/>
      <c r="N52" s="65"/>
      <c r="O52" s="65"/>
      <c r="P52" s="65"/>
      <c r="Q52" s="65"/>
      <c r="R52" s="65">
        <f t="shared" si="8"/>
        <v>0</v>
      </c>
      <c r="S52" s="65"/>
      <c r="T52" s="65"/>
      <c r="U52" s="65"/>
      <c r="V52" s="65"/>
      <c r="W52" s="65"/>
      <c r="X52" s="132"/>
      <c r="Y52" s="65">
        <f t="shared" si="6"/>
        <v>0</v>
      </c>
      <c r="Z52" s="203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</row>
    <row r="53" spans="1:578" s="57" customFormat="1" ht="23.25" customHeight="1" x14ac:dyDescent="0.2">
      <c r="A53" s="62" t="s">
        <v>221</v>
      </c>
      <c r="B53" s="97"/>
      <c r="C53" s="97"/>
      <c r="D53" s="56" t="s">
        <v>41</v>
      </c>
      <c r="E53" s="79">
        <v>845958270</v>
      </c>
      <c r="F53" s="79">
        <f t="shared" ref="F53:W53" si="9">F54</f>
        <v>553674107</v>
      </c>
      <c r="G53" s="79">
        <f t="shared" si="9"/>
        <v>80280205</v>
      </c>
      <c r="H53" s="79">
        <f t="shared" si="9"/>
        <v>203965457.97</v>
      </c>
      <c r="I53" s="79">
        <f t="shared" si="9"/>
        <v>128039464.19000001</v>
      </c>
      <c r="J53" s="79">
        <f t="shared" si="9"/>
        <v>28912460.220000003</v>
      </c>
      <c r="K53" s="129">
        <f t="shared" si="2"/>
        <v>24.110581479391413</v>
      </c>
      <c r="L53" s="79">
        <f t="shared" si="9"/>
        <v>80435899.49000001</v>
      </c>
      <c r="M53" s="79">
        <f t="shared" si="9"/>
        <v>36977060.490000002</v>
      </c>
      <c r="N53" s="79">
        <f t="shared" si="9"/>
        <v>43301839</v>
      </c>
      <c r="O53" s="79">
        <f t="shared" si="9"/>
        <v>3455421</v>
      </c>
      <c r="P53" s="79">
        <f t="shared" si="9"/>
        <v>2628089</v>
      </c>
      <c r="Q53" s="79">
        <f t="shared" si="9"/>
        <v>37134060.490000002</v>
      </c>
      <c r="R53" s="79">
        <f t="shared" si="9"/>
        <v>16402794.229999995</v>
      </c>
      <c r="S53" s="79">
        <f t="shared" si="9"/>
        <v>2941809.05</v>
      </c>
      <c r="T53" s="79">
        <f t="shared" si="9"/>
        <v>12659937.579999998</v>
      </c>
      <c r="U53" s="79">
        <f t="shared" si="9"/>
        <v>788115.1100000001</v>
      </c>
      <c r="V53" s="79">
        <f t="shared" si="9"/>
        <v>727896.24</v>
      </c>
      <c r="W53" s="79">
        <f t="shared" si="9"/>
        <v>3742856.65</v>
      </c>
      <c r="X53" s="131">
        <f t="shared" si="5"/>
        <v>20.392379937317955</v>
      </c>
      <c r="Y53" s="79">
        <f t="shared" si="6"/>
        <v>220368252.19999999</v>
      </c>
      <c r="Z53" s="20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73"/>
      <c r="JT53" s="73"/>
      <c r="JU53" s="73"/>
      <c r="JV53" s="73"/>
      <c r="JW53" s="73"/>
      <c r="JX53" s="73"/>
      <c r="JY53" s="73"/>
      <c r="JZ53" s="73"/>
      <c r="KA53" s="73"/>
      <c r="KB53" s="73"/>
      <c r="KC53" s="73"/>
      <c r="KD53" s="73"/>
      <c r="KE53" s="73"/>
      <c r="KF53" s="73"/>
      <c r="KG53" s="73"/>
      <c r="KH53" s="73"/>
      <c r="KI53" s="73"/>
      <c r="KJ53" s="73"/>
      <c r="KK53" s="73"/>
      <c r="KL53" s="73"/>
      <c r="KM53" s="73"/>
      <c r="KN53" s="73"/>
      <c r="KO53" s="73"/>
      <c r="KP53" s="73"/>
      <c r="KQ53" s="73"/>
      <c r="KR53" s="73"/>
      <c r="KS53" s="73"/>
      <c r="KT53" s="73"/>
      <c r="KU53" s="73"/>
      <c r="KV53" s="73"/>
      <c r="KW53" s="73"/>
      <c r="KX53" s="73"/>
      <c r="KY53" s="73"/>
      <c r="KZ53" s="73"/>
      <c r="LA53" s="73"/>
      <c r="LB53" s="73"/>
      <c r="LC53" s="73"/>
      <c r="LD53" s="73"/>
      <c r="LE53" s="73"/>
      <c r="LF53" s="73"/>
      <c r="LG53" s="73"/>
      <c r="LH53" s="73"/>
      <c r="LI53" s="73"/>
      <c r="LJ53" s="73"/>
      <c r="LK53" s="73"/>
      <c r="LL53" s="73"/>
      <c r="LM53" s="73"/>
      <c r="LN53" s="73"/>
      <c r="LO53" s="73"/>
      <c r="LP53" s="73"/>
      <c r="LQ53" s="73"/>
      <c r="LR53" s="73"/>
      <c r="LS53" s="73"/>
      <c r="LT53" s="73"/>
      <c r="LU53" s="73"/>
      <c r="LV53" s="73"/>
      <c r="LW53" s="73"/>
      <c r="LX53" s="73"/>
      <c r="LY53" s="73"/>
      <c r="LZ53" s="73"/>
      <c r="MA53" s="73"/>
      <c r="MB53" s="73"/>
      <c r="MC53" s="73"/>
      <c r="MD53" s="73"/>
      <c r="ME53" s="73"/>
      <c r="MF53" s="73"/>
      <c r="MG53" s="73"/>
      <c r="MH53" s="73"/>
      <c r="MI53" s="73"/>
      <c r="MJ53" s="73"/>
      <c r="MK53" s="73"/>
      <c r="ML53" s="73"/>
      <c r="MM53" s="73"/>
      <c r="MN53" s="73"/>
      <c r="MO53" s="73"/>
      <c r="MP53" s="73"/>
      <c r="MQ53" s="73"/>
      <c r="MR53" s="73"/>
      <c r="MS53" s="73"/>
      <c r="MT53" s="73"/>
      <c r="MU53" s="73"/>
      <c r="MV53" s="73"/>
      <c r="MW53" s="73"/>
      <c r="MX53" s="73"/>
      <c r="MY53" s="73"/>
      <c r="MZ53" s="73"/>
      <c r="NA53" s="73"/>
      <c r="NB53" s="73"/>
      <c r="NC53" s="73"/>
      <c r="ND53" s="73"/>
      <c r="NE53" s="73"/>
      <c r="NF53" s="73"/>
      <c r="NG53" s="73"/>
      <c r="NH53" s="73"/>
      <c r="NI53" s="73"/>
      <c r="NJ53" s="73"/>
      <c r="NK53" s="73"/>
      <c r="NL53" s="73"/>
      <c r="NM53" s="73"/>
      <c r="NN53" s="73"/>
      <c r="NO53" s="73"/>
      <c r="NP53" s="73"/>
      <c r="NQ53" s="73"/>
      <c r="NR53" s="73"/>
      <c r="NS53" s="73"/>
      <c r="NT53" s="73"/>
      <c r="NU53" s="73"/>
      <c r="NV53" s="73"/>
      <c r="NW53" s="73"/>
      <c r="NX53" s="73"/>
      <c r="NY53" s="73"/>
      <c r="NZ53" s="73"/>
      <c r="OA53" s="73"/>
      <c r="OB53" s="73"/>
      <c r="OC53" s="73"/>
      <c r="OD53" s="73"/>
      <c r="OE53" s="73"/>
      <c r="OF53" s="73"/>
      <c r="OG53" s="73"/>
      <c r="OH53" s="73"/>
      <c r="OI53" s="73"/>
      <c r="OJ53" s="73"/>
      <c r="OK53" s="73"/>
      <c r="OL53" s="73"/>
      <c r="OM53" s="73"/>
      <c r="ON53" s="73"/>
      <c r="OO53" s="73"/>
      <c r="OP53" s="73"/>
      <c r="OQ53" s="73"/>
      <c r="OR53" s="73"/>
      <c r="OS53" s="73"/>
      <c r="OT53" s="73"/>
      <c r="OU53" s="73"/>
      <c r="OV53" s="73"/>
      <c r="OW53" s="73"/>
      <c r="OX53" s="73"/>
      <c r="OY53" s="73"/>
      <c r="OZ53" s="73"/>
      <c r="PA53" s="73"/>
      <c r="PB53" s="73"/>
      <c r="PC53" s="73"/>
      <c r="PD53" s="73"/>
      <c r="PE53" s="73"/>
      <c r="PF53" s="73"/>
      <c r="PG53" s="73"/>
      <c r="PH53" s="73"/>
      <c r="PI53" s="73"/>
      <c r="PJ53" s="73"/>
      <c r="PK53" s="73"/>
      <c r="PL53" s="73"/>
      <c r="PM53" s="73"/>
      <c r="PN53" s="73"/>
      <c r="PO53" s="73"/>
      <c r="PP53" s="73"/>
      <c r="PQ53" s="73"/>
      <c r="PR53" s="73"/>
      <c r="PS53" s="73"/>
      <c r="PT53" s="73"/>
      <c r="PU53" s="73"/>
      <c r="PV53" s="73"/>
      <c r="PW53" s="73"/>
      <c r="PX53" s="73"/>
      <c r="PY53" s="73"/>
      <c r="PZ53" s="73"/>
      <c r="QA53" s="73"/>
      <c r="QB53" s="73"/>
      <c r="QC53" s="73"/>
      <c r="QD53" s="73"/>
      <c r="QE53" s="73"/>
      <c r="QF53" s="73"/>
      <c r="QG53" s="73"/>
      <c r="QH53" s="73"/>
      <c r="QI53" s="73"/>
      <c r="QJ53" s="73"/>
      <c r="QK53" s="73"/>
      <c r="QL53" s="73"/>
      <c r="QM53" s="73"/>
      <c r="QN53" s="73"/>
      <c r="QO53" s="73"/>
      <c r="QP53" s="73"/>
      <c r="QQ53" s="73"/>
      <c r="QR53" s="73"/>
      <c r="QS53" s="73"/>
      <c r="QT53" s="73"/>
      <c r="QU53" s="73"/>
      <c r="QV53" s="73"/>
      <c r="QW53" s="73"/>
      <c r="QX53" s="73"/>
      <c r="QY53" s="73"/>
      <c r="QZ53" s="73"/>
      <c r="RA53" s="73"/>
      <c r="RB53" s="73"/>
      <c r="RC53" s="73"/>
      <c r="RD53" s="73"/>
      <c r="RE53" s="73"/>
      <c r="RF53" s="73"/>
      <c r="RG53" s="73"/>
      <c r="RH53" s="73"/>
      <c r="RI53" s="73"/>
      <c r="RJ53" s="73"/>
      <c r="RK53" s="73"/>
      <c r="RL53" s="73"/>
      <c r="RM53" s="73"/>
      <c r="RN53" s="73"/>
      <c r="RO53" s="73"/>
      <c r="RP53" s="73"/>
      <c r="RQ53" s="73"/>
      <c r="RR53" s="73"/>
      <c r="RS53" s="73"/>
      <c r="RT53" s="73"/>
      <c r="RU53" s="73"/>
      <c r="RV53" s="73"/>
      <c r="RW53" s="73"/>
      <c r="RX53" s="73"/>
      <c r="RY53" s="73"/>
      <c r="RZ53" s="73"/>
      <c r="SA53" s="73"/>
      <c r="SB53" s="73"/>
      <c r="SC53" s="73"/>
      <c r="SD53" s="73"/>
      <c r="SE53" s="73"/>
      <c r="SF53" s="73"/>
      <c r="SG53" s="73"/>
      <c r="SH53" s="73"/>
      <c r="SI53" s="73"/>
      <c r="SJ53" s="73"/>
      <c r="SK53" s="73"/>
      <c r="SL53" s="73"/>
      <c r="SM53" s="73"/>
      <c r="SN53" s="73"/>
      <c r="SO53" s="73"/>
      <c r="SP53" s="73"/>
      <c r="SQ53" s="73"/>
      <c r="SR53" s="73"/>
      <c r="SS53" s="73"/>
      <c r="ST53" s="73"/>
      <c r="SU53" s="73"/>
      <c r="SV53" s="73"/>
      <c r="SW53" s="73"/>
      <c r="SX53" s="73"/>
      <c r="SY53" s="73"/>
      <c r="SZ53" s="73"/>
      <c r="TA53" s="73"/>
      <c r="TB53" s="73"/>
      <c r="TC53" s="73"/>
      <c r="TD53" s="73"/>
      <c r="TE53" s="73"/>
      <c r="TF53" s="73"/>
      <c r="TG53" s="73"/>
      <c r="TH53" s="73"/>
      <c r="TI53" s="73"/>
      <c r="TJ53" s="73"/>
      <c r="TK53" s="73"/>
      <c r="TL53" s="73"/>
      <c r="TM53" s="73"/>
      <c r="TN53" s="73"/>
      <c r="TO53" s="73"/>
      <c r="TP53" s="73"/>
      <c r="TQ53" s="73"/>
      <c r="TR53" s="73"/>
      <c r="TS53" s="73"/>
      <c r="TT53" s="73"/>
      <c r="TU53" s="73"/>
      <c r="TV53" s="73"/>
      <c r="TW53" s="73"/>
      <c r="TX53" s="73"/>
      <c r="TY53" s="73"/>
      <c r="TZ53" s="73"/>
      <c r="UA53" s="73"/>
      <c r="UB53" s="73"/>
      <c r="UC53" s="73"/>
      <c r="UD53" s="73"/>
      <c r="UE53" s="73"/>
      <c r="UF53" s="73"/>
      <c r="UG53" s="73"/>
      <c r="UH53" s="73"/>
      <c r="UI53" s="73"/>
      <c r="UJ53" s="73"/>
      <c r="UK53" s="73"/>
      <c r="UL53" s="73"/>
      <c r="UM53" s="73"/>
      <c r="UN53" s="73"/>
      <c r="UO53" s="73"/>
      <c r="UP53" s="73"/>
      <c r="UQ53" s="73"/>
      <c r="UR53" s="73"/>
      <c r="US53" s="73"/>
      <c r="UT53" s="73"/>
      <c r="UU53" s="73"/>
      <c r="UV53" s="73"/>
      <c r="UW53" s="73"/>
      <c r="UX53" s="73"/>
      <c r="UY53" s="73"/>
      <c r="UZ53" s="73"/>
      <c r="VA53" s="73"/>
      <c r="VB53" s="73"/>
      <c r="VC53" s="73"/>
      <c r="VD53" s="73"/>
      <c r="VE53" s="73"/>
      <c r="VF53" s="73"/>
    </row>
    <row r="54" spans="1:578" s="75" customFormat="1" ht="26.25" customHeight="1" x14ac:dyDescent="0.2">
      <c r="A54" s="63" t="s">
        <v>222</v>
      </c>
      <c r="B54" s="98"/>
      <c r="C54" s="98"/>
      <c r="D54" s="61" t="s">
        <v>41</v>
      </c>
      <c r="E54" s="78">
        <v>845958270</v>
      </c>
      <c r="F54" s="78">
        <f t="shared" ref="F54:Q54" si="10">F56+F57+F58+F60+F62+F64+F65+F67+F68+F70+F72+F74+F75+F76+F77+F79+F80+F81</f>
        <v>553674107</v>
      </c>
      <c r="G54" s="78">
        <f t="shared" si="10"/>
        <v>80280205</v>
      </c>
      <c r="H54" s="78">
        <f>H56+H57+H58+H60+H62+H64+H65+H67+H68+H70+H72+H74+H75+H76+H77+H79+H80+H81</f>
        <v>203965457.97</v>
      </c>
      <c r="I54" s="78">
        <f>I56+I57+I58+I60+I62+I64+I65+I67+I68+I70+I72+I74+I75+I76+I77+I79+I80+I81</f>
        <v>128039464.19000001</v>
      </c>
      <c r="J54" s="78">
        <f>J56+J57+J58+J60+J62+J64+J65+J67+J68+J70+J72+J74+J75+J76+J77+J79+J80+J81</f>
        <v>28912460.220000003</v>
      </c>
      <c r="K54" s="129">
        <f t="shared" si="2"/>
        <v>24.110581479391413</v>
      </c>
      <c r="L54" s="78">
        <f t="shared" si="10"/>
        <v>80435899.49000001</v>
      </c>
      <c r="M54" s="78">
        <f t="shared" ref="M54" si="11">M56+M57+M58+M60+M62+M64+M65+M67+M68+M70+M72+M74+M75+M76+M77+M79+M80+M81</f>
        <v>36977060.490000002</v>
      </c>
      <c r="N54" s="78">
        <f t="shared" si="10"/>
        <v>43301839</v>
      </c>
      <c r="O54" s="78">
        <f t="shared" si="10"/>
        <v>3455421</v>
      </c>
      <c r="P54" s="78">
        <f t="shared" si="10"/>
        <v>2628089</v>
      </c>
      <c r="Q54" s="78">
        <f t="shared" si="10"/>
        <v>37134060.490000002</v>
      </c>
      <c r="R54" s="78">
        <f t="shared" ref="R54:W54" si="12">R56+R57+R58+R60+R62+R64+R65+R67+R68+R70+R72+R74+R75+R76+R77+R79+R80+R81</f>
        <v>16402794.229999995</v>
      </c>
      <c r="S54" s="78">
        <f t="shared" ref="S54" si="13">S56+S57+S58+S60+S62+S64+S65+S67+S68+S70+S72+S74+S75+S76+S77+S79+S80+S81</f>
        <v>2941809.05</v>
      </c>
      <c r="T54" s="78">
        <f t="shared" si="12"/>
        <v>12659937.579999998</v>
      </c>
      <c r="U54" s="78">
        <f t="shared" si="12"/>
        <v>788115.1100000001</v>
      </c>
      <c r="V54" s="78">
        <f t="shared" si="12"/>
        <v>727896.24</v>
      </c>
      <c r="W54" s="78">
        <f t="shared" si="12"/>
        <v>3742856.65</v>
      </c>
      <c r="X54" s="131">
        <f t="shared" si="5"/>
        <v>20.392379937317955</v>
      </c>
      <c r="Y54" s="79">
        <f t="shared" si="6"/>
        <v>220368252.19999999</v>
      </c>
      <c r="Z54" s="20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  <c r="IW54" s="74"/>
      <c r="IX54" s="74"/>
      <c r="IY54" s="74"/>
      <c r="IZ54" s="74"/>
      <c r="JA54" s="74"/>
      <c r="JB54" s="74"/>
      <c r="JC54" s="74"/>
      <c r="JD54" s="74"/>
      <c r="JE54" s="74"/>
      <c r="JF54" s="74"/>
      <c r="JG54" s="74"/>
      <c r="JH54" s="74"/>
      <c r="JI54" s="74"/>
      <c r="JJ54" s="74"/>
      <c r="JK54" s="74"/>
      <c r="JL54" s="74"/>
      <c r="JM54" s="74"/>
      <c r="JN54" s="74"/>
      <c r="JO54" s="74"/>
      <c r="JP54" s="74"/>
      <c r="JQ54" s="74"/>
      <c r="JR54" s="74"/>
      <c r="JS54" s="74"/>
      <c r="JT54" s="74"/>
      <c r="JU54" s="74"/>
      <c r="JV54" s="74"/>
      <c r="JW54" s="74"/>
      <c r="JX54" s="74"/>
      <c r="JY54" s="74"/>
      <c r="JZ54" s="74"/>
      <c r="KA54" s="74"/>
      <c r="KB54" s="74"/>
      <c r="KC54" s="74"/>
      <c r="KD54" s="74"/>
      <c r="KE54" s="74"/>
      <c r="KF54" s="74"/>
      <c r="KG54" s="74"/>
      <c r="KH54" s="74"/>
      <c r="KI54" s="74"/>
      <c r="KJ54" s="74"/>
      <c r="KK54" s="74"/>
      <c r="KL54" s="74"/>
      <c r="KM54" s="74"/>
      <c r="KN54" s="74"/>
      <c r="KO54" s="74"/>
      <c r="KP54" s="74"/>
      <c r="KQ54" s="74"/>
      <c r="KR54" s="74"/>
      <c r="KS54" s="74"/>
      <c r="KT54" s="74"/>
      <c r="KU54" s="74"/>
      <c r="KV54" s="74"/>
      <c r="KW54" s="74"/>
      <c r="KX54" s="74"/>
      <c r="KY54" s="74"/>
      <c r="KZ54" s="74"/>
      <c r="LA54" s="74"/>
      <c r="LB54" s="74"/>
      <c r="LC54" s="74"/>
      <c r="LD54" s="74"/>
      <c r="LE54" s="74"/>
      <c r="LF54" s="74"/>
      <c r="LG54" s="74"/>
      <c r="LH54" s="74"/>
      <c r="LI54" s="74"/>
      <c r="LJ54" s="74"/>
      <c r="LK54" s="74"/>
      <c r="LL54" s="74"/>
      <c r="LM54" s="74"/>
      <c r="LN54" s="74"/>
      <c r="LO54" s="74"/>
      <c r="LP54" s="74"/>
      <c r="LQ54" s="74"/>
      <c r="LR54" s="74"/>
      <c r="LS54" s="74"/>
      <c r="LT54" s="74"/>
      <c r="LU54" s="74"/>
      <c r="LV54" s="74"/>
      <c r="LW54" s="74"/>
      <c r="LX54" s="74"/>
      <c r="LY54" s="74"/>
      <c r="LZ54" s="74"/>
      <c r="MA54" s="74"/>
      <c r="MB54" s="74"/>
      <c r="MC54" s="74"/>
      <c r="MD54" s="74"/>
      <c r="ME54" s="74"/>
      <c r="MF54" s="74"/>
      <c r="MG54" s="74"/>
      <c r="MH54" s="74"/>
      <c r="MI54" s="74"/>
      <c r="MJ54" s="74"/>
      <c r="MK54" s="74"/>
      <c r="ML54" s="74"/>
      <c r="MM54" s="74"/>
      <c r="MN54" s="74"/>
      <c r="MO54" s="74"/>
      <c r="MP54" s="74"/>
      <c r="MQ54" s="74"/>
      <c r="MR54" s="74"/>
      <c r="MS54" s="74"/>
      <c r="MT54" s="74"/>
      <c r="MU54" s="74"/>
      <c r="MV54" s="74"/>
      <c r="MW54" s="74"/>
      <c r="MX54" s="74"/>
      <c r="MY54" s="74"/>
      <c r="MZ54" s="74"/>
      <c r="NA54" s="74"/>
      <c r="NB54" s="74"/>
      <c r="NC54" s="74"/>
      <c r="ND54" s="74"/>
      <c r="NE54" s="74"/>
      <c r="NF54" s="74"/>
      <c r="NG54" s="74"/>
      <c r="NH54" s="74"/>
      <c r="NI54" s="74"/>
      <c r="NJ54" s="74"/>
      <c r="NK54" s="74"/>
      <c r="NL54" s="74"/>
      <c r="NM54" s="74"/>
      <c r="NN54" s="74"/>
      <c r="NO54" s="74"/>
      <c r="NP54" s="74"/>
      <c r="NQ54" s="74"/>
      <c r="NR54" s="74"/>
      <c r="NS54" s="74"/>
      <c r="NT54" s="74"/>
      <c r="NU54" s="74"/>
      <c r="NV54" s="74"/>
      <c r="NW54" s="74"/>
      <c r="NX54" s="74"/>
      <c r="NY54" s="74"/>
      <c r="NZ54" s="74"/>
      <c r="OA54" s="74"/>
      <c r="OB54" s="74"/>
      <c r="OC54" s="74"/>
      <c r="OD54" s="74"/>
      <c r="OE54" s="74"/>
      <c r="OF54" s="74"/>
      <c r="OG54" s="74"/>
      <c r="OH54" s="74"/>
      <c r="OI54" s="74"/>
      <c r="OJ54" s="74"/>
      <c r="OK54" s="74"/>
      <c r="OL54" s="74"/>
      <c r="OM54" s="74"/>
      <c r="ON54" s="74"/>
      <c r="OO54" s="74"/>
      <c r="OP54" s="74"/>
      <c r="OQ54" s="74"/>
      <c r="OR54" s="74"/>
      <c r="OS54" s="74"/>
      <c r="OT54" s="74"/>
      <c r="OU54" s="74"/>
      <c r="OV54" s="74"/>
      <c r="OW54" s="74"/>
      <c r="OX54" s="74"/>
      <c r="OY54" s="74"/>
      <c r="OZ54" s="74"/>
      <c r="PA54" s="74"/>
      <c r="PB54" s="74"/>
      <c r="PC54" s="74"/>
      <c r="PD54" s="74"/>
      <c r="PE54" s="74"/>
      <c r="PF54" s="74"/>
      <c r="PG54" s="74"/>
      <c r="PH54" s="74"/>
      <c r="PI54" s="74"/>
      <c r="PJ54" s="74"/>
      <c r="PK54" s="74"/>
      <c r="PL54" s="74"/>
      <c r="PM54" s="74"/>
      <c r="PN54" s="74"/>
      <c r="PO54" s="74"/>
      <c r="PP54" s="74"/>
      <c r="PQ54" s="74"/>
      <c r="PR54" s="74"/>
      <c r="PS54" s="74"/>
      <c r="PT54" s="74"/>
      <c r="PU54" s="74"/>
      <c r="PV54" s="74"/>
      <c r="PW54" s="74"/>
      <c r="PX54" s="74"/>
      <c r="PY54" s="74"/>
      <c r="PZ54" s="74"/>
      <c r="QA54" s="74"/>
      <c r="QB54" s="74"/>
      <c r="QC54" s="74"/>
      <c r="QD54" s="74"/>
      <c r="QE54" s="74"/>
      <c r="QF54" s="74"/>
      <c r="QG54" s="74"/>
      <c r="QH54" s="74"/>
      <c r="QI54" s="74"/>
      <c r="QJ54" s="74"/>
      <c r="QK54" s="74"/>
      <c r="QL54" s="74"/>
      <c r="QM54" s="74"/>
      <c r="QN54" s="74"/>
      <c r="QO54" s="74"/>
      <c r="QP54" s="74"/>
      <c r="QQ54" s="74"/>
      <c r="QR54" s="74"/>
      <c r="QS54" s="74"/>
      <c r="QT54" s="74"/>
      <c r="QU54" s="74"/>
      <c r="QV54" s="74"/>
      <c r="QW54" s="74"/>
      <c r="QX54" s="74"/>
      <c r="QY54" s="74"/>
      <c r="QZ54" s="74"/>
      <c r="RA54" s="74"/>
      <c r="RB54" s="74"/>
      <c r="RC54" s="74"/>
      <c r="RD54" s="74"/>
      <c r="RE54" s="74"/>
      <c r="RF54" s="74"/>
      <c r="RG54" s="74"/>
      <c r="RH54" s="74"/>
      <c r="RI54" s="74"/>
      <c r="RJ54" s="74"/>
      <c r="RK54" s="74"/>
      <c r="RL54" s="74"/>
      <c r="RM54" s="74"/>
      <c r="RN54" s="74"/>
      <c r="RO54" s="74"/>
      <c r="RP54" s="74"/>
      <c r="RQ54" s="74"/>
      <c r="RR54" s="74"/>
      <c r="RS54" s="74"/>
      <c r="RT54" s="74"/>
      <c r="RU54" s="74"/>
      <c r="RV54" s="74"/>
      <c r="RW54" s="74"/>
      <c r="RX54" s="74"/>
      <c r="RY54" s="74"/>
      <c r="RZ54" s="74"/>
      <c r="SA54" s="74"/>
      <c r="SB54" s="74"/>
      <c r="SC54" s="74"/>
      <c r="SD54" s="74"/>
      <c r="SE54" s="74"/>
      <c r="SF54" s="74"/>
      <c r="SG54" s="74"/>
      <c r="SH54" s="74"/>
      <c r="SI54" s="74"/>
      <c r="SJ54" s="74"/>
      <c r="SK54" s="74"/>
      <c r="SL54" s="74"/>
      <c r="SM54" s="74"/>
      <c r="SN54" s="74"/>
      <c r="SO54" s="74"/>
      <c r="SP54" s="74"/>
      <c r="SQ54" s="74"/>
      <c r="SR54" s="74"/>
      <c r="SS54" s="74"/>
      <c r="ST54" s="74"/>
      <c r="SU54" s="74"/>
      <c r="SV54" s="74"/>
      <c r="SW54" s="74"/>
      <c r="SX54" s="74"/>
      <c r="SY54" s="74"/>
      <c r="SZ54" s="74"/>
      <c r="TA54" s="74"/>
      <c r="TB54" s="74"/>
      <c r="TC54" s="74"/>
      <c r="TD54" s="74"/>
      <c r="TE54" s="74"/>
      <c r="TF54" s="74"/>
      <c r="TG54" s="74"/>
      <c r="TH54" s="74"/>
      <c r="TI54" s="74"/>
      <c r="TJ54" s="74"/>
      <c r="TK54" s="74"/>
      <c r="TL54" s="74"/>
      <c r="TM54" s="74"/>
      <c r="TN54" s="74"/>
      <c r="TO54" s="74"/>
      <c r="TP54" s="74"/>
      <c r="TQ54" s="74"/>
      <c r="TR54" s="74"/>
      <c r="TS54" s="74"/>
      <c r="TT54" s="74"/>
      <c r="TU54" s="74"/>
      <c r="TV54" s="74"/>
      <c r="TW54" s="74"/>
      <c r="TX54" s="74"/>
      <c r="TY54" s="74"/>
      <c r="TZ54" s="74"/>
      <c r="UA54" s="74"/>
      <c r="UB54" s="74"/>
      <c r="UC54" s="74"/>
      <c r="UD54" s="74"/>
      <c r="UE54" s="74"/>
      <c r="UF54" s="74"/>
      <c r="UG54" s="74"/>
      <c r="UH54" s="74"/>
      <c r="UI54" s="74"/>
      <c r="UJ54" s="74"/>
      <c r="UK54" s="74"/>
      <c r="UL54" s="74"/>
      <c r="UM54" s="74"/>
      <c r="UN54" s="74"/>
      <c r="UO54" s="74"/>
      <c r="UP54" s="74"/>
      <c r="UQ54" s="74"/>
      <c r="UR54" s="74"/>
      <c r="US54" s="74"/>
      <c r="UT54" s="74"/>
      <c r="UU54" s="74"/>
      <c r="UV54" s="74"/>
      <c r="UW54" s="74"/>
      <c r="UX54" s="74"/>
      <c r="UY54" s="74"/>
      <c r="UZ54" s="74"/>
      <c r="VA54" s="74"/>
      <c r="VB54" s="74"/>
      <c r="VC54" s="74"/>
      <c r="VD54" s="74"/>
      <c r="VE54" s="74"/>
      <c r="VF54" s="74"/>
    </row>
    <row r="55" spans="1:578" s="75" customFormat="1" ht="18.75" customHeight="1" x14ac:dyDescent="0.2">
      <c r="A55" s="63"/>
      <c r="B55" s="98"/>
      <c r="C55" s="98"/>
      <c r="D55" s="61" t="s">
        <v>344</v>
      </c>
      <c r="E55" s="78">
        <v>314087246</v>
      </c>
      <c r="F55" s="78">
        <f t="shared" ref="F55:Q55" si="14">F59+F61+F63+F66+F69+F71+F78+F73</f>
        <v>256919167</v>
      </c>
      <c r="G55" s="78">
        <f t="shared" si="14"/>
        <v>0</v>
      </c>
      <c r="H55" s="78">
        <f>H59+H61+H63+H66+H69+H71+H78+H73</f>
        <v>71776112.840000004</v>
      </c>
      <c r="I55" s="78">
        <f>I59+I61+I63+I66+I69+I71+I78+I73</f>
        <v>58821450.240000002</v>
      </c>
      <c r="J55" s="78">
        <f>J59+J61+J63+J66+J69+J71+J78+J73</f>
        <v>0</v>
      </c>
      <c r="K55" s="129">
        <f t="shared" si="2"/>
        <v>22.85228507495653</v>
      </c>
      <c r="L55" s="78">
        <f t="shared" si="14"/>
        <v>14298860.49</v>
      </c>
      <c r="M55" s="78">
        <f>M59+M61+M63+M66+M69+M71+M78+M73</f>
        <v>14298860.49</v>
      </c>
      <c r="N55" s="78">
        <f t="shared" si="14"/>
        <v>0</v>
      </c>
      <c r="O55" s="78">
        <f t="shared" si="14"/>
        <v>0</v>
      </c>
      <c r="P55" s="78">
        <f t="shared" si="14"/>
        <v>0</v>
      </c>
      <c r="Q55" s="78">
        <f t="shared" si="14"/>
        <v>14298860.49</v>
      </c>
      <c r="R55" s="78">
        <f t="shared" ref="R55:W55" si="15">R59+R61+R63+R66+R69+R71+R78+R73</f>
        <v>2510069.86</v>
      </c>
      <c r="S55" s="78">
        <f t="shared" ref="S55" si="16">S59+S61+S63+S66+S69+S71+S78+S73</f>
        <v>2510069.86</v>
      </c>
      <c r="T55" s="78">
        <f t="shared" si="15"/>
        <v>0</v>
      </c>
      <c r="U55" s="78">
        <f t="shared" si="15"/>
        <v>0</v>
      </c>
      <c r="V55" s="78">
        <f t="shared" si="15"/>
        <v>0</v>
      </c>
      <c r="W55" s="78">
        <f t="shared" si="15"/>
        <v>2510069.86</v>
      </c>
      <c r="X55" s="131">
        <f t="shared" si="5"/>
        <v>17.554334918893947</v>
      </c>
      <c r="Y55" s="79">
        <f t="shared" si="6"/>
        <v>74286182.700000003</v>
      </c>
      <c r="Z55" s="203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  <c r="IW55" s="74"/>
      <c r="IX55" s="74"/>
      <c r="IY55" s="74"/>
      <c r="IZ55" s="74"/>
      <c r="JA55" s="74"/>
      <c r="JB55" s="74"/>
      <c r="JC55" s="74"/>
      <c r="JD55" s="74"/>
      <c r="JE55" s="74"/>
      <c r="JF55" s="74"/>
      <c r="JG55" s="74"/>
      <c r="JH55" s="74"/>
      <c r="JI55" s="74"/>
      <c r="JJ55" s="74"/>
      <c r="JK55" s="74"/>
      <c r="JL55" s="74"/>
      <c r="JM55" s="74"/>
      <c r="JN55" s="74"/>
      <c r="JO55" s="74"/>
      <c r="JP55" s="74"/>
      <c r="JQ55" s="74"/>
      <c r="JR55" s="74"/>
      <c r="JS55" s="74"/>
      <c r="JT55" s="74"/>
      <c r="JU55" s="74"/>
      <c r="JV55" s="74"/>
      <c r="JW55" s="74"/>
      <c r="JX55" s="74"/>
      <c r="JY55" s="74"/>
      <c r="JZ55" s="74"/>
      <c r="KA55" s="74"/>
      <c r="KB55" s="74"/>
      <c r="KC55" s="74"/>
      <c r="KD55" s="74"/>
      <c r="KE55" s="74"/>
      <c r="KF55" s="74"/>
      <c r="KG55" s="74"/>
      <c r="KH55" s="74"/>
      <c r="KI55" s="74"/>
      <c r="KJ55" s="74"/>
      <c r="KK55" s="74"/>
      <c r="KL55" s="74"/>
      <c r="KM55" s="74"/>
      <c r="KN55" s="74"/>
      <c r="KO55" s="74"/>
      <c r="KP55" s="74"/>
      <c r="KQ55" s="74"/>
      <c r="KR55" s="74"/>
      <c r="KS55" s="74"/>
      <c r="KT55" s="74"/>
      <c r="KU55" s="74"/>
      <c r="KV55" s="74"/>
      <c r="KW55" s="74"/>
      <c r="KX55" s="74"/>
      <c r="KY55" s="74"/>
      <c r="KZ55" s="74"/>
      <c r="LA55" s="74"/>
      <c r="LB55" s="74"/>
      <c r="LC55" s="74"/>
      <c r="LD55" s="74"/>
      <c r="LE55" s="74"/>
      <c r="LF55" s="74"/>
      <c r="LG55" s="74"/>
      <c r="LH55" s="74"/>
      <c r="LI55" s="74"/>
      <c r="LJ55" s="74"/>
      <c r="LK55" s="74"/>
      <c r="LL55" s="74"/>
      <c r="LM55" s="74"/>
      <c r="LN55" s="74"/>
      <c r="LO55" s="74"/>
      <c r="LP55" s="74"/>
      <c r="LQ55" s="74"/>
      <c r="LR55" s="74"/>
      <c r="LS55" s="74"/>
      <c r="LT55" s="74"/>
      <c r="LU55" s="74"/>
      <c r="LV55" s="74"/>
      <c r="LW55" s="74"/>
      <c r="LX55" s="74"/>
      <c r="LY55" s="74"/>
      <c r="LZ55" s="74"/>
      <c r="MA55" s="74"/>
      <c r="MB55" s="74"/>
      <c r="MC55" s="74"/>
      <c r="MD55" s="74"/>
      <c r="ME55" s="74"/>
      <c r="MF55" s="74"/>
      <c r="MG55" s="74"/>
      <c r="MH55" s="74"/>
      <c r="MI55" s="74"/>
      <c r="MJ55" s="74"/>
      <c r="MK55" s="74"/>
      <c r="ML55" s="74"/>
      <c r="MM55" s="74"/>
      <c r="MN55" s="74"/>
      <c r="MO55" s="74"/>
      <c r="MP55" s="74"/>
      <c r="MQ55" s="74"/>
      <c r="MR55" s="74"/>
      <c r="MS55" s="74"/>
      <c r="MT55" s="74"/>
      <c r="MU55" s="74"/>
      <c r="MV55" s="74"/>
      <c r="MW55" s="74"/>
      <c r="MX55" s="74"/>
      <c r="MY55" s="74"/>
      <c r="MZ55" s="74"/>
      <c r="NA55" s="74"/>
      <c r="NB55" s="74"/>
      <c r="NC55" s="74"/>
      <c r="ND55" s="74"/>
      <c r="NE55" s="74"/>
      <c r="NF55" s="74"/>
      <c r="NG55" s="74"/>
      <c r="NH55" s="74"/>
      <c r="NI55" s="74"/>
      <c r="NJ55" s="74"/>
      <c r="NK55" s="74"/>
      <c r="NL55" s="74"/>
      <c r="NM55" s="74"/>
      <c r="NN55" s="74"/>
      <c r="NO55" s="74"/>
      <c r="NP55" s="74"/>
      <c r="NQ55" s="74"/>
      <c r="NR55" s="74"/>
      <c r="NS55" s="74"/>
      <c r="NT55" s="74"/>
      <c r="NU55" s="74"/>
      <c r="NV55" s="74"/>
      <c r="NW55" s="74"/>
      <c r="NX55" s="74"/>
      <c r="NY55" s="74"/>
      <c r="NZ55" s="74"/>
      <c r="OA55" s="74"/>
      <c r="OB55" s="74"/>
      <c r="OC55" s="74"/>
      <c r="OD55" s="74"/>
      <c r="OE55" s="74"/>
      <c r="OF55" s="74"/>
      <c r="OG55" s="74"/>
      <c r="OH55" s="74"/>
      <c r="OI55" s="74"/>
      <c r="OJ55" s="74"/>
      <c r="OK55" s="74"/>
      <c r="OL55" s="74"/>
      <c r="OM55" s="74"/>
      <c r="ON55" s="74"/>
      <c r="OO55" s="74"/>
      <c r="OP55" s="74"/>
      <c r="OQ55" s="74"/>
      <c r="OR55" s="74"/>
      <c r="OS55" s="74"/>
      <c r="OT55" s="74"/>
      <c r="OU55" s="74"/>
      <c r="OV55" s="74"/>
      <c r="OW55" s="74"/>
      <c r="OX55" s="74"/>
      <c r="OY55" s="74"/>
      <c r="OZ55" s="74"/>
      <c r="PA55" s="74"/>
      <c r="PB55" s="74"/>
      <c r="PC55" s="74"/>
      <c r="PD55" s="74"/>
      <c r="PE55" s="74"/>
      <c r="PF55" s="74"/>
      <c r="PG55" s="74"/>
      <c r="PH55" s="74"/>
      <c r="PI55" s="74"/>
      <c r="PJ55" s="74"/>
      <c r="PK55" s="74"/>
      <c r="PL55" s="74"/>
      <c r="PM55" s="74"/>
      <c r="PN55" s="74"/>
      <c r="PO55" s="74"/>
      <c r="PP55" s="74"/>
      <c r="PQ55" s="74"/>
      <c r="PR55" s="74"/>
      <c r="PS55" s="74"/>
      <c r="PT55" s="74"/>
      <c r="PU55" s="74"/>
      <c r="PV55" s="74"/>
      <c r="PW55" s="74"/>
      <c r="PX55" s="74"/>
      <c r="PY55" s="74"/>
      <c r="PZ55" s="74"/>
      <c r="QA55" s="74"/>
      <c r="QB55" s="74"/>
      <c r="QC55" s="74"/>
      <c r="QD55" s="74"/>
      <c r="QE55" s="74"/>
      <c r="QF55" s="74"/>
      <c r="QG55" s="74"/>
      <c r="QH55" s="74"/>
      <c r="QI55" s="74"/>
      <c r="QJ55" s="74"/>
      <c r="QK55" s="74"/>
      <c r="QL55" s="74"/>
      <c r="QM55" s="74"/>
      <c r="QN55" s="74"/>
      <c r="QO55" s="74"/>
      <c r="QP55" s="74"/>
      <c r="QQ55" s="74"/>
      <c r="QR55" s="74"/>
      <c r="QS55" s="74"/>
      <c r="QT55" s="74"/>
      <c r="QU55" s="74"/>
      <c r="QV55" s="74"/>
      <c r="QW55" s="74"/>
      <c r="QX55" s="74"/>
      <c r="QY55" s="74"/>
      <c r="QZ55" s="74"/>
      <c r="RA55" s="74"/>
      <c r="RB55" s="74"/>
      <c r="RC55" s="74"/>
      <c r="RD55" s="74"/>
      <c r="RE55" s="74"/>
      <c r="RF55" s="74"/>
      <c r="RG55" s="74"/>
      <c r="RH55" s="74"/>
      <c r="RI55" s="74"/>
      <c r="RJ55" s="74"/>
      <c r="RK55" s="74"/>
      <c r="RL55" s="74"/>
      <c r="RM55" s="74"/>
      <c r="RN55" s="74"/>
      <c r="RO55" s="74"/>
      <c r="RP55" s="74"/>
      <c r="RQ55" s="74"/>
      <c r="RR55" s="74"/>
      <c r="RS55" s="74"/>
      <c r="RT55" s="74"/>
      <c r="RU55" s="74"/>
      <c r="RV55" s="74"/>
      <c r="RW55" s="74"/>
      <c r="RX55" s="74"/>
      <c r="RY55" s="74"/>
      <c r="RZ55" s="74"/>
      <c r="SA55" s="74"/>
      <c r="SB55" s="74"/>
      <c r="SC55" s="74"/>
      <c r="SD55" s="74"/>
      <c r="SE55" s="74"/>
      <c r="SF55" s="74"/>
      <c r="SG55" s="74"/>
      <c r="SH55" s="74"/>
      <c r="SI55" s="74"/>
      <c r="SJ55" s="74"/>
      <c r="SK55" s="74"/>
      <c r="SL55" s="74"/>
      <c r="SM55" s="74"/>
      <c r="SN55" s="74"/>
      <c r="SO55" s="74"/>
      <c r="SP55" s="74"/>
      <c r="SQ55" s="74"/>
      <c r="SR55" s="74"/>
      <c r="SS55" s="74"/>
      <c r="ST55" s="74"/>
      <c r="SU55" s="74"/>
      <c r="SV55" s="74"/>
      <c r="SW55" s="74"/>
      <c r="SX55" s="74"/>
      <c r="SY55" s="74"/>
      <c r="SZ55" s="74"/>
      <c r="TA55" s="74"/>
      <c r="TB55" s="74"/>
      <c r="TC55" s="74"/>
      <c r="TD55" s="74"/>
      <c r="TE55" s="74"/>
      <c r="TF55" s="74"/>
      <c r="TG55" s="74"/>
      <c r="TH55" s="74"/>
      <c r="TI55" s="74"/>
      <c r="TJ55" s="74"/>
      <c r="TK55" s="74"/>
      <c r="TL55" s="74"/>
      <c r="TM55" s="74"/>
      <c r="TN55" s="74"/>
      <c r="TO55" s="74"/>
      <c r="TP55" s="74"/>
      <c r="TQ55" s="74"/>
      <c r="TR55" s="74"/>
      <c r="TS55" s="74"/>
      <c r="TT55" s="74"/>
      <c r="TU55" s="74"/>
      <c r="TV55" s="74"/>
      <c r="TW55" s="74"/>
      <c r="TX55" s="74"/>
      <c r="TY55" s="74"/>
      <c r="TZ55" s="74"/>
      <c r="UA55" s="74"/>
      <c r="UB55" s="74"/>
      <c r="UC55" s="74"/>
      <c r="UD55" s="74"/>
      <c r="UE55" s="74"/>
      <c r="UF55" s="74"/>
      <c r="UG55" s="74"/>
      <c r="UH55" s="74"/>
      <c r="UI55" s="74"/>
      <c r="UJ55" s="74"/>
      <c r="UK55" s="74"/>
      <c r="UL55" s="74"/>
      <c r="UM55" s="74"/>
      <c r="UN55" s="74"/>
      <c r="UO55" s="74"/>
      <c r="UP55" s="74"/>
      <c r="UQ55" s="74"/>
      <c r="UR55" s="74"/>
      <c r="US55" s="74"/>
      <c r="UT55" s="74"/>
      <c r="UU55" s="74"/>
      <c r="UV55" s="74"/>
      <c r="UW55" s="74"/>
      <c r="UX55" s="74"/>
      <c r="UY55" s="74"/>
      <c r="UZ55" s="74"/>
      <c r="VA55" s="74"/>
      <c r="VB55" s="74"/>
      <c r="VC55" s="74"/>
      <c r="VD55" s="74"/>
      <c r="VE55" s="74"/>
      <c r="VF55" s="74"/>
    </row>
    <row r="56" spans="1:578" s="41" customFormat="1" ht="46.5" customHeight="1" x14ac:dyDescent="0.2">
      <c r="A56" s="39" t="s">
        <v>223</v>
      </c>
      <c r="B56" s="90" t="str">
        <f>'дод 3'!A16</f>
        <v>0160</v>
      </c>
      <c r="C56" s="90" t="str">
        <f>'дод 3'!B16</f>
        <v>0111</v>
      </c>
      <c r="D56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56" s="65">
        <v>3327600</v>
      </c>
      <c r="F56" s="65">
        <v>2597420</v>
      </c>
      <c r="G56" s="65">
        <f>47700+816</f>
        <v>48516</v>
      </c>
      <c r="H56" s="65">
        <v>688376.14</v>
      </c>
      <c r="I56" s="65">
        <v>539257.14</v>
      </c>
      <c r="J56" s="65">
        <v>19427.810000000001</v>
      </c>
      <c r="K56" s="130">
        <f t="shared" si="2"/>
        <v>20.686865608847217</v>
      </c>
      <c r="L56" s="65">
        <f t="shared" si="7"/>
        <v>0</v>
      </c>
      <c r="M56" s="65"/>
      <c r="N56" s="65"/>
      <c r="O56" s="65"/>
      <c r="P56" s="65"/>
      <c r="Q56" s="65"/>
      <c r="R56" s="65">
        <f t="shared" si="8"/>
        <v>0</v>
      </c>
      <c r="S56" s="65"/>
      <c r="T56" s="65"/>
      <c r="U56" s="65"/>
      <c r="V56" s="65"/>
      <c r="W56" s="65"/>
      <c r="X56" s="132"/>
      <c r="Y56" s="65">
        <f t="shared" si="6"/>
        <v>688376.14</v>
      </c>
      <c r="Z56" s="203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</row>
    <row r="57" spans="1:578" s="41" customFormat="1" ht="21.75" customHeight="1" x14ac:dyDescent="0.2">
      <c r="A57" s="39" t="s">
        <v>224</v>
      </c>
      <c r="B57" s="90" t="str">
        <f>'дод 3'!A20</f>
        <v>1010</v>
      </c>
      <c r="C57" s="90" t="str">
        <f>'дод 3'!B20</f>
        <v>0910</v>
      </c>
      <c r="D57" s="42" t="str">
        <f>'дод 3'!C20</f>
        <v>Надання дошкільної освіти</v>
      </c>
      <c r="E57" s="65">
        <v>213158120</v>
      </c>
      <c r="F57" s="65">
        <v>134790000</v>
      </c>
      <c r="G57" s="65">
        <f>25657600+166344+72000</f>
        <v>25895944</v>
      </c>
      <c r="H57" s="65">
        <v>52900738.259999998</v>
      </c>
      <c r="I57" s="65">
        <v>31712835.719999999</v>
      </c>
      <c r="J57" s="65">
        <v>9332651.7200000007</v>
      </c>
      <c r="K57" s="130">
        <f t="shared" si="2"/>
        <v>24.817604067815946</v>
      </c>
      <c r="L57" s="65">
        <f t="shared" si="7"/>
        <v>21663647</v>
      </c>
      <c r="M57" s="65">
        <v>5414336</v>
      </c>
      <c r="N57" s="65">
        <v>16249311</v>
      </c>
      <c r="O57" s="65"/>
      <c r="P57" s="65"/>
      <c r="Q57" s="65">
        <f>3500000+1163000+600000+112000-34164+73500</f>
        <v>5414336</v>
      </c>
      <c r="R57" s="65">
        <f t="shared" si="8"/>
        <v>3683220.09</v>
      </c>
      <c r="S57" s="65">
        <v>125474</v>
      </c>
      <c r="T57" s="65">
        <v>3510546.09</v>
      </c>
      <c r="U57" s="65"/>
      <c r="V57" s="65"/>
      <c r="W57" s="65">
        <v>172674</v>
      </c>
      <c r="X57" s="132">
        <f t="shared" si="5"/>
        <v>17.001846872781854</v>
      </c>
      <c r="Y57" s="65">
        <f t="shared" si="6"/>
        <v>56583958.349999994</v>
      </c>
      <c r="Z57" s="203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</row>
    <row r="58" spans="1:578" s="41" customFormat="1" ht="69" customHeight="1" x14ac:dyDescent="0.2">
      <c r="A58" s="39" t="s">
        <v>225</v>
      </c>
      <c r="B58" s="90" t="str">
        <f>'дод 3'!A21</f>
        <v>1020</v>
      </c>
      <c r="C58" s="90" t="str">
        <f>'дод 3'!B21</f>
        <v>0921</v>
      </c>
      <c r="D58" s="42" t="str">
        <f>'дод 3'!C21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8" s="65">
        <v>466631856</v>
      </c>
      <c r="F58" s="65">
        <f>319037700-1969800+2344680+550403</f>
        <v>319962983</v>
      </c>
      <c r="G58" s="65">
        <f>39027550+244188</f>
        <v>39271738</v>
      </c>
      <c r="H58" s="65">
        <v>113743322.55</v>
      </c>
      <c r="I58" s="65">
        <v>73884898.680000007</v>
      </c>
      <c r="J58" s="65">
        <v>14534571.83</v>
      </c>
      <c r="K58" s="130">
        <f t="shared" si="2"/>
        <v>24.375387382467949</v>
      </c>
      <c r="L58" s="65">
        <f t="shared" si="7"/>
        <v>31925884.060000002</v>
      </c>
      <c r="M58" s="65">
        <v>12918862.060000001</v>
      </c>
      <c r="N58" s="65">
        <v>19007022</v>
      </c>
      <c r="O58" s="65">
        <v>939364</v>
      </c>
      <c r="P58" s="65">
        <v>38709</v>
      </c>
      <c r="Q58" s="65">
        <f>7400000+1000000+1890000+900000+134786+343800-138223.94+1300000+88500</f>
        <v>12918862.060000001</v>
      </c>
      <c r="R58" s="65">
        <f t="shared" si="8"/>
        <v>7637281.0199999996</v>
      </c>
      <c r="S58" s="65">
        <v>271701.19</v>
      </c>
      <c r="T58" s="65">
        <v>6814265.5800000001</v>
      </c>
      <c r="U58" s="65">
        <v>215709.7</v>
      </c>
      <c r="V58" s="65">
        <v>20548.13</v>
      </c>
      <c r="W58" s="65">
        <v>823015.44</v>
      </c>
      <c r="X58" s="132">
        <f t="shared" si="5"/>
        <v>23.921909274765433</v>
      </c>
      <c r="Y58" s="65">
        <f t="shared" si="6"/>
        <v>121380603.56999999</v>
      </c>
      <c r="Z58" s="203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</row>
    <row r="59" spans="1:578" s="41" customFormat="1" x14ac:dyDescent="0.2">
      <c r="A59" s="39"/>
      <c r="B59" s="90"/>
      <c r="C59" s="90"/>
      <c r="D59" s="40" t="s">
        <v>344</v>
      </c>
      <c r="E59" s="65">
        <v>293780626</v>
      </c>
      <c r="F59" s="65">
        <f>242195500-1969800+550403</f>
        <v>240776103</v>
      </c>
      <c r="G59" s="65"/>
      <c r="H59" s="65">
        <v>67503678.219999999</v>
      </c>
      <c r="I59" s="65">
        <v>55326313.780000001</v>
      </c>
      <c r="J59" s="65"/>
      <c r="K59" s="130">
        <f t="shared" si="2"/>
        <v>22.977579951102697</v>
      </c>
      <c r="L59" s="65">
        <f t="shared" si="7"/>
        <v>134786</v>
      </c>
      <c r="M59" s="65">
        <v>134786</v>
      </c>
      <c r="N59" s="65"/>
      <c r="O59" s="65"/>
      <c r="P59" s="65"/>
      <c r="Q59" s="65">
        <v>134786</v>
      </c>
      <c r="R59" s="65">
        <f t="shared" si="8"/>
        <v>0</v>
      </c>
      <c r="S59" s="65"/>
      <c r="T59" s="65"/>
      <c r="U59" s="65"/>
      <c r="V59" s="65"/>
      <c r="W59" s="65"/>
      <c r="X59" s="132">
        <f t="shared" si="5"/>
        <v>0</v>
      </c>
      <c r="Y59" s="65">
        <f t="shared" si="6"/>
        <v>67503678.219999999</v>
      </c>
      <c r="Z59" s="203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</row>
    <row r="60" spans="1:578" s="41" customFormat="1" ht="31.5" customHeight="1" x14ac:dyDescent="0.2">
      <c r="A60" s="39" t="s">
        <v>351</v>
      </c>
      <c r="B60" s="90" t="str">
        <f>'дод 3'!A23</f>
        <v>1030</v>
      </c>
      <c r="C60" s="90" t="str">
        <f>'дод 3'!B23</f>
        <v>0921</v>
      </c>
      <c r="D60" s="42" t="str">
        <f>'дод 3'!C23</f>
        <v>Надання загальної середньої освіти вечiрнiми (змінними) школами</v>
      </c>
      <c r="E60" s="65">
        <v>946850</v>
      </c>
      <c r="F60" s="65">
        <v>775000</v>
      </c>
      <c r="G60" s="65"/>
      <c r="H60" s="65">
        <v>222699.79</v>
      </c>
      <c r="I60" s="65">
        <v>182540.82</v>
      </c>
      <c r="J60" s="65"/>
      <c r="K60" s="130">
        <f t="shared" si="2"/>
        <v>23.520070760944183</v>
      </c>
      <c r="L60" s="65">
        <f t="shared" si="7"/>
        <v>0</v>
      </c>
      <c r="M60" s="65"/>
      <c r="N60" s="65"/>
      <c r="O60" s="65"/>
      <c r="P60" s="65"/>
      <c r="Q60" s="65"/>
      <c r="R60" s="65">
        <f t="shared" si="8"/>
        <v>4103.54</v>
      </c>
      <c r="S60" s="65"/>
      <c r="T60" s="65"/>
      <c r="U60" s="65"/>
      <c r="V60" s="65"/>
      <c r="W60" s="65">
        <v>4103.54</v>
      </c>
      <c r="X60" s="132"/>
      <c r="Y60" s="65">
        <f t="shared" si="6"/>
        <v>226803.33000000002</v>
      </c>
      <c r="Z60" s="203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</row>
    <row r="61" spans="1:578" s="41" customFormat="1" ht="17.25" customHeight="1" x14ac:dyDescent="0.2">
      <c r="A61" s="39"/>
      <c r="B61" s="90"/>
      <c r="C61" s="90"/>
      <c r="D61" s="40" t="s">
        <v>344</v>
      </c>
      <c r="E61" s="65">
        <v>945500</v>
      </c>
      <c r="F61" s="65">
        <v>775000</v>
      </c>
      <c r="G61" s="65"/>
      <c r="H61" s="65">
        <v>222699.79</v>
      </c>
      <c r="I61" s="65">
        <v>182540.82</v>
      </c>
      <c r="J61" s="65"/>
      <c r="K61" s="130">
        <f t="shared" si="2"/>
        <v>23.55365309360127</v>
      </c>
      <c r="L61" s="65">
        <f t="shared" si="7"/>
        <v>0</v>
      </c>
      <c r="M61" s="65"/>
      <c r="N61" s="65"/>
      <c r="O61" s="65"/>
      <c r="P61" s="65"/>
      <c r="Q61" s="65"/>
      <c r="R61" s="65">
        <f t="shared" si="8"/>
        <v>0</v>
      </c>
      <c r="S61" s="65"/>
      <c r="T61" s="65"/>
      <c r="U61" s="65"/>
      <c r="V61" s="65"/>
      <c r="W61" s="65"/>
      <c r="X61" s="132"/>
      <c r="Y61" s="65">
        <f t="shared" si="6"/>
        <v>222699.79</v>
      </c>
      <c r="Z61" s="203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</row>
    <row r="62" spans="1:578" s="41" customFormat="1" ht="72" customHeight="1" x14ac:dyDescent="0.2">
      <c r="A62" s="39" t="s">
        <v>293</v>
      </c>
      <c r="B62" s="90" t="str">
        <f>'дод 3'!A25</f>
        <v>1070</v>
      </c>
      <c r="C62" s="90" t="str">
        <f>'дод 3'!B25</f>
        <v>0922</v>
      </c>
      <c r="D62" s="42" t="str">
        <f>'дод 3'!C25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2" s="65">
        <v>8885650</v>
      </c>
      <c r="F62" s="65">
        <v>6226400</v>
      </c>
      <c r="G62" s="65">
        <f>758850+1680</f>
        <v>760530</v>
      </c>
      <c r="H62" s="65">
        <v>2149238.56</v>
      </c>
      <c r="I62" s="65">
        <v>1459649.9</v>
      </c>
      <c r="J62" s="65">
        <v>267899.78999999998</v>
      </c>
      <c r="K62" s="130">
        <f t="shared" si="2"/>
        <v>24.187747210389787</v>
      </c>
      <c r="L62" s="65">
        <f t="shared" si="7"/>
        <v>183400</v>
      </c>
      <c r="M62" s="65">
        <v>183400</v>
      </c>
      <c r="N62" s="65"/>
      <c r="O62" s="65"/>
      <c r="P62" s="65"/>
      <c r="Q62" s="65">
        <f>150000+33400</f>
        <v>183400</v>
      </c>
      <c r="R62" s="65">
        <f t="shared" si="8"/>
        <v>44679.32</v>
      </c>
      <c r="S62" s="65">
        <v>33400</v>
      </c>
      <c r="T62" s="65">
        <v>5276</v>
      </c>
      <c r="U62" s="65"/>
      <c r="V62" s="65"/>
      <c r="W62" s="65">
        <v>39403.32</v>
      </c>
      <c r="X62" s="132">
        <f t="shared" si="5"/>
        <v>24.361679389312975</v>
      </c>
      <c r="Y62" s="65">
        <f t="shared" si="6"/>
        <v>2193917.88</v>
      </c>
      <c r="Z62" s="203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</row>
    <row r="63" spans="1:578" s="41" customFormat="1" ht="24" customHeight="1" x14ac:dyDescent="0.2">
      <c r="A63" s="39"/>
      <c r="B63" s="90"/>
      <c r="C63" s="90"/>
      <c r="D63" s="40" t="s">
        <v>344</v>
      </c>
      <c r="E63" s="65">
        <v>6060400</v>
      </c>
      <c r="F63" s="65">
        <v>4975700</v>
      </c>
      <c r="G63" s="65"/>
      <c r="H63" s="65">
        <v>1406165.13</v>
      </c>
      <c r="I63" s="65">
        <v>1147526.8999999999</v>
      </c>
      <c r="J63" s="65"/>
      <c r="K63" s="130">
        <f t="shared" si="2"/>
        <v>23.202513530460035</v>
      </c>
      <c r="L63" s="65">
        <f t="shared" si="7"/>
        <v>0</v>
      </c>
      <c r="M63" s="65"/>
      <c r="N63" s="65"/>
      <c r="O63" s="65"/>
      <c r="P63" s="65"/>
      <c r="Q63" s="65"/>
      <c r="R63" s="65">
        <f t="shared" si="8"/>
        <v>0</v>
      </c>
      <c r="S63" s="65"/>
      <c r="T63" s="65"/>
      <c r="U63" s="65"/>
      <c r="V63" s="65"/>
      <c r="W63" s="65"/>
      <c r="X63" s="132"/>
      <c r="Y63" s="65">
        <f t="shared" si="6"/>
        <v>1406165.13</v>
      </c>
      <c r="Z63" s="203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</row>
    <row r="64" spans="1:578" s="41" customFormat="1" ht="32.25" customHeight="1" x14ac:dyDescent="0.2">
      <c r="A64" s="39" t="s">
        <v>294</v>
      </c>
      <c r="B64" s="90" t="str">
        <f>'дод 3'!A27</f>
        <v>1090</v>
      </c>
      <c r="C64" s="90" t="str">
        <f>'дод 3'!B27</f>
        <v>0960</v>
      </c>
      <c r="D64" s="42" t="str">
        <f>'дод 3'!C27</f>
        <v xml:space="preserve">Надання позашкільної освіти позашкільними закладами освіти, заходи із позашкільної роботи з дітьми </v>
      </c>
      <c r="E64" s="65">
        <v>24665462</v>
      </c>
      <c r="F64" s="65">
        <f>17339000+205640</f>
        <v>17544640</v>
      </c>
      <c r="G64" s="65">
        <f>2843070+16789</f>
        <v>2859859</v>
      </c>
      <c r="H64" s="65">
        <v>6204552.0099999998</v>
      </c>
      <c r="I64" s="65">
        <v>4106349.04</v>
      </c>
      <c r="J64" s="65">
        <v>1172740.27</v>
      </c>
      <c r="K64" s="130">
        <f t="shared" si="2"/>
        <v>25.154817736639188</v>
      </c>
      <c r="L64" s="65">
        <f t="shared" si="7"/>
        <v>300000</v>
      </c>
      <c r="M64" s="65">
        <v>300000</v>
      </c>
      <c r="N64" s="65"/>
      <c r="O64" s="65"/>
      <c r="P64" s="65"/>
      <c r="Q64" s="65">
        <v>300000</v>
      </c>
      <c r="R64" s="65">
        <f t="shared" si="8"/>
        <v>73036.44</v>
      </c>
      <c r="S64" s="65"/>
      <c r="T64" s="65">
        <v>73036.44</v>
      </c>
      <c r="U64" s="65"/>
      <c r="V64" s="65"/>
      <c r="W64" s="65"/>
      <c r="X64" s="132">
        <f t="shared" si="5"/>
        <v>24.345479999999998</v>
      </c>
      <c r="Y64" s="65">
        <f t="shared" si="6"/>
        <v>6277588.4500000002</v>
      </c>
      <c r="Z64" s="203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</row>
    <row r="65" spans="1:578" s="41" customFormat="1" ht="33.75" customHeight="1" x14ac:dyDescent="0.2">
      <c r="A65" s="39" t="s">
        <v>292</v>
      </c>
      <c r="B65" s="90" t="str">
        <f>'дод 3'!A29</f>
        <v>1110</v>
      </c>
      <c r="C65" s="90" t="str">
        <f>'дод 3'!B29</f>
        <v>0930</v>
      </c>
      <c r="D65" s="42" t="str">
        <f>'дод 3'!C29</f>
        <v>Підготовка кадрів професійно-технічними закладами та іншими закладами освіти</v>
      </c>
      <c r="E65" s="65">
        <v>103006500</v>
      </c>
      <c r="F65" s="65">
        <v>59049100</v>
      </c>
      <c r="G65" s="65">
        <f>10451100+39926</f>
        <v>10491026</v>
      </c>
      <c r="H65" s="65">
        <v>24193473.190000001</v>
      </c>
      <c r="I65" s="65">
        <v>13329233.1</v>
      </c>
      <c r="J65" s="65">
        <v>3346649.01</v>
      </c>
      <c r="K65" s="130">
        <f t="shared" si="2"/>
        <v>23.487326712391937</v>
      </c>
      <c r="L65" s="65">
        <f t="shared" si="7"/>
        <v>11245506</v>
      </c>
      <c r="M65" s="65">
        <v>3528000</v>
      </c>
      <c r="N65" s="65">
        <v>7600506</v>
      </c>
      <c r="O65" s="65">
        <v>2516057</v>
      </c>
      <c r="P65" s="65">
        <v>2589380</v>
      </c>
      <c r="Q65" s="65">
        <f>117000+3528000</f>
        <v>3645000</v>
      </c>
      <c r="R65" s="65">
        <f t="shared" si="8"/>
        <v>2072817.69</v>
      </c>
      <c r="S65" s="65"/>
      <c r="T65" s="65">
        <v>1996810.7</v>
      </c>
      <c r="U65" s="65">
        <v>572405.41</v>
      </c>
      <c r="V65" s="65">
        <v>707348.11</v>
      </c>
      <c r="W65" s="65">
        <v>76006.990000000005</v>
      </c>
      <c r="X65" s="132">
        <f t="shared" si="5"/>
        <v>18.432409266421626</v>
      </c>
      <c r="Y65" s="65">
        <f t="shared" si="6"/>
        <v>26266290.880000003</v>
      </c>
      <c r="Z65" s="203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  <c r="SK65" s="47"/>
      <c r="SL65" s="47"/>
      <c r="SM65" s="47"/>
      <c r="SN65" s="47"/>
      <c r="SO65" s="47"/>
      <c r="SP65" s="47"/>
      <c r="SQ65" s="47"/>
      <c r="SR65" s="47"/>
      <c r="SS65" s="47"/>
      <c r="ST65" s="47"/>
      <c r="SU65" s="47"/>
      <c r="SV65" s="47"/>
      <c r="SW65" s="47"/>
      <c r="SX65" s="47"/>
      <c r="SY65" s="47"/>
      <c r="SZ65" s="47"/>
      <c r="TA65" s="47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</row>
    <row r="66" spans="1:578" s="41" customFormat="1" ht="15.75" customHeight="1" x14ac:dyDescent="0.2">
      <c r="A66" s="39"/>
      <c r="B66" s="90"/>
      <c r="C66" s="90"/>
      <c r="D66" s="40" t="s">
        <v>344</v>
      </c>
      <c r="E66" s="65">
        <v>12122000</v>
      </c>
      <c r="F66" s="65">
        <v>9426200</v>
      </c>
      <c r="G66" s="65"/>
      <c r="H66" s="65">
        <v>2539730.04</v>
      </c>
      <c r="I66" s="65">
        <v>2080162.43</v>
      </c>
      <c r="J66" s="65"/>
      <c r="K66" s="130">
        <f t="shared" si="2"/>
        <v>20.951410988285762</v>
      </c>
      <c r="L66" s="65">
        <f t="shared" si="7"/>
        <v>3528000</v>
      </c>
      <c r="M66" s="65">
        <v>3528000</v>
      </c>
      <c r="N66" s="65"/>
      <c r="O66" s="65"/>
      <c r="P66" s="65"/>
      <c r="Q66" s="65">
        <v>3528000</v>
      </c>
      <c r="R66" s="65">
        <f t="shared" si="8"/>
        <v>0</v>
      </c>
      <c r="S66" s="65"/>
      <c r="T66" s="65"/>
      <c r="U66" s="65"/>
      <c r="V66" s="65"/>
      <c r="W66" s="65"/>
      <c r="X66" s="132">
        <f t="shared" si="5"/>
        <v>0</v>
      </c>
      <c r="Y66" s="65">
        <f t="shared" si="6"/>
        <v>2539730.04</v>
      </c>
      <c r="Z66" s="203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</row>
    <row r="67" spans="1:578" s="41" customFormat="1" ht="21" customHeight="1" x14ac:dyDescent="0.2">
      <c r="A67" s="39" t="s">
        <v>226</v>
      </c>
      <c r="B67" s="90" t="str">
        <f>'дод 3'!A31</f>
        <v>1150</v>
      </c>
      <c r="C67" s="90" t="str">
        <f>'дод 3'!B31</f>
        <v>0990</v>
      </c>
      <c r="D67" s="42" t="str">
        <f>'дод 3'!C31</f>
        <v xml:space="preserve">Методичне забезпечення діяльності навчальних закладів  </v>
      </c>
      <c r="E67" s="65">
        <v>2838770</v>
      </c>
      <c r="F67" s="65">
        <v>2189100</v>
      </c>
      <c r="G67" s="65">
        <f>127170+1728</f>
        <v>128898</v>
      </c>
      <c r="H67" s="65">
        <v>668683.30000000005</v>
      </c>
      <c r="I67" s="65">
        <v>514134.09</v>
      </c>
      <c r="J67" s="65">
        <v>35665.32</v>
      </c>
      <c r="K67" s="130">
        <f t="shared" si="2"/>
        <v>23.555388425268692</v>
      </c>
      <c r="L67" s="65">
        <f t="shared" si="7"/>
        <v>0</v>
      </c>
      <c r="M67" s="65"/>
      <c r="N67" s="65"/>
      <c r="O67" s="65"/>
      <c r="P67" s="65"/>
      <c r="Q67" s="65"/>
      <c r="R67" s="65">
        <f t="shared" si="8"/>
        <v>12451.619999999999</v>
      </c>
      <c r="S67" s="65"/>
      <c r="T67" s="65">
        <v>8953.2099999999991</v>
      </c>
      <c r="U67" s="65"/>
      <c r="V67" s="65"/>
      <c r="W67" s="65">
        <v>3498.41</v>
      </c>
      <c r="X67" s="132"/>
      <c r="Y67" s="65">
        <f t="shared" si="6"/>
        <v>681134.92</v>
      </c>
      <c r="Z67" s="203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  <c r="SK67" s="47"/>
      <c r="SL67" s="47"/>
      <c r="SM67" s="47"/>
      <c r="SN67" s="47"/>
      <c r="SO67" s="47"/>
      <c r="SP67" s="47"/>
      <c r="SQ67" s="47"/>
      <c r="SR67" s="47"/>
      <c r="SS67" s="47"/>
      <c r="ST67" s="47"/>
      <c r="SU67" s="47"/>
      <c r="SV67" s="47"/>
      <c r="SW67" s="47"/>
      <c r="SX67" s="47"/>
      <c r="SY67" s="47"/>
      <c r="SZ67" s="47"/>
      <c r="TA67" s="47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</row>
    <row r="68" spans="1:578" s="41" customFormat="1" ht="26.25" customHeight="1" x14ac:dyDescent="0.2">
      <c r="A68" s="39" t="s">
        <v>399</v>
      </c>
      <c r="B68" s="90" t="str">
        <f>'дод 3'!A32</f>
        <v>1161</v>
      </c>
      <c r="C68" s="90" t="str">
        <f>'дод 3'!B32</f>
        <v>0990</v>
      </c>
      <c r="D68" s="42" t="s">
        <v>370</v>
      </c>
      <c r="E68" s="65">
        <v>8147190</v>
      </c>
      <c r="F68" s="65">
        <f>6061800+966164-1166764</f>
        <v>5861200</v>
      </c>
      <c r="G68" s="65">
        <f>603390+704-92060</f>
        <v>512034</v>
      </c>
      <c r="H68" s="65">
        <v>1913056.59</v>
      </c>
      <c r="I68" s="65">
        <v>1402309.81</v>
      </c>
      <c r="J68" s="65">
        <v>123371.23</v>
      </c>
      <c r="K68" s="130">
        <f t="shared" si="2"/>
        <v>23.481182960014436</v>
      </c>
      <c r="L68" s="65">
        <f t="shared" ref="L68:L123" si="17">N68+Q68</f>
        <v>148000</v>
      </c>
      <c r="M68" s="65">
        <v>148000</v>
      </c>
      <c r="N68" s="65"/>
      <c r="O68" s="65"/>
      <c r="P68" s="65"/>
      <c r="Q68" s="65">
        <f>170000+8000-30000</f>
        <v>148000</v>
      </c>
      <c r="R68" s="65">
        <f t="shared" si="8"/>
        <v>178019.03</v>
      </c>
      <c r="S68" s="65"/>
      <c r="T68" s="65">
        <v>65097.94</v>
      </c>
      <c r="U68" s="65"/>
      <c r="V68" s="65"/>
      <c r="W68" s="65">
        <v>112921.09</v>
      </c>
      <c r="X68" s="132">
        <f t="shared" si="5"/>
        <v>120.28312837837838</v>
      </c>
      <c r="Y68" s="65">
        <f t="shared" si="6"/>
        <v>2091075.62</v>
      </c>
      <c r="Z68" s="203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</row>
    <row r="69" spans="1:578" s="41" customFormat="1" ht="15" hidden="1" customHeight="1" x14ac:dyDescent="0.2">
      <c r="A69" s="39"/>
      <c r="B69" s="90"/>
      <c r="C69" s="90"/>
      <c r="D69" s="40" t="s">
        <v>344</v>
      </c>
      <c r="E69" s="65">
        <v>0</v>
      </c>
      <c r="F69" s="65">
        <f>966164-966164</f>
        <v>0</v>
      </c>
      <c r="G69" s="65"/>
      <c r="H69" s="65"/>
      <c r="I69" s="65"/>
      <c r="J69" s="65"/>
      <c r="K69" s="129" t="e">
        <f t="shared" si="2"/>
        <v>#DIV/0!</v>
      </c>
      <c r="L69" s="65">
        <f t="shared" si="17"/>
        <v>0</v>
      </c>
      <c r="M69" s="65"/>
      <c r="N69" s="65"/>
      <c r="O69" s="65"/>
      <c r="P69" s="65"/>
      <c r="Q69" s="65"/>
      <c r="R69" s="65">
        <f t="shared" si="8"/>
        <v>0</v>
      </c>
      <c r="S69" s="65"/>
      <c r="T69" s="65"/>
      <c r="U69" s="65"/>
      <c r="V69" s="65"/>
      <c r="W69" s="65"/>
      <c r="X69" s="132" t="e">
        <f t="shared" si="5"/>
        <v>#DIV/0!</v>
      </c>
      <c r="Y69" s="65">
        <f t="shared" si="6"/>
        <v>0</v>
      </c>
      <c r="Z69" s="203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</row>
    <row r="70" spans="1:578" s="41" customFormat="1" ht="20.25" customHeight="1" x14ac:dyDescent="0.2">
      <c r="A70" s="39" t="s">
        <v>400</v>
      </c>
      <c r="B70" s="90" t="str">
        <f>'дод 3'!A34</f>
        <v>1162</v>
      </c>
      <c r="C70" s="90" t="str">
        <f>'дод 3'!B34</f>
        <v>0990</v>
      </c>
      <c r="D70" s="42" t="str">
        <f>'дод 3'!C34</f>
        <v>Інші програми та заходи у сфері освіти</v>
      </c>
      <c r="E70" s="65">
        <v>90400</v>
      </c>
      <c r="F70" s="65"/>
      <c r="G70" s="65"/>
      <c r="H70" s="65">
        <v>21000</v>
      </c>
      <c r="I70" s="65"/>
      <c r="J70" s="65"/>
      <c r="K70" s="130">
        <f t="shared" si="2"/>
        <v>23.23008849557522</v>
      </c>
      <c r="L70" s="65">
        <f t="shared" si="17"/>
        <v>0</v>
      </c>
      <c r="M70" s="65"/>
      <c r="N70" s="65"/>
      <c r="O70" s="65"/>
      <c r="P70" s="65"/>
      <c r="Q70" s="65"/>
      <c r="R70" s="65">
        <f t="shared" si="8"/>
        <v>0</v>
      </c>
      <c r="S70" s="65"/>
      <c r="T70" s="65"/>
      <c r="U70" s="65"/>
      <c r="V70" s="65"/>
      <c r="W70" s="65"/>
      <c r="X70" s="132"/>
      <c r="Y70" s="65">
        <f t="shared" si="6"/>
        <v>21000</v>
      </c>
      <c r="Z70" s="203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</row>
    <row r="71" spans="1:578" s="41" customFormat="1" ht="15" hidden="1" customHeight="1" x14ac:dyDescent="0.2">
      <c r="A71" s="39"/>
      <c r="B71" s="90"/>
      <c r="C71" s="90"/>
      <c r="D71" s="40" t="s">
        <v>344</v>
      </c>
      <c r="E71" s="65">
        <v>0</v>
      </c>
      <c r="F71" s="65"/>
      <c r="G71" s="65"/>
      <c r="H71" s="65"/>
      <c r="I71" s="65"/>
      <c r="J71" s="65"/>
      <c r="K71" s="130" t="e">
        <f t="shared" si="2"/>
        <v>#DIV/0!</v>
      </c>
      <c r="L71" s="65">
        <f t="shared" si="17"/>
        <v>0</v>
      </c>
      <c r="M71" s="65"/>
      <c r="N71" s="65"/>
      <c r="O71" s="65"/>
      <c r="P71" s="65"/>
      <c r="Q71" s="65"/>
      <c r="R71" s="65">
        <f t="shared" si="8"/>
        <v>0</v>
      </c>
      <c r="S71" s="65"/>
      <c r="T71" s="65"/>
      <c r="U71" s="65"/>
      <c r="V71" s="65"/>
      <c r="W71" s="65"/>
      <c r="X71" s="132" t="e">
        <f t="shared" si="5"/>
        <v>#DIV/0!</v>
      </c>
      <c r="Y71" s="65">
        <f t="shared" si="6"/>
        <v>0</v>
      </c>
      <c r="Z71" s="203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</row>
    <row r="72" spans="1:578" s="41" customFormat="1" ht="30" x14ac:dyDescent="0.2">
      <c r="A72" s="64" t="s">
        <v>589</v>
      </c>
      <c r="B72" s="90">
        <v>1170</v>
      </c>
      <c r="C72" s="90" t="s">
        <v>85</v>
      </c>
      <c r="D72" s="40" t="s">
        <v>570</v>
      </c>
      <c r="E72" s="65">
        <v>1583510</v>
      </c>
      <c r="F72" s="65">
        <v>1166764</v>
      </c>
      <c r="G72" s="65">
        <v>92060</v>
      </c>
      <c r="H72" s="65">
        <v>118817.74</v>
      </c>
      <c r="I72" s="65">
        <v>84906.31</v>
      </c>
      <c r="J72" s="65">
        <v>14646.57</v>
      </c>
      <c r="K72" s="130">
        <f t="shared" si="2"/>
        <v>7.50344108973104</v>
      </c>
      <c r="L72" s="65">
        <f t="shared" si="17"/>
        <v>30000</v>
      </c>
      <c r="M72" s="65">
        <v>30000</v>
      </c>
      <c r="N72" s="65"/>
      <c r="O72" s="65"/>
      <c r="P72" s="65"/>
      <c r="Q72" s="65">
        <v>30000</v>
      </c>
      <c r="R72" s="65">
        <f t="shared" si="8"/>
        <v>0</v>
      </c>
      <c r="S72" s="65"/>
      <c r="T72" s="65"/>
      <c r="U72" s="65"/>
      <c r="V72" s="65"/>
      <c r="W72" s="65"/>
      <c r="X72" s="132">
        <f t="shared" si="5"/>
        <v>0</v>
      </c>
      <c r="Y72" s="65">
        <f t="shared" si="6"/>
        <v>118817.74</v>
      </c>
      <c r="Z72" s="203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</row>
    <row r="73" spans="1:578" s="41" customFormat="1" x14ac:dyDescent="0.2">
      <c r="A73" s="39"/>
      <c r="B73" s="90"/>
      <c r="C73" s="90"/>
      <c r="D73" s="40" t="s">
        <v>344</v>
      </c>
      <c r="E73" s="65">
        <v>1178720</v>
      </c>
      <c r="F73" s="65">
        <v>966164</v>
      </c>
      <c r="G73" s="65"/>
      <c r="H73" s="65">
        <v>103839.66</v>
      </c>
      <c r="I73" s="65">
        <v>84906.31</v>
      </c>
      <c r="J73" s="65"/>
      <c r="K73" s="130">
        <f t="shared" si="2"/>
        <v>8.8095272838333116</v>
      </c>
      <c r="L73" s="65">
        <f t="shared" si="17"/>
        <v>0</v>
      </c>
      <c r="M73" s="65"/>
      <c r="N73" s="65"/>
      <c r="O73" s="65"/>
      <c r="P73" s="65"/>
      <c r="Q73" s="65"/>
      <c r="R73" s="65">
        <f t="shared" si="8"/>
        <v>0</v>
      </c>
      <c r="S73" s="65"/>
      <c r="T73" s="65"/>
      <c r="U73" s="65"/>
      <c r="V73" s="65"/>
      <c r="W73" s="65"/>
      <c r="X73" s="132"/>
      <c r="Y73" s="65">
        <f t="shared" si="6"/>
        <v>103839.66</v>
      </c>
      <c r="Z73" s="203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  <c r="SK73" s="47"/>
      <c r="SL73" s="47"/>
      <c r="SM73" s="47"/>
      <c r="SN73" s="47"/>
      <c r="SO73" s="47"/>
      <c r="SP73" s="47"/>
      <c r="SQ73" s="47"/>
      <c r="SR73" s="47"/>
      <c r="SS73" s="47"/>
      <c r="ST73" s="47"/>
      <c r="SU73" s="47"/>
      <c r="SV73" s="47"/>
      <c r="SW73" s="47"/>
      <c r="SX73" s="47"/>
      <c r="SY73" s="47"/>
      <c r="SZ73" s="47"/>
      <c r="TA73" s="47"/>
      <c r="TB73" s="47"/>
      <c r="TC73" s="47"/>
      <c r="TD73" s="47"/>
      <c r="TE73" s="47"/>
      <c r="TF73" s="47"/>
      <c r="TG73" s="47"/>
      <c r="TH73" s="47"/>
      <c r="TI73" s="47"/>
      <c r="TJ73" s="47"/>
      <c r="TK73" s="47"/>
      <c r="TL73" s="47"/>
      <c r="TM73" s="47"/>
      <c r="TN73" s="47"/>
      <c r="TO73" s="47"/>
      <c r="TP73" s="47"/>
      <c r="TQ73" s="47"/>
      <c r="TR73" s="47"/>
      <c r="TS73" s="47"/>
      <c r="TT73" s="47"/>
      <c r="TU73" s="47"/>
      <c r="TV73" s="47"/>
      <c r="TW73" s="47"/>
      <c r="TX73" s="47"/>
      <c r="TY73" s="47"/>
      <c r="TZ73" s="47"/>
      <c r="UA73" s="47"/>
      <c r="UB73" s="47"/>
      <c r="UC73" s="47"/>
      <c r="UD73" s="47"/>
      <c r="UE73" s="47"/>
      <c r="UF73" s="47"/>
      <c r="UG73" s="47"/>
      <c r="UH73" s="47"/>
      <c r="UI73" s="47"/>
      <c r="UJ73" s="47"/>
      <c r="UK73" s="47"/>
      <c r="UL73" s="47"/>
      <c r="UM73" s="47"/>
      <c r="UN73" s="47"/>
      <c r="UO73" s="47"/>
      <c r="UP73" s="47"/>
      <c r="UQ73" s="47"/>
      <c r="UR73" s="47"/>
      <c r="US73" s="47"/>
      <c r="UT73" s="47"/>
      <c r="UU73" s="47"/>
      <c r="UV73" s="47"/>
      <c r="UW73" s="47"/>
      <c r="UX73" s="47"/>
      <c r="UY73" s="47"/>
      <c r="UZ73" s="47"/>
      <c r="VA73" s="47"/>
      <c r="VB73" s="47"/>
      <c r="VC73" s="47"/>
      <c r="VD73" s="47"/>
      <c r="VE73" s="47"/>
      <c r="VF73" s="47"/>
    </row>
    <row r="74" spans="1:578" s="41" customFormat="1" ht="64.5" customHeight="1" x14ac:dyDescent="0.2">
      <c r="A74" s="39" t="s">
        <v>227</v>
      </c>
      <c r="B74" s="90" t="str">
        <f>'дод 3'!A109</f>
        <v>3140</v>
      </c>
      <c r="C74" s="90" t="str">
        <f>'дод 3'!B109</f>
        <v>1040</v>
      </c>
      <c r="D74" s="42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4" s="65">
        <v>7301000</v>
      </c>
      <c r="F74" s="65"/>
      <c r="G74" s="65"/>
      <c r="H74" s="65"/>
      <c r="I74" s="65"/>
      <c r="J74" s="65"/>
      <c r="K74" s="130">
        <f t="shared" si="2"/>
        <v>0</v>
      </c>
      <c r="L74" s="65">
        <f t="shared" si="17"/>
        <v>0</v>
      </c>
      <c r="M74" s="65"/>
      <c r="N74" s="65"/>
      <c r="O74" s="65"/>
      <c r="P74" s="65"/>
      <c r="Q74" s="65"/>
      <c r="R74" s="65">
        <f t="shared" si="8"/>
        <v>0</v>
      </c>
      <c r="S74" s="65"/>
      <c r="T74" s="65"/>
      <c r="U74" s="65"/>
      <c r="V74" s="65"/>
      <c r="W74" s="65"/>
      <c r="X74" s="132"/>
      <c r="Y74" s="65">
        <f t="shared" si="6"/>
        <v>0</v>
      </c>
      <c r="Z74" s="203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</row>
    <row r="75" spans="1:578" s="41" customFormat="1" ht="31.5" customHeight="1" x14ac:dyDescent="0.2">
      <c r="A75" s="39" t="s">
        <v>478</v>
      </c>
      <c r="B75" s="90" t="str">
        <f>'дод 3'!A127</f>
        <v>3242</v>
      </c>
      <c r="C75" s="90" t="str">
        <f>'дод 3'!B127</f>
        <v>1090</v>
      </c>
      <c r="D75" s="42" t="str">
        <f>'дод 3'!C127</f>
        <v>Інші заходи у сфері соціального захисту і соціального забезпечення</v>
      </c>
      <c r="E75" s="65">
        <v>56110</v>
      </c>
      <c r="F75" s="65"/>
      <c r="G75" s="65"/>
      <c r="H75" s="65">
        <v>10860</v>
      </c>
      <c r="I75" s="65"/>
      <c r="J75" s="65"/>
      <c r="K75" s="130">
        <f t="shared" si="2"/>
        <v>19.35483870967742</v>
      </c>
      <c r="L75" s="65">
        <f t="shared" si="17"/>
        <v>0</v>
      </c>
      <c r="M75" s="65"/>
      <c r="N75" s="65"/>
      <c r="O75" s="65"/>
      <c r="P75" s="65"/>
      <c r="Q75" s="65"/>
      <c r="R75" s="65">
        <f t="shared" si="8"/>
        <v>0</v>
      </c>
      <c r="S75" s="65"/>
      <c r="T75" s="65"/>
      <c r="U75" s="65"/>
      <c r="V75" s="65"/>
      <c r="W75" s="65"/>
      <c r="X75" s="132"/>
      <c r="Y75" s="65">
        <f t="shared" si="6"/>
        <v>10860</v>
      </c>
      <c r="Z75" s="203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  <c r="SK75" s="47"/>
      <c r="SL75" s="47"/>
      <c r="SM75" s="47"/>
      <c r="SN75" s="47"/>
      <c r="SO75" s="47"/>
      <c r="SP75" s="47"/>
      <c r="SQ75" s="47"/>
      <c r="SR75" s="47"/>
      <c r="SS75" s="47"/>
      <c r="ST75" s="47"/>
      <c r="SU75" s="47"/>
      <c r="SV75" s="47"/>
      <c r="SW75" s="47"/>
      <c r="SX75" s="47"/>
      <c r="SY75" s="47"/>
      <c r="SZ75" s="47"/>
      <c r="TA75" s="47"/>
      <c r="TB75" s="47"/>
      <c r="TC75" s="47"/>
      <c r="TD75" s="47"/>
      <c r="TE75" s="47"/>
      <c r="TF75" s="47"/>
      <c r="TG75" s="47"/>
      <c r="TH75" s="47"/>
      <c r="TI75" s="47"/>
      <c r="TJ75" s="47"/>
      <c r="TK75" s="47"/>
      <c r="TL75" s="47"/>
      <c r="TM75" s="47"/>
      <c r="TN75" s="47"/>
      <c r="TO75" s="47"/>
      <c r="TP75" s="47"/>
      <c r="TQ75" s="47"/>
      <c r="TR75" s="47"/>
      <c r="TS75" s="47"/>
      <c r="TT75" s="47"/>
      <c r="TU75" s="47"/>
      <c r="TV75" s="47"/>
      <c r="TW75" s="47"/>
      <c r="TX75" s="47"/>
      <c r="TY75" s="47"/>
      <c r="TZ75" s="47"/>
      <c r="UA75" s="47"/>
      <c r="UB75" s="47"/>
      <c r="UC75" s="47"/>
      <c r="UD75" s="47"/>
      <c r="UE75" s="47"/>
      <c r="UF75" s="47"/>
      <c r="UG75" s="47"/>
      <c r="UH75" s="47"/>
      <c r="UI75" s="47"/>
      <c r="UJ75" s="47"/>
      <c r="UK75" s="47"/>
      <c r="UL75" s="47"/>
      <c r="UM75" s="47"/>
      <c r="UN75" s="47"/>
      <c r="UO75" s="47"/>
      <c r="UP75" s="47"/>
      <c r="UQ75" s="47"/>
      <c r="UR75" s="47"/>
      <c r="US75" s="47"/>
      <c r="UT75" s="47"/>
      <c r="UU75" s="47"/>
      <c r="UV75" s="47"/>
      <c r="UW75" s="47"/>
      <c r="UX75" s="47"/>
      <c r="UY75" s="47"/>
      <c r="UZ75" s="47"/>
      <c r="VA75" s="47"/>
      <c r="VB75" s="47"/>
      <c r="VC75" s="47"/>
      <c r="VD75" s="47"/>
      <c r="VE75" s="47"/>
      <c r="VF75" s="47"/>
    </row>
    <row r="76" spans="1:578" s="41" customFormat="1" ht="33" customHeight="1" x14ac:dyDescent="0.2">
      <c r="A76" s="39" t="s">
        <v>228</v>
      </c>
      <c r="B76" s="90" t="str">
        <f>'дод 3'!A136</f>
        <v>5031</v>
      </c>
      <c r="C76" s="90" t="str">
        <f>'дод 3'!B136</f>
        <v>0810</v>
      </c>
      <c r="D76" s="42" t="str">
        <f>'дод 3'!C136</f>
        <v>Утримання та навчально-тренувальна робота комунальних дитячо-юнацьких спортивних шкіл</v>
      </c>
      <c r="E76" s="65">
        <v>4846100</v>
      </c>
      <c r="F76" s="65">
        <v>3511500</v>
      </c>
      <c r="G76" s="65">
        <v>219600</v>
      </c>
      <c r="H76" s="65">
        <v>1130639.8400000001</v>
      </c>
      <c r="I76" s="65">
        <v>823349.58</v>
      </c>
      <c r="J76" s="65">
        <v>64836.67</v>
      </c>
      <c r="K76" s="130">
        <f t="shared" si="2"/>
        <v>23.330922597552672</v>
      </c>
      <c r="L76" s="65">
        <f t="shared" si="17"/>
        <v>50000</v>
      </c>
      <c r="M76" s="65">
        <v>50000</v>
      </c>
      <c r="N76" s="65"/>
      <c r="O76" s="65"/>
      <c r="P76" s="65"/>
      <c r="Q76" s="65">
        <f>50000</f>
        <v>50000</v>
      </c>
      <c r="R76" s="65">
        <f t="shared" si="8"/>
        <v>0</v>
      </c>
      <c r="S76" s="65"/>
      <c r="T76" s="65"/>
      <c r="U76" s="65"/>
      <c r="V76" s="65"/>
      <c r="W76" s="65"/>
      <c r="X76" s="132">
        <f t="shared" si="5"/>
        <v>0</v>
      </c>
      <c r="Y76" s="65">
        <f t="shared" si="6"/>
        <v>1130639.8400000001</v>
      </c>
      <c r="Z76" s="203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  <c r="SK76" s="47"/>
      <c r="SL76" s="47"/>
      <c r="SM76" s="47"/>
      <c r="SN76" s="47"/>
      <c r="SO76" s="47"/>
      <c r="SP76" s="47"/>
      <c r="SQ76" s="47"/>
      <c r="SR76" s="47"/>
      <c r="SS76" s="47"/>
      <c r="ST76" s="47"/>
      <c r="SU76" s="47"/>
      <c r="SV76" s="47"/>
      <c r="SW76" s="47"/>
      <c r="SX76" s="47"/>
      <c r="SY76" s="47"/>
      <c r="SZ76" s="47"/>
      <c r="TA76" s="47"/>
      <c r="TB76" s="47"/>
      <c r="TC76" s="47"/>
      <c r="TD76" s="47"/>
      <c r="TE76" s="47"/>
      <c r="TF76" s="47"/>
      <c r="TG76" s="47"/>
      <c r="TH76" s="47"/>
      <c r="TI76" s="47"/>
      <c r="TJ76" s="47"/>
      <c r="TK76" s="47"/>
      <c r="TL76" s="47"/>
      <c r="TM76" s="47"/>
      <c r="TN76" s="47"/>
      <c r="TO76" s="47"/>
      <c r="TP76" s="47"/>
      <c r="TQ76" s="47"/>
      <c r="TR76" s="47"/>
      <c r="TS76" s="47"/>
      <c r="TT76" s="47"/>
      <c r="TU76" s="47"/>
      <c r="TV76" s="47"/>
      <c r="TW76" s="47"/>
      <c r="TX76" s="47"/>
      <c r="TY76" s="47"/>
      <c r="TZ76" s="47"/>
      <c r="UA76" s="47"/>
      <c r="UB76" s="47"/>
      <c r="UC76" s="47"/>
      <c r="UD76" s="47"/>
      <c r="UE76" s="47"/>
      <c r="UF76" s="47"/>
      <c r="UG76" s="47"/>
      <c r="UH76" s="47"/>
      <c r="UI76" s="47"/>
      <c r="UJ76" s="47"/>
      <c r="UK76" s="47"/>
      <c r="UL76" s="47"/>
      <c r="UM76" s="47"/>
      <c r="UN76" s="47"/>
      <c r="UO76" s="47"/>
      <c r="UP76" s="47"/>
      <c r="UQ76" s="47"/>
      <c r="UR76" s="47"/>
      <c r="US76" s="47"/>
      <c r="UT76" s="47"/>
      <c r="UU76" s="47"/>
      <c r="UV76" s="47"/>
      <c r="UW76" s="47"/>
      <c r="UX76" s="47"/>
      <c r="UY76" s="47"/>
      <c r="UZ76" s="47"/>
      <c r="VA76" s="47"/>
      <c r="VB76" s="47"/>
      <c r="VC76" s="47"/>
      <c r="VD76" s="47"/>
      <c r="VE76" s="47"/>
      <c r="VF76" s="47"/>
    </row>
    <row r="77" spans="1:578" s="41" customFormat="1" ht="45" x14ac:dyDescent="0.2">
      <c r="A77" s="39" t="s">
        <v>499</v>
      </c>
      <c r="B77" s="90" t="str">
        <f>'дод 3'!A169</f>
        <v>7363</v>
      </c>
      <c r="C77" s="90" t="str">
        <f>'дод 3'!B169</f>
        <v>0490</v>
      </c>
      <c r="D77" s="42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77" s="65">
        <v>0</v>
      </c>
      <c r="F77" s="65"/>
      <c r="G77" s="65"/>
      <c r="H77" s="65"/>
      <c r="I77" s="65"/>
      <c r="J77" s="65"/>
      <c r="K77" s="130"/>
      <c r="L77" s="65">
        <f t="shared" si="17"/>
        <v>10808462.43</v>
      </c>
      <c r="M77" s="65">
        <v>10808462.43</v>
      </c>
      <c r="N77" s="65"/>
      <c r="O77" s="65"/>
      <c r="P77" s="65"/>
      <c r="Q77" s="65">
        <f>6305000+4331074.49+172387.94</f>
        <v>10808462.43</v>
      </c>
      <c r="R77" s="65">
        <f t="shared" si="8"/>
        <v>2511233.86</v>
      </c>
      <c r="S77" s="65">
        <v>2511233.86</v>
      </c>
      <c r="T77" s="65"/>
      <c r="U77" s="65"/>
      <c r="V77" s="65"/>
      <c r="W77" s="65">
        <v>2511233.86</v>
      </c>
      <c r="X77" s="132">
        <f t="shared" si="5"/>
        <v>23.233960207233658</v>
      </c>
      <c r="Y77" s="65">
        <f t="shared" si="6"/>
        <v>2511233.86</v>
      </c>
      <c r="Z77" s="203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</row>
    <row r="78" spans="1:578" s="41" customFormat="1" x14ac:dyDescent="0.2">
      <c r="A78" s="39"/>
      <c r="B78" s="90"/>
      <c r="C78" s="90"/>
      <c r="D78" s="40" t="s">
        <v>344</v>
      </c>
      <c r="E78" s="65">
        <v>0</v>
      </c>
      <c r="F78" s="65"/>
      <c r="G78" s="65"/>
      <c r="H78" s="65"/>
      <c r="I78" s="65"/>
      <c r="J78" s="65"/>
      <c r="K78" s="130"/>
      <c r="L78" s="65">
        <f t="shared" si="17"/>
        <v>10636074.49</v>
      </c>
      <c r="M78" s="65">
        <v>10636074.49</v>
      </c>
      <c r="N78" s="65"/>
      <c r="O78" s="65"/>
      <c r="P78" s="65"/>
      <c r="Q78" s="65">
        <f>6305000+4331074.49</f>
        <v>10636074.49</v>
      </c>
      <c r="R78" s="65">
        <f t="shared" si="8"/>
        <v>2510069.86</v>
      </c>
      <c r="S78" s="65">
        <f>38800+2471269.86</f>
        <v>2510069.86</v>
      </c>
      <c r="T78" s="65"/>
      <c r="U78" s="65"/>
      <c r="V78" s="65"/>
      <c r="W78" s="65">
        <f>38800+2471269.86</f>
        <v>2510069.86</v>
      </c>
      <c r="X78" s="132">
        <f t="shared" si="5"/>
        <v>23.599588949475287</v>
      </c>
      <c r="Y78" s="65">
        <f t="shared" si="6"/>
        <v>2510069.86</v>
      </c>
      <c r="Z78" s="203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</row>
    <row r="79" spans="1:578" s="41" customFormat="1" ht="25.5" customHeight="1" x14ac:dyDescent="0.2">
      <c r="A79" s="39" t="s">
        <v>229</v>
      </c>
      <c r="B79" s="90" t="str">
        <f>'дод 3'!A185</f>
        <v>7640</v>
      </c>
      <c r="C79" s="90" t="str">
        <f>'дод 3'!B185</f>
        <v>0470</v>
      </c>
      <c r="D79" s="42" t="str">
        <f>'дод 3'!C185</f>
        <v>Заходи з енергозбереження</v>
      </c>
      <c r="E79" s="65">
        <v>427000</v>
      </c>
      <c r="F79" s="65"/>
      <c r="G79" s="65"/>
      <c r="H79" s="65"/>
      <c r="I79" s="65"/>
      <c r="J79" s="65"/>
      <c r="K79" s="130">
        <f t="shared" si="2"/>
        <v>0</v>
      </c>
      <c r="L79" s="65">
        <f t="shared" si="17"/>
        <v>3596000</v>
      </c>
      <c r="M79" s="65">
        <v>3596000</v>
      </c>
      <c r="N79" s="65"/>
      <c r="O79" s="65"/>
      <c r="P79" s="65"/>
      <c r="Q79" s="65">
        <f>4046000+3900000-3900000-450000</f>
        <v>3596000</v>
      </c>
      <c r="R79" s="65">
        <f t="shared" si="8"/>
        <v>0</v>
      </c>
      <c r="S79" s="65"/>
      <c r="T79" s="65"/>
      <c r="U79" s="65"/>
      <c r="V79" s="65"/>
      <c r="W79" s="65"/>
      <c r="X79" s="132">
        <f t="shared" si="5"/>
        <v>0</v>
      </c>
      <c r="Y79" s="65">
        <f t="shared" si="6"/>
        <v>0</v>
      </c>
      <c r="Z79" s="203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  <c r="SK79" s="47"/>
      <c r="SL79" s="47"/>
      <c r="SM79" s="47"/>
      <c r="SN79" s="47"/>
      <c r="SO79" s="47"/>
      <c r="SP79" s="47"/>
      <c r="SQ79" s="47"/>
      <c r="SR79" s="47"/>
      <c r="SS79" s="47"/>
      <c r="ST79" s="47"/>
      <c r="SU79" s="47"/>
      <c r="SV79" s="47"/>
      <c r="SW79" s="47"/>
      <c r="SX79" s="47"/>
      <c r="SY79" s="47"/>
      <c r="SZ79" s="47"/>
      <c r="TA79" s="47"/>
      <c r="TB79" s="47"/>
      <c r="TC79" s="47"/>
      <c r="TD79" s="47"/>
      <c r="TE79" s="47"/>
      <c r="TF79" s="47"/>
      <c r="TG79" s="47"/>
      <c r="TH79" s="47"/>
      <c r="TI79" s="47"/>
      <c r="TJ79" s="47"/>
      <c r="TK79" s="47"/>
      <c r="TL79" s="47"/>
      <c r="TM79" s="47"/>
      <c r="TN79" s="47"/>
      <c r="TO79" s="47"/>
      <c r="TP79" s="47"/>
      <c r="TQ79" s="47"/>
      <c r="TR79" s="47"/>
      <c r="TS79" s="47"/>
      <c r="TT79" s="47"/>
      <c r="TU79" s="47"/>
      <c r="TV79" s="47"/>
      <c r="TW79" s="47"/>
      <c r="TX79" s="47"/>
      <c r="TY79" s="47"/>
      <c r="TZ79" s="47"/>
      <c r="UA79" s="47"/>
      <c r="UB79" s="47"/>
      <c r="UC79" s="47"/>
      <c r="UD79" s="47"/>
      <c r="UE79" s="47"/>
      <c r="UF79" s="47"/>
      <c r="UG79" s="47"/>
      <c r="UH79" s="47"/>
      <c r="UI79" s="47"/>
      <c r="UJ79" s="47"/>
      <c r="UK79" s="47"/>
      <c r="UL79" s="47"/>
      <c r="UM79" s="47"/>
      <c r="UN79" s="47"/>
      <c r="UO79" s="47"/>
      <c r="UP79" s="47"/>
      <c r="UQ79" s="47"/>
      <c r="UR79" s="47"/>
      <c r="US79" s="47"/>
      <c r="UT79" s="47"/>
      <c r="UU79" s="47"/>
      <c r="UV79" s="47"/>
      <c r="UW79" s="47"/>
      <c r="UX79" s="47"/>
      <c r="UY79" s="47"/>
      <c r="UZ79" s="47"/>
      <c r="VA79" s="47"/>
      <c r="VB79" s="47"/>
      <c r="VC79" s="47"/>
      <c r="VD79" s="47"/>
      <c r="VE79" s="47"/>
      <c r="VF79" s="47"/>
    </row>
    <row r="80" spans="1:578" s="41" customFormat="1" ht="27" customHeight="1" x14ac:dyDescent="0.2">
      <c r="A80" s="39" t="s">
        <v>230</v>
      </c>
      <c r="B80" s="90" t="str">
        <f>'дод 3'!A202</f>
        <v>8340</v>
      </c>
      <c r="C80" s="90" t="str">
        <f>'дод 3'!B202</f>
        <v>0540</v>
      </c>
      <c r="D80" s="42" t="str">
        <f>'дод 3'!C202</f>
        <v>Природоохоронні заходи за рахунок цільових фондів</v>
      </c>
      <c r="E80" s="65">
        <v>0</v>
      </c>
      <c r="F80" s="65"/>
      <c r="G80" s="65"/>
      <c r="H80" s="65"/>
      <c r="I80" s="65"/>
      <c r="J80" s="65"/>
      <c r="K80" s="130"/>
      <c r="L80" s="65">
        <f t="shared" si="17"/>
        <v>485000</v>
      </c>
      <c r="M80" s="65"/>
      <c r="N80" s="65">
        <v>445000</v>
      </c>
      <c r="O80" s="65"/>
      <c r="P80" s="65"/>
      <c r="Q80" s="65">
        <v>40000</v>
      </c>
      <c r="R80" s="65">
        <f t="shared" si="8"/>
        <v>185951.62</v>
      </c>
      <c r="S80" s="65"/>
      <c r="T80" s="65">
        <v>185951.62</v>
      </c>
      <c r="U80" s="65"/>
      <c r="V80" s="65"/>
      <c r="W80" s="65"/>
      <c r="X80" s="132">
        <f t="shared" ref="X80:X131" si="18">SUM(R80/L80)*100</f>
        <v>38.340540206185565</v>
      </c>
      <c r="Y80" s="65">
        <f t="shared" ref="Y80:Y143" si="19">SUM(H80+R80)</f>
        <v>185951.62</v>
      </c>
      <c r="Z80" s="203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47"/>
      <c r="RP80" s="47"/>
      <c r="RQ80" s="47"/>
      <c r="RR80" s="47"/>
      <c r="RS80" s="47"/>
      <c r="RT80" s="47"/>
      <c r="RU80" s="47"/>
      <c r="RV80" s="47"/>
      <c r="RW80" s="47"/>
      <c r="RX80" s="47"/>
      <c r="RY80" s="47"/>
      <c r="RZ80" s="47"/>
      <c r="SA80" s="47"/>
      <c r="SB80" s="47"/>
      <c r="SC80" s="47"/>
      <c r="SD80" s="47"/>
      <c r="SE80" s="47"/>
      <c r="SF80" s="47"/>
      <c r="SG80" s="47"/>
      <c r="SH80" s="47"/>
      <c r="SI80" s="47"/>
      <c r="SJ80" s="47"/>
      <c r="SK80" s="47"/>
      <c r="SL80" s="47"/>
      <c r="SM80" s="47"/>
      <c r="SN80" s="47"/>
      <c r="SO80" s="47"/>
      <c r="SP80" s="47"/>
      <c r="SQ80" s="47"/>
      <c r="SR80" s="47"/>
      <c r="SS80" s="47"/>
      <c r="ST80" s="47"/>
      <c r="SU80" s="47"/>
      <c r="SV80" s="47"/>
      <c r="SW80" s="47"/>
      <c r="SX80" s="47"/>
      <c r="SY80" s="47"/>
      <c r="SZ80" s="47"/>
      <c r="TA80" s="47"/>
      <c r="TB80" s="47"/>
      <c r="TC80" s="47"/>
      <c r="TD80" s="47"/>
      <c r="TE80" s="47"/>
      <c r="TF80" s="47"/>
      <c r="TG80" s="47"/>
      <c r="TH80" s="47"/>
      <c r="TI80" s="47"/>
      <c r="TJ80" s="47"/>
      <c r="TK80" s="47"/>
      <c r="TL80" s="47"/>
      <c r="TM80" s="47"/>
      <c r="TN80" s="47"/>
      <c r="TO80" s="47"/>
      <c r="TP80" s="47"/>
      <c r="TQ80" s="47"/>
      <c r="TR80" s="47"/>
      <c r="TS80" s="47"/>
      <c r="TT80" s="47"/>
      <c r="TU80" s="47"/>
      <c r="TV80" s="47"/>
      <c r="TW80" s="47"/>
      <c r="TX80" s="47"/>
      <c r="TY80" s="47"/>
      <c r="TZ80" s="47"/>
      <c r="UA80" s="47"/>
      <c r="UB80" s="47"/>
      <c r="UC80" s="47"/>
      <c r="UD80" s="47"/>
      <c r="UE80" s="47"/>
      <c r="UF80" s="47"/>
      <c r="UG80" s="47"/>
      <c r="UH80" s="47"/>
      <c r="UI80" s="47"/>
      <c r="UJ80" s="47"/>
      <c r="UK80" s="47"/>
      <c r="UL80" s="47"/>
      <c r="UM80" s="47"/>
      <c r="UN80" s="47"/>
      <c r="UO80" s="47"/>
      <c r="UP80" s="47"/>
      <c r="UQ80" s="47"/>
      <c r="UR80" s="47"/>
      <c r="US80" s="47"/>
      <c r="UT80" s="47"/>
      <c r="UU80" s="47"/>
      <c r="UV80" s="47"/>
      <c r="UW80" s="47"/>
      <c r="UX80" s="47"/>
      <c r="UY80" s="47"/>
      <c r="UZ80" s="47"/>
      <c r="VA80" s="47"/>
      <c r="VB80" s="47"/>
      <c r="VC80" s="47"/>
      <c r="VD80" s="47"/>
      <c r="VE80" s="47"/>
      <c r="VF80" s="47"/>
    </row>
    <row r="81" spans="1:578" s="41" customFormat="1" ht="45" x14ac:dyDescent="0.2">
      <c r="A81" s="39" t="s">
        <v>492</v>
      </c>
      <c r="B81" s="90" t="str">
        <f>'дод 3'!A222</f>
        <v>9800</v>
      </c>
      <c r="C81" s="90" t="str">
        <f>'дод 3'!B222</f>
        <v>0180</v>
      </c>
      <c r="D81" s="42" t="str">
        <f>'дод 3'!C222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65">
        <v>46152</v>
      </c>
      <c r="F81" s="65"/>
      <c r="G81" s="65"/>
      <c r="H81" s="65"/>
      <c r="I81" s="65"/>
      <c r="J81" s="65"/>
      <c r="K81" s="130">
        <f t="shared" ref="K81:K143" si="20">SUM(H81/E81)*100</f>
        <v>0</v>
      </c>
      <c r="L81" s="65">
        <f t="shared" si="17"/>
        <v>0</v>
      </c>
      <c r="M81" s="65"/>
      <c r="N81" s="65"/>
      <c r="O81" s="65"/>
      <c r="P81" s="65"/>
      <c r="Q81" s="65"/>
      <c r="R81" s="65">
        <f t="shared" ref="R81:R144" si="21">T81+W81</f>
        <v>0</v>
      </c>
      <c r="S81" s="65"/>
      <c r="T81" s="65"/>
      <c r="U81" s="65"/>
      <c r="V81" s="65"/>
      <c r="W81" s="65"/>
      <c r="X81" s="132"/>
      <c r="Y81" s="65">
        <f t="shared" si="19"/>
        <v>0</v>
      </c>
      <c r="Z81" s="203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  <c r="SK81" s="47"/>
      <c r="SL81" s="47"/>
      <c r="SM81" s="47"/>
      <c r="SN81" s="47"/>
      <c r="SO81" s="47"/>
      <c r="SP81" s="47"/>
      <c r="SQ81" s="47"/>
      <c r="SR81" s="47"/>
      <c r="SS81" s="47"/>
      <c r="ST81" s="47"/>
      <c r="SU81" s="47"/>
      <c r="SV81" s="47"/>
      <c r="SW81" s="47"/>
      <c r="SX81" s="47"/>
      <c r="SY81" s="47"/>
      <c r="SZ81" s="47"/>
      <c r="TA81" s="47"/>
      <c r="TB81" s="47"/>
      <c r="TC81" s="47"/>
      <c r="TD81" s="47"/>
      <c r="TE81" s="47"/>
      <c r="TF81" s="47"/>
      <c r="TG81" s="47"/>
      <c r="TH81" s="47"/>
      <c r="TI81" s="47"/>
      <c r="TJ81" s="47"/>
      <c r="TK81" s="47"/>
      <c r="TL81" s="47"/>
      <c r="TM81" s="47"/>
      <c r="TN81" s="47"/>
      <c r="TO81" s="47"/>
      <c r="TP81" s="47"/>
      <c r="TQ81" s="47"/>
      <c r="TR81" s="47"/>
      <c r="TS81" s="47"/>
      <c r="TT81" s="47"/>
      <c r="TU81" s="47"/>
      <c r="TV81" s="47"/>
      <c r="TW81" s="47"/>
      <c r="TX81" s="47"/>
      <c r="TY81" s="47"/>
      <c r="TZ81" s="47"/>
      <c r="UA81" s="47"/>
      <c r="UB81" s="47"/>
      <c r="UC81" s="47"/>
      <c r="UD81" s="47"/>
      <c r="UE81" s="47"/>
      <c r="UF81" s="47"/>
      <c r="UG81" s="47"/>
      <c r="UH81" s="47"/>
      <c r="UI81" s="47"/>
      <c r="UJ81" s="47"/>
      <c r="UK81" s="47"/>
      <c r="UL81" s="47"/>
      <c r="UM81" s="47"/>
      <c r="UN81" s="47"/>
      <c r="UO81" s="47"/>
      <c r="UP81" s="47"/>
      <c r="UQ81" s="47"/>
      <c r="UR81" s="47"/>
      <c r="US81" s="47"/>
      <c r="UT81" s="47"/>
      <c r="UU81" s="47"/>
      <c r="UV81" s="47"/>
      <c r="UW81" s="47"/>
      <c r="UX81" s="47"/>
      <c r="UY81" s="47"/>
      <c r="UZ81" s="47"/>
      <c r="VA81" s="47"/>
      <c r="VB81" s="47"/>
      <c r="VC81" s="47"/>
      <c r="VD81" s="47"/>
      <c r="VE81" s="47"/>
      <c r="VF81" s="47"/>
    </row>
    <row r="82" spans="1:578" s="57" customFormat="1" ht="21" customHeight="1" x14ac:dyDescent="0.2">
      <c r="A82" s="55" t="s">
        <v>231</v>
      </c>
      <c r="B82" s="99"/>
      <c r="C82" s="99"/>
      <c r="D82" s="56" t="s">
        <v>44</v>
      </c>
      <c r="E82" s="79">
        <v>340273640</v>
      </c>
      <c r="F82" s="79">
        <f t="shared" ref="F82:W82" si="22">F83</f>
        <v>1424117</v>
      </c>
      <c r="G82" s="79">
        <f t="shared" si="22"/>
        <v>32216</v>
      </c>
      <c r="H82" s="79">
        <f t="shared" si="22"/>
        <v>79764837.539999992</v>
      </c>
      <c r="I82" s="79">
        <f t="shared" si="22"/>
        <v>309137.84000000003</v>
      </c>
      <c r="J82" s="79">
        <f t="shared" si="22"/>
        <v>12475.28</v>
      </c>
      <c r="K82" s="129">
        <f t="shared" si="20"/>
        <v>23.441380160978671</v>
      </c>
      <c r="L82" s="79">
        <f t="shared" si="22"/>
        <v>65310554.879999995</v>
      </c>
      <c r="M82" s="79">
        <f t="shared" si="22"/>
        <v>34829223.299999997</v>
      </c>
      <c r="N82" s="79">
        <f t="shared" si="22"/>
        <v>20888678</v>
      </c>
      <c r="O82" s="79">
        <f t="shared" si="22"/>
        <v>0</v>
      </c>
      <c r="P82" s="79">
        <f t="shared" si="22"/>
        <v>0</v>
      </c>
      <c r="Q82" s="79">
        <f t="shared" si="22"/>
        <v>44421876.879999995</v>
      </c>
      <c r="R82" s="79">
        <f t="shared" si="22"/>
        <v>9970708.9299999997</v>
      </c>
      <c r="S82" s="79">
        <f t="shared" si="22"/>
        <v>5567831.1899999995</v>
      </c>
      <c r="T82" s="79">
        <f t="shared" si="22"/>
        <v>4299234.74</v>
      </c>
      <c r="U82" s="79">
        <f t="shared" si="22"/>
        <v>0</v>
      </c>
      <c r="V82" s="79">
        <f t="shared" si="22"/>
        <v>0</v>
      </c>
      <c r="W82" s="79">
        <f t="shared" si="22"/>
        <v>5671474.1899999995</v>
      </c>
      <c r="X82" s="131">
        <f t="shared" si="18"/>
        <v>15.266611879687646</v>
      </c>
      <c r="Y82" s="79">
        <f t="shared" si="19"/>
        <v>89735546.469999999</v>
      </c>
      <c r="Z82" s="20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  <c r="IW82" s="73"/>
      <c r="IX82" s="73"/>
      <c r="IY82" s="73"/>
      <c r="IZ82" s="73"/>
      <c r="JA82" s="73"/>
      <c r="JB82" s="73"/>
      <c r="JC82" s="73"/>
      <c r="JD82" s="73"/>
      <c r="JE82" s="73"/>
      <c r="JF82" s="73"/>
      <c r="JG82" s="73"/>
      <c r="JH82" s="73"/>
      <c r="JI82" s="73"/>
      <c r="JJ82" s="73"/>
      <c r="JK82" s="73"/>
      <c r="JL82" s="73"/>
      <c r="JM82" s="73"/>
      <c r="JN82" s="73"/>
      <c r="JO82" s="73"/>
      <c r="JP82" s="73"/>
      <c r="JQ82" s="73"/>
      <c r="JR82" s="73"/>
      <c r="JS82" s="73"/>
      <c r="JT82" s="73"/>
      <c r="JU82" s="73"/>
      <c r="JV82" s="73"/>
      <c r="JW82" s="73"/>
      <c r="JX82" s="73"/>
      <c r="JY82" s="73"/>
      <c r="JZ82" s="73"/>
      <c r="KA82" s="73"/>
      <c r="KB82" s="73"/>
      <c r="KC82" s="73"/>
      <c r="KD82" s="73"/>
      <c r="KE82" s="73"/>
      <c r="KF82" s="73"/>
      <c r="KG82" s="73"/>
      <c r="KH82" s="73"/>
      <c r="KI82" s="73"/>
      <c r="KJ82" s="73"/>
      <c r="KK82" s="73"/>
      <c r="KL82" s="73"/>
      <c r="KM82" s="73"/>
      <c r="KN82" s="73"/>
      <c r="KO82" s="73"/>
      <c r="KP82" s="73"/>
      <c r="KQ82" s="73"/>
      <c r="KR82" s="73"/>
      <c r="KS82" s="73"/>
      <c r="KT82" s="73"/>
      <c r="KU82" s="73"/>
      <c r="KV82" s="73"/>
      <c r="KW82" s="73"/>
      <c r="KX82" s="73"/>
      <c r="KY82" s="73"/>
      <c r="KZ82" s="73"/>
      <c r="LA82" s="73"/>
      <c r="LB82" s="73"/>
      <c r="LC82" s="73"/>
      <c r="LD82" s="73"/>
      <c r="LE82" s="73"/>
      <c r="LF82" s="73"/>
      <c r="LG82" s="73"/>
      <c r="LH82" s="73"/>
      <c r="LI82" s="73"/>
      <c r="LJ82" s="73"/>
      <c r="LK82" s="73"/>
      <c r="LL82" s="73"/>
      <c r="LM82" s="73"/>
      <c r="LN82" s="73"/>
      <c r="LO82" s="73"/>
      <c r="LP82" s="73"/>
      <c r="LQ82" s="73"/>
      <c r="LR82" s="73"/>
      <c r="LS82" s="73"/>
      <c r="LT82" s="73"/>
      <c r="LU82" s="73"/>
      <c r="LV82" s="73"/>
      <c r="LW82" s="73"/>
      <c r="LX82" s="73"/>
      <c r="LY82" s="73"/>
      <c r="LZ82" s="73"/>
      <c r="MA82" s="73"/>
      <c r="MB82" s="73"/>
      <c r="MC82" s="73"/>
      <c r="MD82" s="73"/>
      <c r="ME82" s="73"/>
      <c r="MF82" s="73"/>
      <c r="MG82" s="73"/>
      <c r="MH82" s="73"/>
      <c r="MI82" s="73"/>
      <c r="MJ82" s="73"/>
      <c r="MK82" s="73"/>
      <c r="ML82" s="73"/>
      <c r="MM82" s="73"/>
      <c r="MN82" s="73"/>
      <c r="MO82" s="73"/>
      <c r="MP82" s="73"/>
      <c r="MQ82" s="73"/>
      <c r="MR82" s="73"/>
      <c r="MS82" s="73"/>
      <c r="MT82" s="73"/>
      <c r="MU82" s="73"/>
      <c r="MV82" s="73"/>
      <c r="MW82" s="73"/>
      <c r="MX82" s="73"/>
      <c r="MY82" s="73"/>
      <c r="MZ82" s="73"/>
      <c r="NA82" s="73"/>
      <c r="NB82" s="73"/>
      <c r="NC82" s="73"/>
      <c r="ND82" s="73"/>
      <c r="NE82" s="73"/>
      <c r="NF82" s="73"/>
      <c r="NG82" s="73"/>
      <c r="NH82" s="73"/>
      <c r="NI82" s="73"/>
      <c r="NJ82" s="73"/>
      <c r="NK82" s="73"/>
      <c r="NL82" s="73"/>
      <c r="NM82" s="73"/>
      <c r="NN82" s="73"/>
      <c r="NO82" s="73"/>
      <c r="NP82" s="73"/>
      <c r="NQ82" s="73"/>
      <c r="NR82" s="73"/>
      <c r="NS82" s="73"/>
      <c r="NT82" s="73"/>
      <c r="NU82" s="73"/>
      <c r="NV82" s="73"/>
      <c r="NW82" s="73"/>
      <c r="NX82" s="73"/>
      <c r="NY82" s="73"/>
      <c r="NZ82" s="73"/>
      <c r="OA82" s="73"/>
      <c r="OB82" s="73"/>
      <c r="OC82" s="73"/>
      <c r="OD82" s="73"/>
      <c r="OE82" s="73"/>
      <c r="OF82" s="73"/>
      <c r="OG82" s="73"/>
      <c r="OH82" s="73"/>
      <c r="OI82" s="73"/>
      <c r="OJ82" s="73"/>
      <c r="OK82" s="73"/>
      <c r="OL82" s="73"/>
      <c r="OM82" s="73"/>
      <c r="ON82" s="73"/>
      <c r="OO82" s="73"/>
      <c r="OP82" s="73"/>
      <c r="OQ82" s="73"/>
      <c r="OR82" s="73"/>
      <c r="OS82" s="73"/>
      <c r="OT82" s="73"/>
      <c r="OU82" s="73"/>
      <c r="OV82" s="73"/>
      <c r="OW82" s="73"/>
      <c r="OX82" s="73"/>
      <c r="OY82" s="73"/>
      <c r="OZ82" s="73"/>
      <c r="PA82" s="73"/>
      <c r="PB82" s="73"/>
      <c r="PC82" s="73"/>
      <c r="PD82" s="73"/>
      <c r="PE82" s="73"/>
      <c r="PF82" s="73"/>
      <c r="PG82" s="73"/>
      <c r="PH82" s="73"/>
      <c r="PI82" s="73"/>
      <c r="PJ82" s="73"/>
      <c r="PK82" s="73"/>
      <c r="PL82" s="73"/>
      <c r="PM82" s="73"/>
      <c r="PN82" s="73"/>
      <c r="PO82" s="73"/>
      <c r="PP82" s="73"/>
      <c r="PQ82" s="73"/>
      <c r="PR82" s="73"/>
      <c r="PS82" s="73"/>
      <c r="PT82" s="73"/>
      <c r="PU82" s="73"/>
      <c r="PV82" s="73"/>
      <c r="PW82" s="73"/>
      <c r="PX82" s="73"/>
      <c r="PY82" s="73"/>
      <c r="PZ82" s="73"/>
      <c r="QA82" s="73"/>
      <c r="QB82" s="73"/>
      <c r="QC82" s="73"/>
      <c r="QD82" s="73"/>
      <c r="QE82" s="73"/>
      <c r="QF82" s="73"/>
      <c r="QG82" s="73"/>
      <c r="QH82" s="73"/>
      <c r="QI82" s="73"/>
      <c r="QJ82" s="73"/>
      <c r="QK82" s="73"/>
      <c r="QL82" s="73"/>
      <c r="QM82" s="73"/>
      <c r="QN82" s="73"/>
      <c r="QO82" s="73"/>
      <c r="QP82" s="73"/>
      <c r="QQ82" s="73"/>
      <c r="QR82" s="73"/>
      <c r="QS82" s="73"/>
      <c r="QT82" s="73"/>
      <c r="QU82" s="73"/>
      <c r="QV82" s="73"/>
      <c r="QW82" s="73"/>
      <c r="QX82" s="73"/>
      <c r="QY82" s="73"/>
      <c r="QZ82" s="73"/>
      <c r="RA82" s="73"/>
      <c r="RB82" s="73"/>
      <c r="RC82" s="73"/>
      <c r="RD82" s="73"/>
      <c r="RE82" s="73"/>
      <c r="RF82" s="73"/>
      <c r="RG82" s="73"/>
      <c r="RH82" s="73"/>
      <c r="RI82" s="73"/>
      <c r="RJ82" s="73"/>
      <c r="RK82" s="73"/>
      <c r="RL82" s="73"/>
      <c r="RM82" s="73"/>
      <c r="RN82" s="73"/>
      <c r="RO82" s="73"/>
      <c r="RP82" s="73"/>
      <c r="RQ82" s="73"/>
      <c r="RR82" s="73"/>
      <c r="RS82" s="73"/>
      <c r="RT82" s="73"/>
      <c r="RU82" s="73"/>
      <c r="RV82" s="73"/>
      <c r="RW82" s="73"/>
      <c r="RX82" s="73"/>
      <c r="RY82" s="73"/>
      <c r="RZ82" s="73"/>
      <c r="SA82" s="73"/>
      <c r="SB82" s="73"/>
      <c r="SC82" s="73"/>
      <c r="SD82" s="73"/>
      <c r="SE82" s="73"/>
      <c r="SF82" s="73"/>
      <c r="SG82" s="73"/>
      <c r="SH82" s="73"/>
      <c r="SI82" s="73"/>
      <c r="SJ82" s="73"/>
      <c r="SK82" s="73"/>
      <c r="SL82" s="73"/>
      <c r="SM82" s="73"/>
      <c r="SN82" s="73"/>
      <c r="SO82" s="73"/>
      <c r="SP82" s="73"/>
      <c r="SQ82" s="73"/>
      <c r="SR82" s="73"/>
      <c r="SS82" s="73"/>
      <c r="ST82" s="73"/>
      <c r="SU82" s="73"/>
      <c r="SV82" s="73"/>
      <c r="SW82" s="73"/>
      <c r="SX82" s="73"/>
      <c r="SY82" s="73"/>
      <c r="SZ82" s="73"/>
      <c r="TA82" s="73"/>
      <c r="TB82" s="73"/>
      <c r="TC82" s="73"/>
      <c r="TD82" s="73"/>
      <c r="TE82" s="73"/>
      <c r="TF82" s="73"/>
      <c r="TG82" s="73"/>
      <c r="TH82" s="73"/>
      <c r="TI82" s="73"/>
      <c r="TJ82" s="73"/>
      <c r="TK82" s="73"/>
      <c r="TL82" s="73"/>
      <c r="TM82" s="73"/>
      <c r="TN82" s="73"/>
      <c r="TO82" s="73"/>
      <c r="TP82" s="73"/>
      <c r="TQ82" s="73"/>
      <c r="TR82" s="73"/>
      <c r="TS82" s="73"/>
      <c r="TT82" s="73"/>
      <c r="TU82" s="73"/>
      <c r="TV82" s="73"/>
      <c r="TW82" s="73"/>
      <c r="TX82" s="73"/>
      <c r="TY82" s="73"/>
      <c r="TZ82" s="73"/>
      <c r="UA82" s="73"/>
      <c r="UB82" s="73"/>
      <c r="UC82" s="73"/>
      <c r="UD82" s="73"/>
      <c r="UE82" s="73"/>
      <c r="UF82" s="73"/>
      <c r="UG82" s="73"/>
      <c r="UH82" s="73"/>
      <c r="UI82" s="73"/>
      <c r="UJ82" s="73"/>
      <c r="UK82" s="73"/>
      <c r="UL82" s="73"/>
      <c r="UM82" s="73"/>
      <c r="UN82" s="73"/>
      <c r="UO82" s="73"/>
      <c r="UP82" s="73"/>
      <c r="UQ82" s="73"/>
      <c r="UR82" s="73"/>
      <c r="US82" s="73"/>
      <c r="UT82" s="73"/>
      <c r="UU82" s="73"/>
      <c r="UV82" s="73"/>
      <c r="UW82" s="73"/>
      <c r="UX82" s="73"/>
      <c r="UY82" s="73"/>
      <c r="UZ82" s="73"/>
      <c r="VA82" s="73"/>
      <c r="VB82" s="73"/>
      <c r="VC82" s="73"/>
      <c r="VD82" s="73"/>
      <c r="VE82" s="73"/>
      <c r="VF82" s="73"/>
    </row>
    <row r="83" spans="1:578" s="75" customFormat="1" ht="18.75" customHeight="1" x14ac:dyDescent="0.2">
      <c r="A83" s="60" t="s">
        <v>232</v>
      </c>
      <c r="B83" s="100"/>
      <c r="C83" s="100"/>
      <c r="D83" s="61" t="s">
        <v>44</v>
      </c>
      <c r="E83" s="78">
        <v>340273640</v>
      </c>
      <c r="F83" s="78">
        <f t="shared" ref="F83:Q83" si="23">F85+F86+F88+F90+F92+F94+F96+F98+F100+F102+F104+F106+F108+F110+F115+F109+F111+F113</f>
        <v>1424117</v>
      </c>
      <c r="G83" s="78">
        <f t="shared" si="23"/>
        <v>32216</v>
      </c>
      <c r="H83" s="78">
        <f>H85+H86+H88+H90+H92+H94+H96+H98+H100+H102+H104+H106+H108+H110+H115+H109+H111+H113</f>
        <v>79764837.539999992</v>
      </c>
      <c r="I83" s="78">
        <f>I85+I86+I88+I90+I92+I94+I96+I98+I100+I102+I104+I106+I108+I110+I115+I109+I111+I113</f>
        <v>309137.84000000003</v>
      </c>
      <c r="J83" s="78">
        <f>J85+J86+J88+J90+J92+J94+J96+J98+J100+J102+J104+J106+J108+J110+J115+J109+J111+J113</f>
        <v>12475.28</v>
      </c>
      <c r="K83" s="129">
        <f t="shared" si="20"/>
        <v>23.441380160978671</v>
      </c>
      <c r="L83" s="78">
        <f t="shared" si="23"/>
        <v>65310554.879999995</v>
      </c>
      <c r="M83" s="78">
        <f t="shared" ref="M83" si="24">M85+M86+M88+M90+M92+M94+M96+M98+M100+M102+M104+M106+M108+M110+M115+M109+M111+M113</f>
        <v>34829223.299999997</v>
      </c>
      <c r="N83" s="78">
        <f t="shared" si="23"/>
        <v>20888678</v>
      </c>
      <c r="O83" s="78">
        <f t="shared" si="23"/>
        <v>0</v>
      </c>
      <c r="P83" s="78">
        <f t="shared" si="23"/>
        <v>0</v>
      </c>
      <c r="Q83" s="78">
        <f t="shared" si="23"/>
        <v>44421876.879999995</v>
      </c>
      <c r="R83" s="78">
        <f t="shared" ref="R83:W83" si="25">R85+R86+R88+R90+R92+R94+R96+R98+R100+R102+R104+R106+R108+R110+R115+R109+R111+R113</f>
        <v>9970708.9299999997</v>
      </c>
      <c r="S83" s="78">
        <f t="shared" ref="S83" si="26">S85+S86+S88+S90+S92+S94+S96+S98+S100+S102+S104+S106+S108+S110+S115+S109+S111+S113</f>
        <v>5567831.1899999995</v>
      </c>
      <c r="T83" s="78">
        <f t="shared" si="25"/>
        <v>4299234.74</v>
      </c>
      <c r="U83" s="78">
        <f t="shared" si="25"/>
        <v>0</v>
      </c>
      <c r="V83" s="78">
        <f t="shared" si="25"/>
        <v>0</v>
      </c>
      <c r="W83" s="78">
        <f t="shared" si="25"/>
        <v>5671474.1899999995</v>
      </c>
      <c r="X83" s="131">
        <f t="shared" si="18"/>
        <v>15.266611879687646</v>
      </c>
      <c r="Y83" s="79">
        <f t="shared" si="19"/>
        <v>89735546.469999999</v>
      </c>
      <c r="Z83" s="203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  <c r="IL83" s="74"/>
      <c r="IM83" s="74"/>
      <c r="IN83" s="74"/>
      <c r="IO83" s="74"/>
      <c r="IP83" s="74"/>
      <c r="IQ83" s="74"/>
      <c r="IR83" s="74"/>
      <c r="IS83" s="74"/>
      <c r="IT83" s="74"/>
      <c r="IU83" s="74"/>
      <c r="IV83" s="74"/>
      <c r="IW83" s="74"/>
      <c r="IX83" s="74"/>
      <c r="IY83" s="74"/>
      <c r="IZ83" s="74"/>
      <c r="JA83" s="74"/>
      <c r="JB83" s="74"/>
      <c r="JC83" s="74"/>
      <c r="JD83" s="74"/>
      <c r="JE83" s="74"/>
      <c r="JF83" s="74"/>
      <c r="JG83" s="74"/>
      <c r="JH83" s="74"/>
      <c r="JI83" s="74"/>
      <c r="JJ83" s="74"/>
      <c r="JK83" s="74"/>
      <c r="JL83" s="74"/>
      <c r="JM83" s="74"/>
      <c r="JN83" s="74"/>
      <c r="JO83" s="74"/>
      <c r="JP83" s="74"/>
      <c r="JQ83" s="74"/>
      <c r="JR83" s="74"/>
      <c r="JS83" s="74"/>
      <c r="JT83" s="74"/>
      <c r="JU83" s="74"/>
      <c r="JV83" s="74"/>
      <c r="JW83" s="74"/>
      <c r="JX83" s="74"/>
      <c r="JY83" s="74"/>
      <c r="JZ83" s="74"/>
      <c r="KA83" s="74"/>
      <c r="KB83" s="74"/>
      <c r="KC83" s="74"/>
      <c r="KD83" s="74"/>
      <c r="KE83" s="74"/>
      <c r="KF83" s="74"/>
      <c r="KG83" s="74"/>
      <c r="KH83" s="74"/>
      <c r="KI83" s="74"/>
      <c r="KJ83" s="74"/>
      <c r="KK83" s="74"/>
      <c r="KL83" s="74"/>
      <c r="KM83" s="74"/>
      <c r="KN83" s="74"/>
      <c r="KO83" s="74"/>
      <c r="KP83" s="74"/>
      <c r="KQ83" s="74"/>
      <c r="KR83" s="74"/>
      <c r="KS83" s="74"/>
      <c r="KT83" s="74"/>
      <c r="KU83" s="74"/>
      <c r="KV83" s="74"/>
      <c r="KW83" s="74"/>
      <c r="KX83" s="74"/>
      <c r="KY83" s="74"/>
      <c r="KZ83" s="74"/>
      <c r="LA83" s="74"/>
      <c r="LB83" s="74"/>
      <c r="LC83" s="74"/>
      <c r="LD83" s="74"/>
      <c r="LE83" s="74"/>
      <c r="LF83" s="74"/>
      <c r="LG83" s="74"/>
      <c r="LH83" s="74"/>
      <c r="LI83" s="74"/>
      <c r="LJ83" s="74"/>
      <c r="LK83" s="74"/>
      <c r="LL83" s="74"/>
      <c r="LM83" s="74"/>
      <c r="LN83" s="74"/>
      <c r="LO83" s="74"/>
      <c r="LP83" s="74"/>
      <c r="LQ83" s="74"/>
      <c r="LR83" s="74"/>
      <c r="LS83" s="74"/>
      <c r="LT83" s="74"/>
      <c r="LU83" s="74"/>
      <c r="LV83" s="74"/>
      <c r="LW83" s="74"/>
      <c r="LX83" s="74"/>
      <c r="LY83" s="74"/>
      <c r="LZ83" s="74"/>
      <c r="MA83" s="74"/>
      <c r="MB83" s="74"/>
      <c r="MC83" s="74"/>
      <c r="MD83" s="74"/>
      <c r="ME83" s="74"/>
      <c r="MF83" s="74"/>
      <c r="MG83" s="74"/>
      <c r="MH83" s="74"/>
      <c r="MI83" s="74"/>
      <c r="MJ83" s="74"/>
      <c r="MK83" s="74"/>
      <c r="ML83" s="74"/>
      <c r="MM83" s="74"/>
      <c r="MN83" s="74"/>
      <c r="MO83" s="74"/>
      <c r="MP83" s="74"/>
      <c r="MQ83" s="74"/>
      <c r="MR83" s="74"/>
      <c r="MS83" s="74"/>
      <c r="MT83" s="74"/>
      <c r="MU83" s="74"/>
      <c r="MV83" s="74"/>
      <c r="MW83" s="74"/>
      <c r="MX83" s="74"/>
      <c r="MY83" s="74"/>
      <c r="MZ83" s="74"/>
      <c r="NA83" s="74"/>
      <c r="NB83" s="74"/>
      <c r="NC83" s="74"/>
      <c r="ND83" s="74"/>
      <c r="NE83" s="74"/>
      <c r="NF83" s="74"/>
      <c r="NG83" s="74"/>
      <c r="NH83" s="74"/>
      <c r="NI83" s="74"/>
      <c r="NJ83" s="74"/>
      <c r="NK83" s="74"/>
      <c r="NL83" s="74"/>
      <c r="NM83" s="74"/>
      <c r="NN83" s="74"/>
      <c r="NO83" s="74"/>
      <c r="NP83" s="74"/>
      <c r="NQ83" s="74"/>
      <c r="NR83" s="74"/>
      <c r="NS83" s="74"/>
      <c r="NT83" s="74"/>
      <c r="NU83" s="74"/>
      <c r="NV83" s="74"/>
      <c r="NW83" s="74"/>
      <c r="NX83" s="74"/>
      <c r="NY83" s="74"/>
      <c r="NZ83" s="74"/>
      <c r="OA83" s="74"/>
      <c r="OB83" s="74"/>
      <c r="OC83" s="74"/>
      <c r="OD83" s="74"/>
      <c r="OE83" s="74"/>
      <c r="OF83" s="74"/>
      <c r="OG83" s="74"/>
      <c r="OH83" s="74"/>
      <c r="OI83" s="74"/>
      <c r="OJ83" s="74"/>
      <c r="OK83" s="74"/>
      <c r="OL83" s="74"/>
      <c r="OM83" s="74"/>
      <c r="ON83" s="74"/>
      <c r="OO83" s="74"/>
      <c r="OP83" s="74"/>
      <c r="OQ83" s="74"/>
      <c r="OR83" s="74"/>
      <c r="OS83" s="74"/>
      <c r="OT83" s="74"/>
      <c r="OU83" s="74"/>
      <c r="OV83" s="74"/>
      <c r="OW83" s="74"/>
      <c r="OX83" s="74"/>
      <c r="OY83" s="74"/>
      <c r="OZ83" s="74"/>
      <c r="PA83" s="74"/>
      <c r="PB83" s="74"/>
      <c r="PC83" s="74"/>
      <c r="PD83" s="74"/>
      <c r="PE83" s="74"/>
      <c r="PF83" s="74"/>
      <c r="PG83" s="74"/>
      <c r="PH83" s="74"/>
      <c r="PI83" s="74"/>
      <c r="PJ83" s="74"/>
      <c r="PK83" s="74"/>
      <c r="PL83" s="74"/>
      <c r="PM83" s="74"/>
      <c r="PN83" s="74"/>
      <c r="PO83" s="74"/>
      <c r="PP83" s="74"/>
      <c r="PQ83" s="74"/>
      <c r="PR83" s="74"/>
      <c r="PS83" s="74"/>
      <c r="PT83" s="74"/>
      <c r="PU83" s="74"/>
      <c r="PV83" s="74"/>
      <c r="PW83" s="74"/>
      <c r="PX83" s="74"/>
      <c r="PY83" s="74"/>
      <c r="PZ83" s="74"/>
      <c r="QA83" s="74"/>
      <c r="QB83" s="74"/>
      <c r="QC83" s="74"/>
      <c r="QD83" s="74"/>
      <c r="QE83" s="74"/>
      <c r="QF83" s="74"/>
      <c r="QG83" s="74"/>
      <c r="QH83" s="74"/>
      <c r="QI83" s="74"/>
      <c r="QJ83" s="74"/>
      <c r="QK83" s="74"/>
      <c r="QL83" s="74"/>
      <c r="QM83" s="74"/>
      <c r="QN83" s="74"/>
      <c r="QO83" s="74"/>
      <c r="QP83" s="74"/>
      <c r="QQ83" s="74"/>
      <c r="QR83" s="74"/>
      <c r="QS83" s="74"/>
      <c r="QT83" s="74"/>
      <c r="QU83" s="74"/>
      <c r="QV83" s="74"/>
      <c r="QW83" s="74"/>
      <c r="QX83" s="74"/>
      <c r="QY83" s="74"/>
      <c r="QZ83" s="74"/>
      <c r="RA83" s="74"/>
      <c r="RB83" s="74"/>
      <c r="RC83" s="74"/>
      <c r="RD83" s="74"/>
      <c r="RE83" s="74"/>
      <c r="RF83" s="74"/>
      <c r="RG83" s="74"/>
      <c r="RH83" s="74"/>
      <c r="RI83" s="74"/>
      <c r="RJ83" s="74"/>
      <c r="RK83" s="74"/>
      <c r="RL83" s="74"/>
      <c r="RM83" s="74"/>
      <c r="RN83" s="74"/>
      <c r="RO83" s="74"/>
      <c r="RP83" s="74"/>
      <c r="RQ83" s="74"/>
      <c r="RR83" s="74"/>
      <c r="RS83" s="74"/>
      <c r="RT83" s="74"/>
      <c r="RU83" s="74"/>
      <c r="RV83" s="74"/>
      <c r="RW83" s="74"/>
      <c r="RX83" s="74"/>
      <c r="RY83" s="74"/>
      <c r="RZ83" s="74"/>
      <c r="SA83" s="74"/>
      <c r="SB83" s="74"/>
      <c r="SC83" s="74"/>
      <c r="SD83" s="74"/>
      <c r="SE83" s="74"/>
      <c r="SF83" s="74"/>
      <c r="SG83" s="74"/>
      <c r="SH83" s="74"/>
      <c r="SI83" s="74"/>
      <c r="SJ83" s="74"/>
      <c r="SK83" s="74"/>
      <c r="SL83" s="74"/>
      <c r="SM83" s="74"/>
      <c r="SN83" s="74"/>
      <c r="SO83" s="74"/>
      <c r="SP83" s="74"/>
      <c r="SQ83" s="74"/>
      <c r="SR83" s="74"/>
      <c r="SS83" s="74"/>
      <c r="ST83" s="74"/>
      <c r="SU83" s="74"/>
      <c r="SV83" s="74"/>
      <c r="SW83" s="74"/>
      <c r="SX83" s="74"/>
      <c r="SY83" s="74"/>
      <c r="SZ83" s="74"/>
      <c r="TA83" s="74"/>
      <c r="TB83" s="74"/>
      <c r="TC83" s="74"/>
      <c r="TD83" s="74"/>
      <c r="TE83" s="74"/>
      <c r="TF83" s="74"/>
      <c r="TG83" s="74"/>
      <c r="TH83" s="74"/>
      <c r="TI83" s="74"/>
      <c r="TJ83" s="74"/>
      <c r="TK83" s="74"/>
      <c r="TL83" s="74"/>
      <c r="TM83" s="74"/>
      <c r="TN83" s="74"/>
      <c r="TO83" s="74"/>
      <c r="TP83" s="74"/>
      <c r="TQ83" s="74"/>
      <c r="TR83" s="74"/>
      <c r="TS83" s="74"/>
      <c r="TT83" s="74"/>
      <c r="TU83" s="74"/>
      <c r="TV83" s="74"/>
      <c r="TW83" s="74"/>
      <c r="TX83" s="74"/>
      <c r="TY83" s="74"/>
      <c r="TZ83" s="74"/>
      <c r="UA83" s="74"/>
      <c r="UB83" s="74"/>
      <c r="UC83" s="74"/>
      <c r="UD83" s="74"/>
      <c r="UE83" s="74"/>
      <c r="UF83" s="74"/>
      <c r="UG83" s="74"/>
      <c r="UH83" s="74"/>
      <c r="UI83" s="74"/>
      <c r="UJ83" s="74"/>
      <c r="UK83" s="74"/>
      <c r="UL83" s="74"/>
      <c r="UM83" s="74"/>
      <c r="UN83" s="74"/>
      <c r="UO83" s="74"/>
      <c r="UP83" s="74"/>
      <c r="UQ83" s="74"/>
      <c r="UR83" s="74"/>
      <c r="US83" s="74"/>
      <c r="UT83" s="74"/>
      <c r="UU83" s="74"/>
      <c r="UV83" s="74"/>
      <c r="UW83" s="74"/>
      <c r="UX83" s="74"/>
      <c r="UY83" s="74"/>
      <c r="UZ83" s="74"/>
      <c r="VA83" s="74"/>
      <c r="VB83" s="74"/>
      <c r="VC83" s="74"/>
      <c r="VD83" s="74"/>
      <c r="VE83" s="74"/>
      <c r="VF83" s="74"/>
    </row>
    <row r="84" spans="1:578" s="75" customFormat="1" ht="18.75" customHeight="1" x14ac:dyDescent="0.2">
      <c r="A84" s="60"/>
      <c r="B84" s="100"/>
      <c r="C84" s="100"/>
      <c r="D84" s="61" t="s">
        <v>344</v>
      </c>
      <c r="E84" s="78">
        <v>212634230</v>
      </c>
      <c r="F84" s="78">
        <f t="shared" ref="F84:Q84" si="27">F87+F89+F91+F93+F95+F97+F99+F101+F103+F105+F107+F112+F114</f>
        <v>0</v>
      </c>
      <c r="G84" s="78">
        <f t="shared" si="27"/>
        <v>0</v>
      </c>
      <c r="H84" s="78">
        <f>H87+H89+H91+H93+H95+H97+H99+H101+H103+H105+H107+H112+H114</f>
        <v>53170015.649999991</v>
      </c>
      <c r="I84" s="78">
        <f>I87+I89+I91+I93+I95+I97+I99+I101+I103+I105+I107+I112+I114</f>
        <v>0</v>
      </c>
      <c r="J84" s="78">
        <f>J87+J89+J91+J93+J95+J97+J99+J101+J103+J105+J107+J112+J114</f>
        <v>0</v>
      </c>
      <c r="K84" s="129">
        <f t="shared" si="20"/>
        <v>25.005388666725953</v>
      </c>
      <c r="L84" s="78">
        <f t="shared" si="27"/>
        <v>2639223.2999999998</v>
      </c>
      <c r="M84" s="78">
        <f t="shared" ref="M84" si="28">M87+M89+M91+M93+M95+M97+M99+M101+M103+M105+M107+M112+M114</f>
        <v>2639223.2999999998</v>
      </c>
      <c r="N84" s="78">
        <f t="shared" si="27"/>
        <v>0</v>
      </c>
      <c r="O84" s="78">
        <f t="shared" si="27"/>
        <v>0</v>
      </c>
      <c r="P84" s="78">
        <f t="shared" si="27"/>
        <v>0</v>
      </c>
      <c r="Q84" s="78">
        <f t="shared" si="27"/>
        <v>2639223.2999999998</v>
      </c>
      <c r="R84" s="78">
        <f t="shared" ref="R84:W84" si="29">R87+R89+R91+R93+R95+R97+R99+R101+R103+R105+R107+R112+R114</f>
        <v>2325500</v>
      </c>
      <c r="S84" s="78">
        <f t="shared" ref="S84" si="30">S87+S89+S91+S93+S95+S97+S99+S101+S103+S105+S107+S112+S114</f>
        <v>2325500</v>
      </c>
      <c r="T84" s="78">
        <f t="shared" si="29"/>
        <v>0</v>
      </c>
      <c r="U84" s="78">
        <f t="shared" si="29"/>
        <v>0</v>
      </c>
      <c r="V84" s="78">
        <f t="shared" si="29"/>
        <v>0</v>
      </c>
      <c r="W84" s="78">
        <f t="shared" si="29"/>
        <v>2325500</v>
      </c>
      <c r="X84" s="131">
        <f t="shared" si="18"/>
        <v>88.113044470318229</v>
      </c>
      <c r="Y84" s="79">
        <f t="shared" si="19"/>
        <v>55495515.649999991</v>
      </c>
      <c r="Z84" s="203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74"/>
      <c r="IQ84" s="74"/>
      <c r="IR84" s="74"/>
      <c r="IS84" s="74"/>
      <c r="IT84" s="74"/>
      <c r="IU84" s="74"/>
      <c r="IV84" s="74"/>
      <c r="IW84" s="74"/>
      <c r="IX84" s="74"/>
      <c r="IY84" s="74"/>
      <c r="IZ84" s="74"/>
      <c r="JA84" s="74"/>
      <c r="JB84" s="74"/>
      <c r="JC84" s="74"/>
      <c r="JD84" s="74"/>
      <c r="JE84" s="74"/>
      <c r="JF84" s="74"/>
      <c r="JG84" s="74"/>
      <c r="JH84" s="74"/>
      <c r="JI84" s="74"/>
      <c r="JJ84" s="74"/>
      <c r="JK84" s="74"/>
      <c r="JL84" s="74"/>
      <c r="JM84" s="74"/>
      <c r="JN84" s="74"/>
      <c r="JO84" s="74"/>
      <c r="JP84" s="74"/>
      <c r="JQ84" s="74"/>
      <c r="JR84" s="74"/>
      <c r="JS84" s="74"/>
      <c r="JT84" s="74"/>
      <c r="JU84" s="74"/>
      <c r="JV84" s="74"/>
      <c r="JW84" s="74"/>
      <c r="JX84" s="74"/>
      <c r="JY84" s="74"/>
      <c r="JZ84" s="74"/>
      <c r="KA84" s="74"/>
      <c r="KB84" s="74"/>
      <c r="KC84" s="74"/>
      <c r="KD84" s="74"/>
      <c r="KE84" s="74"/>
      <c r="KF84" s="74"/>
      <c r="KG84" s="74"/>
      <c r="KH84" s="74"/>
      <c r="KI84" s="74"/>
      <c r="KJ84" s="74"/>
      <c r="KK84" s="74"/>
      <c r="KL84" s="74"/>
      <c r="KM84" s="74"/>
      <c r="KN84" s="74"/>
      <c r="KO84" s="74"/>
      <c r="KP84" s="74"/>
      <c r="KQ84" s="74"/>
      <c r="KR84" s="74"/>
      <c r="KS84" s="74"/>
      <c r="KT84" s="74"/>
      <c r="KU84" s="74"/>
      <c r="KV84" s="74"/>
      <c r="KW84" s="74"/>
      <c r="KX84" s="74"/>
      <c r="KY84" s="74"/>
      <c r="KZ84" s="74"/>
      <c r="LA84" s="74"/>
      <c r="LB84" s="74"/>
      <c r="LC84" s="74"/>
      <c r="LD84" s="74"/>
      <c r="LE84" s="74"/>
      <c r="LF84" s="74"/>
      <c r="LG84" s="74"/>
      <c r="LH84" s="74"/>
      <c r="LI84" s="74"/>
      <c r="LJ84" s="74"/>
      <c r="LK84" s="74"/>
      <c r="LL84" s="74"/>
      <c r="LM84" s="74"/>
      <c r="LN84" s="74"/>
      <c r="LO84" s="74"/>
      <c r="LP84" s="74"/>
      <c r="LQ84" s="74"/>
      <c r="LR84" s="74"/>
      <c r="LS84" s="74"/>
      <c r="LT84" s="74"/>
      <c r="LU84" s="74"/>
      <c r="LV84" s="74"/>
      <c r="LW84" s="74"/>
      <c r="LX84" s="74"/>
      <c r="LY84" s="74"/>
      <c r="LZ84" s="74"/>
      <c r="MA84" s="74"/>
      <c r="MB84" s="74"/>
      <c r="MC84" s="74"/>
      <c r="MD84" s="74"/>
      <c r="ME84" s="74"/>
      <c r="MF84" s="74"/>
      <c r="MG84" s="74"/>
      <c r="MH84" s="74"/>
      <c r="MI84" s="74"/>
      <c r="MJ84" s="74"/>
      <c r="MK84" s="74"/>
      <c r="ML84" s="74"/>
      <c r="MM84" s="74"/>
      <c r="MN84" s="74"/>
      <c r="MO84" s="74"/>
      <c r="MP84" s="74"/>
      <c r="MQ84" s="74"/>
      <c r="MR84" s="74"/>
      <c r="MS84" s="74"/>
      <c r="MT84" s="74"/>
      <c r="MU84" s="74"/>
      <c r="MV84" s="74"/>
      <c r="MW84" s="74"/>
      <c r="MX84" s="74"/>
      <c r="MY84" s="74"/>
      <c r="MZ84" s="74"/>
      <c r="NA84" s="74"/>
      <c r="NB84" s="74"/>
      <c r="NC84" s="74"/>
      <c r="ND84" s="74"/>
      <c r="NE84" s="74"/>
      <c r="NF84" s="74"/>
      <c r="NG84" s="74"/>
      <c r="NH84" s="74"/>
      <c r="NI84" s="74"/>
      <c r="NJ84" s="74"/>
      <c r="NK84" s="74"/>
      <c r="NL84" s="74"/>
      <c r="NM84" s="74"/>
      <c r="NN84" s="74"/>
      <c r="NO84" s="74"/>
      <c r="NP84" s="74"/>
      <c r="NQ84" s="74"/>
      <c r="NR84" s="74"/>
      <c r="NS84" s="74"/>
      <c r="NT84" s="74"/>
      <c r="NU84" s="74"/>
      <c r="NV84" s="74"/>
      <c r="NW84" s="74"/>
      <c r="NX84" s="74"/>
      <c r="NY84" s="74"/>
      <c r="NZ84" s="74"/>
      <c r="OA84" s="74"/>
      <c r="OB84" s="74"/>
      <c r="OC84" s="74"/>
      <c r="OD84" s="74"/>
      <c r="OE84" s="74"/>
      <c r="OF84" s="74"/>
      <c r="OG84" s="74"/>
      <c r="OH84" s="74"/>
      <c r="OI84" s="74"/>
      <c r="OJ84" s="74"/>
      <c r="OK84" s="74"/>
      <c r="OL84" s="74"/>
      <c r="OM84" s="74"/>
      <c r="ON84" s="74"/>
      <c r="OO84" s="74"/>
      <c r="OP84" s="74"/>
      <c r="OQ84" s="74"/>
      <c r="OR84" s="74"/>
      <c r="OS84" s="74"/>
      <c r="OT84" s="74"/>
      <c r="OU84" s="74"/>
      <c r="OV84" s="74"/>
      <c r="OW84" s="74"/>
      <c r="OX84" s="74"/>
      <c r="OY84" s="74"/>
      <c r="OZ84" s="74"/>
      <c r="PA84" s="74"/>
      <c r="PB84" s="74"/>
      <c r="PC84" s="74"/>
      <c r="PD84" s="74"/>
      <c r="PE84" s="74"/>
      <c r="PF84" s="74"/>
      <c r="PG84" s="74"/>
      <c r="PH84" s="74"/>
      <c r="PI84" s="74"/>
      <c r="PJ84" s="74"/>
      <c r="PK84" s="74"/>
      <c r="PL84" s="74"/>
      <c r="PM84" s="74"/>
      <c r="PN84" s="74"/>
      <c r="PO84" s="74"/>
      <c r="PP84" s="74"/>
      <c r="PQ84" s="74"/>
      <c r="PR84" s="74"/>
      <c r="PS84" s="74"/>
      <c r="PT84" s="74"/>
      <c r="PU84" s="74"/>
      <c r="PV84" s="74"/>
      <c r="PW84" s="74"/>
      <c r="PX84" s="74"/>
      <c r="PY84" s="74"/>
      <c r="PZ84" s="74"/>
      <c r="QA84" s="74"/>
      <c r="QB84" s="74"/>
      <c r="QC84" s="74"/>
      <c r="QD84" s="74"/>
      <c r="QE84" s="74"/>
      <c r="QF84" s="74"/>
      <c r="QG84" s="74"/>
      <c r="QH84" s="74"/>
      <c r="QI84" s="74"/>
      <c r="QJ84" s="74"/>
      <c r="QK84" s="74"/>
      <c r="QL84" s="74"/>
      <c r="QM84" s="74"/>
      <c r="QN84" s="74"/>
      <c r="QO84" s="74"/>
      <c r="QP84" s="74"/>
      <c r="QQ84" s="74"/>
      <c r="QR84" s="74"/>
      <c r="QS84" s="74"/>
      <c r="QT84" s="74"/>
      <c r="QU84" s="74"/>
      <c r="QV84" s="74"/>
      <c r="QW84" s="74"/>
      <c r="QX84" s="74"/>
      <c r="QY84" s="74"/>
      <c r="QZ84" s="74"/>
      <c r="RA84" s="74"/>
      <c r="RB84" s="74"/>
      <c r="RC84" s="74"/>
      <c r="RD84" s="74"/>
      <c r="RE84" s="74"/>
      <c r="RF84" s="74"/>
      <c r="RG84" s="74"/>
      <c r="RH84" s="74"/>
      <c r="RI84" s="74"/>
      <c r="RJ84" s="74"/>
      <c r="RK84" s="74"/>
      <c r="RL84" s="74"/>
      <c r="RM84" s="74"/>
      <c r="RN84" s="74"/>
      <c r="RO84" s="74"/>
      <c r="RP84" s="74"/>
      <c r="RQ84" s="74"/>
      <c r="RR84" s="74"/>
      <c r="RS84" s="74"/>
      <c r="RT84" s="74"/>
      <c r="RU84" s="74"/>
      <c r="RV84" s="74"/>
      <c r="RW84" s="74"/>
      <c r="RX84" s="74"/>
      <c r="RY84" s="74"/>
      <c r="RZ84" s="74"/>
      <c r="SA84" s="74"/>
      <c r="SB84" s="74"/>
      <c r="SC84" s="74"/>
      <c r="SD84" s="74"/>
      <c r="SE84" s="74"/>
      <c r="SF84" s="74"/>
      <c r="SG84" s="74"/>
      <c r="SH84" s="74"/>
      <c r="SI84" s="74"/>
      <c r="SJ84" s="74"/>
      <c r="SK84" s="74"/>
      <c r="SL84" s="74"/>
      <c r="SM84" s="74"/>
      <c r="SN84" s="74"/>
      <c r="SO84" s="74"/>
      <c r="SP84" s="74"/>
      <c r="SQ84" s="74"/>
      <c r="SR84" s="74"/>
      <c r="SS84" s="74"/>
      <c r="ST84" s="74"/>
      <c r="SU84" s="74"/>
      <c r="SV84" s="74"/>
      <c r="SW84" s="74"/>
      <c r="SX84" s="74"/>
      <c r="SY84" s="74"/>
      <c r="SZ84" s="74"/>
      <c r="TA84" s="74"/>
      <c r="TB84" s="74"/>
      <c r="TC84" s="74"/>
      <c r="TD84" s="74"/>
      <c r="TE84" s="74"/>
      <c r="TF84" s="74"/>
      <c r="TG84" s="74"/>
      <c r="TH84" s="74"/>
      <c r="TI84" s="74"/>
      <c r="TJ84" s="74"/>
      <c r="TK84" s="74"/>
      <c r="TL84" s="74"/>
      <c r="TM84" s="74"/>
      <c r="TN84" s="74"/>
      <c r="TO84" s="74"/>
      <c r="TP84" s="74"/>
      <c r="TQ84" s="74"/>
      <c r="TR84" s="74"/>
      <c r="TS84" s="74"/>
      <c r="TT84" s="74"/>
      <c r="TU84" s="74"/>
      <c r="TV84" s="74"/>
      <c r="TW84" s="74"/>
      <c r="TX84" s="74"/>
      <c r="TY84" s="74"/>
      <c r="TZ84" s="74"/>
      <c r="UA84" s="74"/>
      <c r="UB84" s="74"/>
      <c r="UC84" s="74"/>
      <c r="UD84" s="74"/>
      <c r="UE84" s="74"/>
      <c r="UF84" s="74"/>
      <c r="UG84" s="74"/>
      <c r="UH84" s="74"/>
      <c r="UI84" s="74"/>
      <c r="UJ84" s="74"/>
      <c r="UK84" s="74"/>
      <c r="UL84" s="74"/>
      <c r="UM84" s="74"/>
      <c r="UN84" s="74"/>
      <c r="UO84" s="74"/>
      <c r="UP84" s="74"/>
      <c r="UQ84" s="74"/>
      <c r="UR84" s="74"/>
      <c r="US84" s="74"/>
      <c r="UT84" s="74"/>
      <c r="UU84" s="74"/>
      <c r="UV84" s="74"/>
      <c r="UW84" s="74"/>
      <c r="UX84" s="74"/>
      <c r="UY84" s="74"/>
      <c r="UZ84" s="74"/>
      <c r="VA84" s="74"/>
      <c r="VB84" s="74"/>
      <c r="VC84" s="74"/>
      <c r="VD84" s="74"/>
      <c r="VE84" s="74"/>
      <c r="VF84" s="74"/>
    </row>
    <row r="85" spans="1:578" s="41" customFormat="1" ht="41.25" customHeight="1" x14ac:dyDescent="0.2">
      <c r="A85" s="39" t="s">
        <v>233</v>
      </c>
      <c r="B85" s="90" t="str">
        <f>'дод 3'!A16</f>
        <v>0160</v>
      </c>
      <c r="C85" s="90" t="str">
        <f>'дод 3'!B16</f>
        <v>0111</v>
      </c>
      <c r="D85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85" s="65">
        <v>1849500</v>
      </c>
      <c r="F85" s="65">
        <v>1424117</v>
      </c>
      <c r="G85" s="65">
        <v>32216</v>
      </c>
      <c r="H85" s="65">
        <v>398588.32</v>
      </c>
      <c r="I85" s="65">
        <v>309137.84000000003</v>
      </c>
      <c r="J85" s="65">
        <v>12475.28</v>
      </c>
      <c r="K85" s="130">
        <f t="shared" si="20"/>
        <v>21.551139226818059</v>
      </c>
      <c r="L85" s="65">
        <f t="shared" si="17"/>
        <v>0</v>
      </c>
      <c r="M85" s="65"/>
      <c r="N85" s="65"/>
      <c r="O85" s="65"/>
      <c r="P85" s="65"/>
      <c r="Q85" s="65"/>
      <c r="R85" s="65">
        <f t="shared" si="21"/>
        <v>0</v>
      </c>
      <c r="S85" s="65"/>
      <c r="T85" s="65"/>
      <c r="U85" s="65"/>
      <c r="V85" s="65"/>
      <c r="W85" s="65"/>
      <c r="X85" s="132"/>
      <c r="Y85" s="65">
        <f t="shared" si="19"/>
        <v>398588.32</v>
      </c>
      <c r="Z85" s="203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  <c r="SK85" s="47"/>
      <c r="SL85" s="47"/>
      <c r="SM85" s="47"/>
      <c r="SN85" s="47"/>
      <c r="SO85" s="47"/>
      <c r="SP85" s="47"/>
      <c r="SQ85" s="47"/>
      <c r="SR85" s="47"/>
      <c r="SS85" s="47"/>
      <c r="ST85" s="47"/>
      <c r="SU85" s="47"/>
      <c r="SV85" s="47"/>
      <c r="SW85" s="47"/>
      <c r="SX85" s="47"/>
      <c r="SY85" s="47"/>
      <c r="SZ85" s="47"/>
      <c r="TA85" s="47"/>
      <c r="TB85" s="47"/>
      <c r="TC85" s="47"/>
      <c r="TD85" s="47"/>
      <c r="TE85" s="47"/>
      <c r="TF85" s="47"/>
      <c r="TG85" s="47"/>
      <c r="TH85" s="47"/>
      <c r="TI85" s="47"/>
      <c r="TJ85" s="47"/>
      <c r="TK85" s="47"/>
      <c r="TL85" s="47"/>
      <c r="TM85" s="47"/>
      <c r="TN85" s="47"/>
      <c r="TO85" s="47"/>
      <c r="TP85" s="47"/>
      <c r="TQ85" s="47"/>
      <c r="TR85" s="47"/>
      <c r="TS85" s="47"/>
      <c r="TT85" s="47"/>
      <c r="TU85" s="47"/>
      <c r="TV85" s="47"/>
      <c r="TW85" s="47"/>
      <c r="TX85" s="47"/>
      <c r="TY85" s="47"/>
      <c r="TZ85" s="47"/>
      <c r="UA85" s="47"/>
      <c r="UB85" s="47"/>
      <c r="UC85" s="47"/>
      <c r="UD85" s="47"/>
      <c r="UE85" s="47"/>
      <c r="UF85" s="47"/>
      <c r="UG85" s="47"/>
      <c r="UH85" s="47"/>
      <c r="UI85" s="47"/>
      <c r="UJ85" s="47"/>
      <c r="UK85" s="47"/>
      <c r="UL85" s="47"/>
      <c r="UM85" s="47"/>
      <c r="UN85" s="47"/>
      <c r="UO85" s="47"/>
      <c r="UP85" s="47"/>
      <c r="UQ85" s="47"/>
      <c r="UR85" s="47"/>
      <c r="US85" s="47"/>
      <c r="UT85" s="47"/>
      <c r="UU85" s="47"/>
      <c r="UV85" s="47"/>
      <c r="UW85" s="47"/>
      <c r="UX85" s="47"/>
      <c r="UY85" s="47"/>
      <c r="UZ85" s="47"/>
      <c r="VA85" s="47"/>
      <c r="VB85" s="47"/>
      <c r="VC85" s="47"/>
      <c r="VD85" s="47"/>
      <c r="VE85" s="47"/>
      <c r="VF85" s="47"/>
    </row>
    <row r="86" spans="1:578" s="41" customFormat="1" ht="25.5" customHeight="1" x14ac:dyDescent="0.2">
      <c r="A86" s="39" t="s">
        <v>234</v>
      </c>
      <c r="B86" s="90" t="str">
        <f>'дод 3'!A39</f>
        <v>2010</v>
      </c>
      <c r="C86" s="90" t="str">
        <f>'дод 3'!B39</f>
        <v>0731</v>
      </c>
      <c r="D86" s="42" t="str">
        <f>'дод 3'!C39</f>
        <v>Багатопрофільна стаціонарна медична допомога населенню</v>
      </c>
      <c r="E86" s="65">
        <v>267823598</v>
      </c>
      <c r="F86" s="65"/>
      <c r="G86" s="65"/>
      <c r="H86" s="65">
        <v>62772302.950000003</v>
      </c>
      <c r="I86" s="65"/>
      <c r="J86" s="65"/>
      <c r="K86" s="130">
        <f t="shared" si="20"/>
        <v>23.437928329974866</v>
      </c>
      <c r="L86" s="65">
        <f t="shared" si="17"/>
        <v>24711141.300000001</v>
      </c>
      <c r="M86" s="65">
        <v>11494273.300000001</v>
      </c>
      <c r="N86" s="65">
        <v>13216868</v>
      </c>
      <c r="O86" s="65"/>
      <c r="P86" s="65"/>
      <c r="Q86" s="65">
        <f>12000000+170000-675726.7</f>
        <v>11494273.300000001</v>
      </c>
      <c r="R86" s="65">
        <f t="shared" si="21"/>
        <v>5356214.9800000004</v>
      </c>
      <c r="S86" s="65">
        <v>2510558.5499999998</v>
      </c>
      <c r="T86" s="65">
        <v>2742013.43</v>
      </c>
      <c r="U86" s="65"/>
      <c r="V86" s="65"/>
      <c r="W86" s="65">
        <v>2614201.5499999998</v>
      </c>
      <c r="X86" s="132">
        <f t="shared" si="18"/>
        <v>21.675303924550018</v>
      </c>
      <c r="Y86" s="65">
        <f t="shared" si="19"/>
        <v>68128517.930000007</v>
      </c>
      <c r="Z86" s="203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  <c r="SK86" s="47"/>
      <c r="SL86" s="47"/>
      <c r="SM86" s="47"/>
      <c r="SN86" s="47"/>
      <c r="SO86" s="47"/>
      <c r="SP86" s="47"/>
      <c r="SQ86" s="47"/>
      <c r="SR86" s="47"/>
      <c r="SS86" s="47"/>
      <c r="ST86" s="47"/>
      <c r="SU86" s="47"/>
      <c r="SV86" s="47"/>
      <c r="SW86" s="47"/>
      <c r="SX86" s="47"/>
      <c r="SY86" s="47"/>
      <c r="SZ86" s="47"/>
      <c r="TA86" s="47"/>
      <c r="TB86" s="47"/>
      <c r="TC86" s="47"/>
      <c r="TD86" s="47"/>
      <c r="TE86" s="47"/>
      <c r="TF86" s="47"/>
      <c r="TG86" s="47"/>
      <c r="TH86" s="47"/>
      <c r="TI86" s="47"/>
      <c r="TJ86" s="47"/>
      <c r="TK86" s="47"/>
      <c r="TL86" s="47"/>
      <c r="TM86" s="47"/>
      <c r="TN86" s="47"/>
      <c r="TO86" s="47"/>
      <c r="TP86" s="47"/>
      <c r="TQ86" s="47"/>
      <c r="TR86" s="47"/>
      <c r="TS86" s="47"/>
      <c r="TT86" s="47"/>
      <c r="TU86" s="47"/>
      <c r="TV86" s="47"/>
      <c r="TW86" s="47"/>
      <c r="TX86" s="47"/>
      <c r="TY86" s="47"/>
      <c r="TZ86" s="47"/>
      <c r="UA86" s="47"/>
      <c r="UB86" s="47"/>
      <c r="UC86" s="47"/>
      <c r="UD86" s="47"/>
      <c r="UE86" s="47"/>
      <c r="UF86" s="47"/>
      <c r="UG86" s="47"/>
      <c r="UH86" s="47"/>
      <c r="UI86" s="47"/>
      <c r="UJ86" s="47"/>
      <c r="UK86" s="47"/>
      <c r="UL86" s="47"/>
      <c r="UM86" s="47"/>
      <c r="UN86" s="47"/>
      <c r="UO86" s="47"/>
      <c r="UP86" s="47"/>
      <c r="UQ86" s="47"/>
      <c r="UR86" s="47"/>
      <c r="US86" s="47"/>
      <c r="UT86" s="47"/>
      <c r="UU86" s="47"/>
      <c r="UV86" s="47"/>
      <c r="UW86" s="47"/>
      <c r="UX86" s="47"/>
      <c r="UY86" s="47"/>
      <c r="UZ86" s="47"/>
      <c r="VA86" s="47"/>
      <c r="VB86" s="47"/>
      <c r="VC86" s="47"/>
      <c r="VD86" s="47"/>
      <c r="VE86" s="47"/>
      <c r="VF86" s="47"/>
    </row>
    <row r="87" spans="1:578" s="41" customFormat="1" ht="17.25" customHeight="1" x14ac:dyDescent="0.2">
      <c r="A87" s="39"/>
      <c r="B87" s="90"/>
      <c r="C87" s="90"/>
      <c r="D87" s="40" t="s">
        <v>344</v>
      </c>
      <c r="E87" s="65">
        <v>178803030</v>
      </c>
      <c r="F87" s="65"/>
      <c r="G87" s="65"/>
      <c r="H87" s="65">
        <v>43740951.109999999</v>
      </c>
      <c r="I87" s="65"/>
      <c r="J87" s="65"/>
      <c r="K87" s="130">
        <f t="shared" si="20"/>
        <v>24.463204628020005</v>
      </c>
      <c r="L87" s="65">
        <f t="shared" si="17"/>
        <v>0</v>
      </c>
      <c r="M87" s="65"/>
      <c r="N87" s="65"/>
      <c r="O87" s="65"/>
      <c r="P87" s="65"/>
      <c r="Q87" s="65"/>
      <c r="R87" s="65">
        <f t="shared" si="21"/>
        <v>0</v>
      </c>
      <c r="S87" s="65"/>
      <c r="T87" s="65"/>
      <c r="U87" s="65"/>
      <c r="V87" s="65"/>
      <c r="W87" s="65"/>
      <c r="X87" s="132"/>
      <c r="Y87" s="65">
        <f t="shared" si="19"/>
        <v>43740951.109999999</v>
      </c>
      <c r="Z87" s="203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</row>
    <row r="88" spans="1:578" s="41" customFormat="1" ht="36.75" customHeight="1" x14ac:dyDescent="0.2">
      <c r="A88" s="39" t="s">
        <v>240</v>
      </c>
      <c r="B88" s="90" t="str">
        <f>'дод 3'!A41</f>
        <v>2030</v>
      </c>
      <c r="C88" s="90" t="str">
        <f>'дод 3'!B41</f>
        <v>0733</v>
      </c>
      <c r="D88" s="42" t="str">
        <f>'дод 3'!C41</f>
        <v>Лікарсько-акушерська допомога вагітним, породіллям та новонародженим</v>
      </c>
      <c r="E88" s="65">
        <v>37728216</v>
      </c>
      <c r="F88" s="65"/>
      <c r="G88" s="65"/>
      <c r="H88" s="65">
        <v>8716896.7599999998</v>
      </c>
      <c r="I88" s="65"/>
      <c r="J88" s="65"/>
      <c r="K88" s="130">
        <f t="shared" si="20"/>
        <v>23.10444988970589</v>
      </c>
      <c r="L88" s="65">
        <f t="shared" si="17"/>
        <v>1037400</v>
      </c>
      <c r="M88" s="65">
        <v>1000000</v>
      </c>
      <c r="N88" s="65">
        <v>37400</v>
      </c>
      <c r="O88" s="65"/>
      <c r="P88" s="65"/>
      <c r="Q88" s="65">
        <v>1000000</v>
      </c>
      <c r="R88" s="65">
        <f t="shared" si="21"/>
        <v>11959.27</v>
      </c>
      <c r="S88" s="65"/>
      <c r="T88" s="65">
        <v>11959.27</v>
      </c>
      <c r="U88" s="65"/>
      <c r="V88" s="65"/>
      <c r="W88" s="65"/>
      <c r="X88" s="132">
        <f t="shared" si="18"/>
        <v>1.1528118372855216</v>
      </c>
      <c r="Y88" s="65">
        <f t="shared" si="19"/>
        <v>8728856.0299999993</v>
      </c>
      <c r="Z88" s="203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  <c r="SK88" s="47"/>
      <c r="SL88" s="47"/>
      <c r="SM88" s="47"/>
      <c r="SN88" s="47"/>
      <c r="SO88" s="47"/>
      <c r="SP88" s="47"/>
      <c r="SQ88" s="47"/>
      <c r="SR88" s="47"/>
      <c r="SS88" s="47"/>
      <c r="ST88" s="47"/>
      <c r="SU88" s="47"/>
      <c r="SV88" s="47"/>
      <c r="SW88" s="47"/>
      <c r="SX88" s="47"/>
      <c r="SY88" s="47"/>
      <c r="SZ88" s="47"/>
      <c r="TA88" s="47"/>
      <c r="TB88" s="47"/>
      <c r="TC88" s="47"/>
      <c r="TD88" s="47"/>
      <c r="TE88" s="47"/>
      <c r="TF88" s="47"/>
      <c r="TG88" s="47"/>
      <c r="TH88" s="47"/>
      <c r="TI88" s="47"/>
      <c r="TJ88" s="47"/>
      <c r="TK88" s="47"/>
      <c r="TL88" s="47"/>
      <c r="TM88" s="47"/>
      <c r="TN88" s="47"/>
      <c r="TO88" s="47"/>
      <c r="TP88" s="47"/>
      <c r="TQ88" s="47"/>
      <c r="TR88" s="47"/>
      <c r="TS88" s="47"/>
      <c r="TT88" s="47"/>
      <c r="TU88" s="47"/>
      <c r="TV88" s="47"/>
      <c r="TW88" s="47"/>
      <c r="TX88" s="47"/>
      <c r="TY88" s="47"/>
      <c r="TZ88" s="47"/>
      <c r="UA88" s="47"/>
      <c r="UB88" s="47"/>
      <c r="UC88" s="47"/>
      <c r="UD88" s="47"/>
      <c r="UE88" s="47"/>
      <c r="UF88" s="47"/>
      <c r="UG88" s="47"/>
      <c r="UH88" s="47"/>
      <c r="UI88" s="47"/>
      <c r="UJ88" s="47"/>
      <c r="UK88" s="47"/>
      <c r="UL88" s="47"/>
      <c r="UM88" s="47"/>
      <c r="UN88" s="47"/>
      <c r="UO88" s="47"/>
      <c r="UP88" s="47"/>
      <c r="UQ88" s="47"/>
      <c r="UR88" s="47"/>
      <c r="US88" s="47"/>
      <c r="UT88" s="47"/>
      <c r="UU88" s="47"/>
      <c r="UV88" s="47"/>
      <c r="UW88" s="47"/>
      <c r="UX88" s="47"/>
      <c r="UY88" s="47"/>
      <c r="UZ88" s="47"/>
      <c r="VA88" s="47"/>
      <c r="VB88" s="47"/>
      <c r="VC88" s="47"/>
      <c r="VD88" s="47"/>
      <c r="VE88" s="47"/>
      <c r="VF88" s="47"/>
    </row>
    <row r="89" spans="1:578" s="41" customFormat="1" ht="16.5" customHeight="1" x14ac:dyDescent="0.2">
      <c r="A89" s="39"/>
      <c r="B89" s="90"/>
      <c r="C89" s="90"/>
      <c r="D89" s="40" t="s">
        <v>344</v>
      </c>
      <c r="E89" s="65">
        <v>23499600</v>
      </c>
      <c r="F89" s="65"/>
      <c r="G89" s="65"/>
      <c r="H89" s="65">
        <v>5662630</v>
      </c>
      <c r="I89" s="65"/>
      <c r="J89" s="65"/>
      <c r="K89" s="130">
        <f t="shared" si="20"/>
        <v>24.096708029072836</v>
      </c>
      <c r="L89" s="65">
        <f t="shared" si="17"/>
        <v>0</v>
      </c>
      <c r="M89" s="65"/>
      <c r="N89" s="65"/>
      <c r="O89" s="65"/>
      <c r="P89" s="65"/>
      <c r="Q89" s="65"/>
      <c r="R89" s="65">
        <f t="shared" si="21"/>
        <v>0</v>
      </c>
      <c r="S89" s="65"/>
      <c r="T89" s="65"/>
      <c r="U89" s="65"/>
      <c r="V89" s="65"/>
      <c r="W89" s="65"/>
      <c r="X89" s="132"/>
      <c r="Y89" s="65">
        <f t="shared" si="19"/>
        <v>5662630</v>
      </c>
      <c r="Z89" s="203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  <c r="SK89" s="47"/>
      <c r="SL89" s="47"/>
      <c r="SM89" s="47"/>
      <c r="SN89" s="47"/>
      <c r="SO89" s="47"/>
      <c r="SP89" s="47"/>
      <c r="SQ89" s="47"/>
      <c r="SR89" s="47"/>
      <c r="SS89" s="47"/>
      <c r="ST89" s="47"/>
      <c r="SU89" s="47"/>
      <c r="SV89" s="47"/>
      <c r="SW89" s="47"/>
      <c r="SX89" s="47"/>
      <c r="SY89" s="47"/>
      <c r="SZ89" s="47"/>
      <c r="TA89" s="47"/>
      <c r="TB89" s="47"/>
      <c r="TC89" s="47"/>
      <c r="TD89" s="47"/>
      <c r="TE89" s="47"/>
      <c r="TF89" s="47"/>
      <c r="TG89" s="47"/>
      <c r="TH89" s="47"/>
      <c r="TI89" s="47"/>
      <c r="TJ89" s="47"/>
      <c r="TK89" s="47"/>
      <c r="TL89" s="47"/>
      <c r="TM89" s="47"/>
      <c r="TN89" s="47"/>
      <c r="TO89" s="47"/>
      <c r="TP89" s="47"/>
      <c r="TQ89" s="47"/>
      <c r="TR89" s="47"/>
      <c r="TS89" s="47"/>
      <c r="TT89" s="47"/>
      <c r="TU89" s="47"/>
      <c r="TV89" s="47"/>
      <c r="TW89" s="47"/>
      <c r="TX89" s="47"/>
      <c r="TY89" s="47"/>
      <c r="TZ89" s="47"/>
      <c r="UA89" s="47"/>
      <c r="UB89" s="47"/>
      <c r="UC89" s="47"/>
      <c r="UD89" s="47"/>
      <c r="UE89" s="47"/>
      <c r="UF89" s="47"/>
      <c r="UG89" s="47"/>
      <c r="UH89" s="47"/>
      <c r="UI89" s="47"/>
      <c r="UJ89" s="47"/>
      <c r="UK89" s="47"/>
      <c r="UL89" s="47"/>
      <c r="UM89" s="47"/>
      <c r="UN89" s="47"/>
      <c r="UO89" s="47"/>
      <c r="UP89" s="47"/>
      <c r="UQ89" s="47"/>
      <c r="UR89" s="47"/>
      <c r="US89" s="47"/>
      <c r="UT89" s="47"/>
      <c r="UU89" s="47"/>
      <c r="UV89" s="47"/>
      <c r="UW89" s="47"/>
      <c r="UX89" s="47"/>
      <c r="UY89" s="47"/>
      <c r="UZ89" s="47"/>
      <c r="VA89" s="47"/>
      <c r="VB89" s="47"/>
      <c r="VC89" s="47"/>
      <c r="VD89" s="47"/>
      <c r="VE89" s="47"/>
      <c r="VF89" s="47"/>
    </row>
    <row r="90" spans="1:578" s="41" customFormat="1" ht="30" hidden="1" customHeight="1" x14ac:dyDescent="0.2">
      <c r="A90" s="43" t="s">
        <v>239</v>
      </c>
      <c r="B90" s="95" t="str">
        <f>'дод 3'!A43</f>
        <v>2080</v>
      </c>
      <c r="C90" s="95" t="str">
        <f>'дод 3'!B43</f>
        <v>0721</v>
      </c>
      <c r="D90" s="40" t="str">
        <f>'дод 3'!C43</f>
        <v>Амбулаторно-поліклінічна допомога населенню, крім первинної медичної допомоги</v>
      </c>
      <c r="E90" s="65">
        <v>0</v>
      </c>
      <c r="F90" s="65"/>
      <c r="G90" s="65"/>
      <c r="H90" s="65"/>
      <c r="I90" s="65"/>
      <c r="J90" s="65"/>
      <c r="K90" s="130" t="e">
        <f t="shared" si="20"/>
        <v>#DIV/0!</v>
      </c>
      <c r="L90" s="65">
        <f t="shared" si="17"/>
        <v>0</v>
      </c>
      <c r="M90" s="65"/>
      <c r="N90" s="65"/>
      <c r="O90" s="65"/>
      <c r="P90" s="65"/>
      <c r="Q90" s="65"/>
      <c r="R90" s="65">
        <f t="shared" si="21"/>
        <v>0</v>
      </c>
      <c r="S90" s="65"/>
      <c r="T90" s="65"/>
      <c r="U90" s="65"/>
      <c r="V90" s="65"/>
      <c r="W90" s="65"/>
      <c r="X90" s="132" t="e">
        <f t="shared" si="18"/>
        <v>#DIV/0!</v>
      </c>
      <c r="Y90" s="65">
        <f t="shared" si="19"/>
        <v>0</v>
      </c>
      <c r="Z90" s="203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</row>
    <row r="91" spans="1:578" s="41" customFormat="1" ht="15" hidden="1" customHeight="1" x14ac:dyDescent="0.2">
      <c r="A91" s="43"/>
      <c r="B91" s="95"/>
      <c r="C91" s="95"/>
      <c r="D91" s="40" t="s">
        <v>344</v>
      </c>
      <c r="E91" s="65">
        <v>0</v>
      </c>
      <c r="F91" s="65"/>
      <c r="G91" s="65"/>
      <c r="H91" s="65"/>
      <c r="I91" s="65"/>
      <c r="J91" s="65"/>
      <c r="K91" s="130" t="e">
        <f t="shared" si="20"/>
        <v>#DIV/0!</v>
      </c>
      <c r="L91" s="65">
        <f t="shared" si="17"/>
        <v>0</v>
      </c>
      <c r="M91" s="65"/>
      <c r="N91" s="65"/>
      <c r="O91" s="65"/>
      <c r="P91" s="65"/>
      <c r="Q91" s="65"/>
      <c r="R91" s="65">
        <f t="shared" si="21"/>
        <v>0</v>
      </c>
      <c r="S91" s="65"/>
      <c r="T91" s="65"/>
      <c r="U91" s="65"/>
      <c r="V91" s="65"/>
      <c r="W91" s="65"/>
      <c r="X91" s="132" t="e">
        <f t="shared" si="18"/>
        <v>#DIV/0!</v>
      </c>
      <c r="Y91" s="65">
        <f t="shared" si="19"/>
        <v>0</v>
      </c>
      <c r="Z91" s="203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</row>
    <row r="92" spans="1:578" s="41" customFormat="1" ht="24" customHeight="1" x14ac:dyDescent="0.2">
      <c r="A92" s="39" t="s">
        <v>238</v>
      </c>
      <c r="B92" s="90" t="str">
        <f>'дод 3'!A45</f>
        <v>2100</v>
      </c>
      <c r="C92" s="90" t="str">
        <f>'дод 3'!B45</f>
        <v>0722</v>
      </c>
      <c r="D92" s="42" t="str">
        <f>'дод 3'!C45</f>
        <v>Стоматологічна допомога населенню</v>
      </c>
      <c r="E92" s="65">
        <v>6226457</v>
      </c>
      <c r="F92" s="65"/>
      <c r="G92" s="65"/>
      <c r="H92" s="65">
        <v>1394809.09</v>
      </c>
      <c r="I92" s="65"/>
      <c r="J92" s="65"/>
      <c r="K92" s="130">
        <f t="shared" si="20"/>
        <v>22.401328556512958</v>
      </c>
      <c r="L92" s="65">
        <f t="shared" si="17"/>
        <v>8044410</v>
      </c>
      <c r="M92" s="65">
        <v>410000</v>
      </c>
      <c r="N92" s="65">
        <v>7634410</v>
      </c>
      <c r="O92" s="65"/>
      <c r="P92" s="65"/>
      <c r="Q92" s="65">
        <f>400000+10000</f>
        <v>410000</v>
      </c>
      <c r="R92" s="65">
        <f t="shared" si="21"/>
        <v>1545262.04</v>
      </c>
      <c r="S92" s="65"/>
      <c r="T92" s="65">
        <v>1545262.04</v>
      </c>
      <c r="U92" s="65"/>
      <c r="V92" s="65"/>
      <c r="W92" s="65"/>
      <c r="X92" s="132">
        <f t="shared" si="18"/>
        <v>19.209140757370648</v>
      </c>
      <c r="Y92" s="65">
        <f t="shared" si="19"/>
        <v>2940071.13</v>
      </c>
      <c r="Z92" s="203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</row>
    <row r="93" spans="1:578" s="41" customFormat="1" ht="15" customHeight="1" x14ac:dyDescent="0.2">
      <c r="A93" s="39"/>
      <c r="B93" s="90"/>
      <c r="C93" s="90"/>
      <c r="D93" s="40" t="s">
        <v>344</v>
      </c>
      <c r="E93" s="65">
        <v>4064800</v>
      </c>
      <c r="F93" s="65"/>
      <c r="G93" s="65"/>
      <c r="H93" s="65">
        <v>1165375.4099999999</v>
      </c>
      <c r="I93" s="65"/>
      <c r="J93" s="65"/>
      <c r="K93" s="130">
        <f t="shared" si="20"/>
        <v>28.66993234599488</v>
      </c>
      <c r="L93" s="65">
        <f t="shared" si="17"/>
        <v>0</v>
      </c>
      <c r="M93" s="65"/>
      <c r="N93" s="65"/>
      <c r="O93" s="65"/>
      <c r="P93" s="65"/>
      <c r="Q93" s="65"/>
      <c r="R93" s="65">
        <f t="shared" si="21"/>
        <v>0</v>
      </c>
      <c r="S93" s="65"/>
      <c r="T93" s="65"/>
      <c r="U93" s="65"/>
      <c r="V93" s="65"/>
      <c r="W93" s="65"/>
      <c r="X93" s="132"/>
      <c r="Y93" s="65">
        <f t="shared" si="19"/>
        <v>1165375.4099999999</v>
      </c>
      <c r="Z93" s="203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  <c r="SK93" s="47"/>
      <c r="SL93" s="47"/>
      <c r="SM93" s="47"/>
      <c r="SN93" s="47"/>
      <c r="SO93" s="47"/>
      <c r="SP93" s="47"/>
      <c r="SQ93" s="47"/>
      <c r="SR93" s="47"/>
      <c r="SS93" s="47"/>
      <c r="ST93" s="47"/>
      <c r="SU93" s="47"/>
      <c r="SV93" s="47"/>
      <c r="SW93" s="47"/>
      <c r="SX93" s="47"/>
      <c r="SY93" s="47"/>
      <c r="SZ93" s="47"/>
      <c r="TA93" s="47"/>
      <c r="TB93" s="47"/>
      <c r="TC93" s="47"/>
      <c r="TD93" s="47"/>
      <c r="TE93" s="47"/>
      <c r="TF93" s="47"/>
      <c r="TG93" s="47"/>
      <c r="TH93" s="47"/>
      <c r="TI93" s="47"/>
      <c r="TJ93" s="47"/>
      <c r="TK93" s="47"/>
      <c r="TL93" s="47"/>
      <c r="TM93" s="47"/>
      <c r="TN93" s="47"/>
      <c r="TO93" s="47"/>
      <c r="TP93" s="47"/>
      <c r="TQ93" s="47"/>
      <c r="TR93" s="47"/>
      <c r="TS93" s="47"/>
      <c r="TT93" s="47"/>
      <c r="TU93" s="47"/>
      <c r="TV93" s="47"/>
      <c r="TW93" s="47"/>
      <c r="TX93" s="47"/>
      <c r="TY93" s="47"/>
      <c r="TZ93" s="47"/>
      <c r="UA93" s="47"/>
      <c r="UB93" s="47"/>
      <c r="UC93" s="47"/>
      <c r="UD93" s="47"/>
      <c r="UE93" s="47"/>
      <c r="UF93" s="47"/>
      <c r="UG93" s="47"/>
      <c r="UH93" s="47"/>
      <c r="UI93" s="47"/>
      <c r="UJ93" s="47"/>
      <c r="UK93" s="47"/>
      <c r="UL93" s="47"/>
      <c r="UM93" s="47"/>
      <c r="UN93" s="47"/>
      <c r="UO93" s="47"/>
      <c r="UP93" s="47"/>
      <c r="UQ93" s="47"/>
      <c r="UR93" s="47"/>
      <c r="US93" s="47"/>
      <c r="UT93" s="47"/>
      <c r="UU93" s="47"/>
      <c r="UV93" s="47"/>
      <c r="UW93" s="47"/>
      <c r="UX93" s="47"/>
      <c r="UY93" s="47"/>
      <c r="UZ93" s="47"/>
      <c r="VA93" s="47"/>
      <c r="VB93" s="47"/>
      <c r="VC93" s="47"/>
      <c r="VD93" s="47"/>
      <c r="VE93" s="47"/>
      <c r="VF93" s="47"/>
    </row>
    <row r="94" spans="1:578" s="41" customFormat="1" ht="45.75" customHeight="1" x14ac:dyDescent="0.2">
      <c r="A94" s="39" t="s">
        <v>237</v>
      </c>
      <c r="B94" s="90" t="str">
        <f>'дод 3'!A47</f>
        <v>2111</v>
      </c>
      <c r="C94" s="90" t="str">
        <f>'дод 3'!B47</f>
        <v>0726</v>
      </c>
      <c r="D94" s="42" t="str">
        <f>'дод 3'!C47</f>
        <v>Первинна медична допомога населенню, що надається центрами первинної медичної (медико-санітарної) допомоги</v>
      </c>
      <c r="E94" s="65">
        <v>2760000</v>
      </c>
      <c r="F94" s="65"/>
      <c r="G94" s="65"/>
      <c r="H94" s="65">
        <v>597529.94999999995</v>
      </c>
      <c r="I94" s="65"/>
      <c r="J94" s="65"/>
      <c r="K94" s="130">
        <f t="shared" si="20"/>
        <v>21.649635869565216</v>
      </c>
      <c r="L94" s="65">
        <f t="shared" si="17"/>
        <v>2995815</v>
      </c>
      <c r="M94" s="65">
        <v>2995815</v>
      </c>
      <c r="N94" s="65"/>
      <c r="O94" s="65"/>
      <c r="P94" s="65"/>
      <c r="Q94" s="65">
        <f>3000000-4185</f>
        <v>2995815</v>
      </c>
      <c r="R94" s="65">
        <f t="shared" si="21"/>
        <v>13357</v>
      </c>
      <c r="S94" s="65">
        <v>13357</v>
      </c>
      <c r="T94" s="65"/>
      <c r="U94" s="65"/>
      <c r="V94" s="65"/>
      <c r="W94" s="65">
        <v>13357</v>
      </c>
      <c r="X94" s="132">
        <f t="shared" si="18"/>
        <v>0.4458553014788964</v>
      </c>
      <c r="Y94" s="65">
        <f t="shared" si="19"/>
        <v>610886.94999999995</v>
      </c>
      <c r="Z94" s="203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</row>
    <row r="95" spans="1:578" s="41" customFormat="1" ht="15" hidden="1" customHeight="1" x14ac:dyDescent="0.2">
      <c r="A95" s="39"/>
      <c r="B95" s="90"/>
      <c r="C95" s="90"/>
      <c r="D95" s="40" t="s">
        <v>344</v>
      </c>
      <c r="E95" s="65">
        <v>0</v>
      </c>
      <c r="F95" s="65"/>
      <c r="G95" s="65"/>
      <c r="H95" s="65"/>
      <c r="I95" s="65"/>
      <c r="J95" s="65"/>
      <c r="K95" s="130" t="e">
        <f t="shared" si="20"/>
        <v>#DIV/0!</v>
      </c>
      <c r="L95" s="65">
        <f t="shared" si="17"/>
        <v>0</v>
      </c>
      <c r="M95" s="65"/>
      <c r="N95" s="65"/>
      <c r="O95" s="65"/>
      <c r="P95" s="65"/>
      <c r="Q95" s="65"/>
      <c r="R95" s="65">
        <f t="shared" si="21"/>
        <v>0</v>
      </c>
      <c r="S95" s="65"/>
      <c r="T95" s="65"/>
      <c r="U95" s="65"/>
      <c r="V95" s="65"/>
      <c r="W95" s="65"/>
      <c r="X95" s="132" t="e">
        <f t="shared" si="18"/>
        <v>#DIV/0!</v>
      </c>
      <c r="Y95" s="65">
        <f t="shared" si="19"/>
        <v>0</v>
      </c>
      <c r="Z95" s="203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</row>
    <row r="96" spans="1:578" s="41" customFormat="1" ht="45" hidden="1" customHeight="1" x14ac:dyDescent="0.2">
      <c r="A96" s="39" t="s">
        <v>482</v>
      </c>
      <c r="B96" s="90" t="str">
        <f>'дод 3'!A49</f>
        <v>2113</v>
      </c>
      <c r="C96" s="90" t="str">
        <f>'дод 3'!B49</f>
        <v>0721</v>
      </c>
      <c r="D96" s="42" t="str">
        <f>'дод 3'!C49</f>
        <v>Первинна медична допомога населенню, що надається амбулаторно-поліклінічними закладами (відділеннями)</v>
      </c>
      <c r="E96" s="65">
        <v>0</v>
      </c>
      <c r="F96" s="65"/>
      <c r="G96" s="65"/>
      <c r="H96" s="65"/>
      <c r="I96" s="65"/>
      <c r="J96" s="65"/>
      <c r="K96" s="130" t="e">
        <f t="shared" si="20"/>
        <v>#DIV/0!</v>
      </c>
      <c r="L96" s="65">
        <f t="shared" si="17"/>
        <v>0</v>
      </c>
      <c r="M96" s="65"/>
      <c r="N96" s="65"/>
      <c r="O96" s="65"/>
      <c r="P96" s="65"/>
      <c r="Q96" s="65"/>
      <c r="R96" s="65">
        <f t="shared" si="21"/>
        <v>0</v>
      </c>
      <c r="S96" s="65"/>
      <c r="T96" s="65"/>
      <c r="U96" s="65"/>
      <c r="V96" s="65"/>
      <c r="W96" s="65"/>
      <c r="X96" s="132" t="e">
        <f t="shared" si="18"/>
        <v>#DIV/0!</v>
      </c>
      <c r="Y96" s="65">
        <f t="shared" si="19"/>
        <v>0</v>
      </c>
      <c r="Z96" s="203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</row>
    <row r="97" spans="1:578" s="41" customFormat="1" ht="15" hidden="1" customHeight="1" x14ac:dyDescent="0.2">
      <c r="A97" s="39"/>
      <c r="B97" s="90"/>
      <c r="C97" s="90"/>
      <c r="D97" s="40" t="s">
        <v>344</v>
      </c>
      <c r="E97" s="65">
        <v>0</v>
      </c>
      <c r="F97" s="65"/>
      <c r="G97" s="65"/>
      <c r="H97" s="65"/>
      <c r="I97" s="65"/>
      <c r="J97" s="65"/>
      <c r="K97" s="130" t="e">
        <f t="shared" si="20"/>
        <v>#DIV/0!</v>
      </c>
      <c r="L97" s="65">
        <f t="shared" si="17"/>
        <v>0</v>
      </c>
      <c r="M97" s="65"/>
      <c r="N97" s="65"/>
      <c r="O97" s="65"/>
      <c r="P97" s="65"/>
      <c r="Q97" s="65"/>
      <c r="R97" s="65">
        <f t="shared" si="21"/>
        <v>0</v>
      </c>
      <c r="S97" s="65"/>
      <c r="T97" s="65"/>
      <c r="U97" s="65"/>
      <c r="V97" s="65"/>
      <c r="W97" s="65"/>
      <c r="X97" s="132" t="e">
        <f t="shared" si="18"/>
        <v>#DIV/0!</v>
      </c>
      <c r="Y97" s="65">
        <f t="shared" si="19"/>
        <v>0</v>
      </c>
      <c r="Z97" s="203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</row>
    <row r="98" spans="1:578" s="41" customFormat="1" ht="32.25" customHeight="1" x14ac:dyDescent="0.2">
      <c r="A98" s="39" t="s">
        <v>236</v>
      </c>
      <c r="B98" s="90">
        <f>'дод 3'!A51</f>
        <v>2144</v>
      </c>
      <c r="C98" s="90" t="str">
        <f>'дод 3'!B51</f>
        <v>0763</v>
      </c>
      <c r="D98" s="45" t="str">
        <f>'дод 3'!C51</f>
        <v>Централізовані заходи з лікування хворих на цукровий та нецукровий діабет</v>
      </c>
      <c r="E98" s="65">
        <v>4580500</v>
      </c>
      <c r="F98" s="65"/>
      <c r="G98" s="65"/>
      <c r="H98" s="65">
        <v>1144764.33</v>
      </c>
      <c r="I98" s="65"/>
      <c r="J98" s="65"/>
      <c r="K98" s="130">
        <f t="shared" si="20"/>
        <v>24.992125968780702</v>
      </c>
      <c r="L98" s="65">
        <f t="shared" si="17"/>
        <v>0</v>
      </c>
      <c r="M98" s="65"/>
      <c r="N98" s="65"/>
      <c r="O98" s="65"/>
      <c r="P98" s="65"/>
      <c r="Q98" s="65"/>
      <c r="R98" s="65">
        <f t="shared" si="21"/>
        <v>0</v>
      </c>
      <c r="S98" s="65"/>
      <c r="T98" s="65"/>
      <c r="U98" s="65"/>
      <c r="V98" s="65"/>
      <c r="W98" s="65"/>
      <c r="X98" s="132"/>
      <c r="Y98" s="65">
        <f t="shared" si="19"/>
        <v>1144764.33</v>
      </c>
      <c r="Z98" s="203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</row>
    <row r="99" spans="1:578" s="41" customFormat="1" ht="18.75" customHeight="1" x14ac:dyDescent="0.2">
      <c r="A99" s="39"/>
      <c r="B99" s="90"/>
      <c r="C99" s="90"/>
      <c r="D99" s="45" t="str">
        <f>'дод 3'!C52</f>
        <v>у т.ч. за рахунок субвенцій з держбюджету</v>
      </c>
      <c r="E99" s="65">
        <v>4580500</v>
      </c>
      <c r="F99" s="65"/>
      <c r="G99" s="65"/>
      <c r="H99" s="65">
        <v>1144764.33</v>
      </c>
      <c r="I99" s="65"/>
      <c r="J99" s="65"/>
      <c r="K99" s="130">
        <f t="shared" si="20"/>
        <v>24.992125968780702</v>
      </c>
      <c r="L99" s="65">
        <f t="shared" si="17"/>
        <v>0</v>
      </c>
      <c r="M99" s="65"/>
      <c r="N99" s="65"/>
      <c r="O99" s="65"/>
      <c r="P99" s="65"/>
      <c r="Q99" s="65"/>
      <c r="R99" s="65">
        <f t="shared" si="21"/>
        <v>0</v>
      </c>
      <c r="S99" s="65"/>
      <c r="T99" s="65"/>
      <c r="U99" s="65"/>
      <c r="V99" s="65"/>
      <c r="W99" s="65"/>
      <c r="X99" s="132"/>
      <c r="Y99" s="65">
        <f t="shared" si="19"/>
        <v>1144764.33</v>
      </c>
      <c r="Z99" s="203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</row>
    <row r="100" spans="1:578" s="41" customFormat="1" ht="31.5" customHeight="1" x14ac:dyDescent="0.2">
      <c r="A100" s="39" t="s">
        <v>427</v>
      </c>
      <c r="B100" s="90">
        <f>'дод 3'!A53</f>
        <v>2146</v>
      </c>
      <c r="C100" s="90" t="str">
        <f>'дод 3'!B53</f>
        <v>0763</v>
      </c>
      <c r="D100" s="45" t="str">
        <f>'дод 3'!C53</f>
        <v>Відшкодування вартості лікарських засобів для лікування окремих захворювань</v>
      </c>
      <c r="E100" s="65">
        <v>1456300</v>
      </c>
      <c r="F100" s="65"/>
      <c r="G100" s="65"/>
      <c r="H100" s="65">
        <v>1456294.8</v>
      </c>
      <c r="I100" s="65"/>
      <c r="J100" s="65"/>
      <c r="K100" s="130">
        <f t="shared" si="20"/>
        <v>99.999642930714828</v>
      </c>
      <c r="L100" s="65">
        <f t="shared" si="17"/>
        <v>0</v>
      </c>
      <c r="M100" s="65"/>
      <c r="N100" s="65"/>
      <c r="O100" s="65"/>
      <c r="P100" s="65"/>
      <c r="Q100" s="65"/>
      <c r="R100" s="65">
        <f t="shared" si="21"/>
        <v>0</v>
      </c>
      <c r="S100" s="65"/>
      <c r="T100" s="65"/>
      <c r="U100" s="65"/>
      <c r="V100" s="65"/>
      <c r="W100" s="65"/>
      <c r="X100" s="132"/>
      <c r="Y100" s="65">
        <f t="shared" si="19"/>
        <v>1456294.8</v>
      </c>
      <c r="Z100" s="203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</row>
    <row r="101" spans="1:578" s="41" customFormat="1" ht="16.5" customHeight="1" x14ac:dyDescent="0.2">
      <c r="A101" s="39"/>
      <c r="B101" s="90"/>
      <c r="C101" s="90"/>
      <c r="D101" s="45" t="str">
        <f>'дод 3'!C54</f>
        <v>у т.ч. за рахунок субвенцій з держбюджету</v>
      </c>
      <c r="E101" s="65">
        <v>1456300</v>
      </c>
      <c r="F101" s="65"/>
      <c r="G101" s="65"/>
      <c r="H101" s="65">
        <v>1456294.8</v>
      </c>
      <c r="I101" s="65"/>
      <c r="J101" s="65"/>
      <c r="K101" s="130">
        <f t="shared" si="20"/>
        <v>99.999642930714828</v>
      </c>
      <c r="L101" s="65">
        <f t="shared" si="17"/>
        <v>0</v>
      </c>
      <c r="M101" s="65"/>
      <c r="N101" s="65"/>
      <c r="O101" s="65"/>
      <c r="P101" s="65"/>
      <c r="Q101" s="65"/>
      <c r="R101" s="65">
        <f t="shared" si="21"/>
        <v>0</v>
      </c>
      <c r="S101" s="65"/>
      <c r="T101" s="65"/>
      <c r="U101" s="65"/>
      <c r="V101" s="65"/>
      <c r="W101" s="65"/>
      <c r="X101" s="132"/>
      <c r="Y101" s="65">
        <f t="shared" si="19"/>
        <v>1456294.8</v>
      </c>
      <c r="Z101" s="203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</row>
    <row r="102" spans="1:578" s="41" customFormat="1" ht="30" customHeight="1" x14ac:dyDescent="0.2">
      <c r="A102" s="39" t="s">
        <v>500</v>
      </c>
      <c r="B102" s="95" t="str">
        <f>'дод 3'!A55</f>
        <v>2151</v>
      </c>
      <c r="C102" s="95" t="str">
        <f>'дод 3'!B55</f>
        <v>0763</v>
      </c>
      <c r="D102" s="42" t="str">
        <f>'дод 3'!C55</f>
        <v>Забезпечення діяльності інших закладів у сфері охорони здоров’я</v>
      </c>
      <c r="E102" s="65">
        <v>2602469</v>
      </c>
      <c r="F102" s="65"/>
      <c r="G102" s="65"/>
      <c r="H102" s="65">
        <v>588863.06999999995</v>
      </c>
      <c r="I102" s="65"/>
      <c r="J102" s="65"/>
      <c r="K102" s="130">
        <f t="shared" si="20"/>
        <v>22.627092580161374</v>
      </c>
      <c r="L102" s="65">
        <f t="shared" si="17"/>
        <v>0</v>
      </c>
      <c r="M102" s="65"/>
      <c r="N102" s="65"/>
      <c r="O102" s="65"/>
      <c r="P102" s="65"/>
      <c r="Q102" s="65"/>
      <c r="R102" s="65">
        <f t="shared" si="21"/>
        <v>0</v>
      </c>
      <c r="S102" s="65"/>
      <c r="T102" s="65"/>
      <c r="U102" s="65"/>
      <c r="V102" s="65"/>
      <c r="W102" s="65"/>
      <c r="X102" s="132"/>
      <c r="Y102" s="65">
        <f t="shared" si="19"/>
        <v>588863.06999999995</v>
      </c>
      <c r="Z102" s="203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</row>
    <row r="103" spans="1:578" s="41" customFormat="1" ht="15" hidden="1" customHeight="1" x14ac:dyDescent="0.2">
      <c r="A103" s="39"/>
      <c r="B103" s="95"/>
      <c r="C103" s="95"/>
      <c r="D103" s="40" t="s">
        <v>344</v>
      </c>
      <c r="E103" s="65">
        <v>0</v>
      </c>
      <c r="F103" s="65"/>
      <c r="G103" s="65"/>
      <c r="H103" s="65"/>
      <c r="I103" s="65"/>
      <c r="J103" s="65"/>
      <c r="K103" s="130" t="e">
        <f t="shared" si="20"/>
        <v>#DIV/0!</v>
      </c>
      <c r="L103" s="65">
        <f t="shared" si="17"/>
        <v>0</v>
      </c>
      <c r="M103" s="65"/>
      <c r="N103" s="65"/>
      <c r="O103" s="65"/>
      <c r="P103" s="65"/>
      <c r="Q103" s="65"/>
      <c r="R103" s="65">
        <f t="shared" si="21"/>
        <v>0</v>
      </c>
      <c r="S103" s="65"/>
      <c r="T103" s="65"/>
      <c r="U103" s="65"/>
      <c r="V103" s="65"/>
      <c r="W103" s="65"/>
      <c r="X103" s="132" t="e">
        <f t="shared" si="18"/>
        <v>#DIV/0!</v>
      </c>
      <c r="Y103" s="65">
        <f t="shared" si="19"/>
        <v>0</v>
      </c>
      <c r="Z103" s="203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</row>
    <row r="104" spans="1:578" s="41" customFormat="1" ht="24.75" customHeight="1" x14ac:dyDescent="0.2">
      <c r="A104" s="39" t="s">
        <v>501</v>
      </c>
      <c r="B104" s="95" t="str">
        <f>'дод 3'!A57</f>
        <v>2152</v>
      </c>
      <c r="C104" s="95" t="str">
        <f>'дод 3'!B57</f>
        <v>0763</v>
      </c>
      <c r="D104" s="40" t="str">
        <f>'дод 3'!C57</f>
        <v>Інші програми та заходи у сфері охорони здоров’я</v>
      </c>
      <c r="E104" s="65">
        <v>15016600</v>
      </c>
      <c r="F104" s="65"/>
      <c r="G104" s="65"/>
      <c r="H104" s="65">
        <v>2694788.27</v>
      </c>
      <c r="I104" s="65"/>
      <c r="J104" s="65"/>
      <c r="K104" s="130">
        <f t="shared" si="20"/>
        <v>17.94539556224445</v>
      </c>
      <c r="L104" s="65">
        <f t="shared" si="17"/>
        <v>3000000</v>
      </c>
      <c r="M104" s="65">
        <v>3000000</v>
      </c>
      <c r="N104" s="65"/>
      <c r="O104" s="65"/>
      <c r="P104" s="65"/>
      <c r="Q104" s="65">
        <f>3000000-3000000+2042260+957740</f>
        <v>3000000</v>
      </c>
      <c r="R104" s="65">
        <f t="shared" si="21"/>
        <v>0</v>
      </c>
      <c r="S104" s="65"/>
      <c r="T104" s="65"/>
      <c r="U104" s="65"/>
      <c r="V104" s="65"/>
      <c r="W104" s="65"/>
      <c r="X104" s="132">
        <f t="shared" si="18"/>
        <v>0</v>
      </c>
      <c r="Y104" s="65">
        <f t="shared" si="19"/>
        <v>2694788.27</v>
      </c>
      <c r="Z104" s="203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</row>
    <row r="105" spans="1:578" s="41" customFormat="1" ht="15" hidden="1" customHeight="1" x14ac:dyDescent="0.2">
      <c r="A105" s="39"/>
      <c r="B105" s="95"/>
      <c r="C105" s="95"/>
      <c r="D105" s="40" t="s">
        <v>344</v>
      </c>
      <c r="E105" s="65">
        <v>0</v>
      </c>
      <c r="F105" s="65"/>
      <c r="G105" s="65"/>
      <c r="H105" s="65"/>
      <c r="I105" s="65"/>
      <c r="J105" s="65"/>
      <c r="K105" s="129" t="e">
        <f t="shared" si="20"/>
        <v>#DIV/0!</v>
      </c>
      <c r="L105" s="65">
        <f t="shared" si="17"/>
        <v>0</v>
      </c>
      <c r="M105" s="65"/>
      <c r="N105" s="65"/>
      <c r="O105" s="65"/>
      <c r="P105" s="65"/>
      <c r="Q105" s="65"/>
      <c r="R105" s="65">
        <f t="shared" si="21"/>
        <v>0</v>
      </c>
      <c r="S105" s="65"/>
      <c r="T105" s="65"/>
      <c r="U105" s="65"/>
      <c r="V105" s="65"/>
      <c r="W105" s="65"/>
      <c r="X105" s="132" t="e">
        <f t="shared" si="18"/>
        <v>#DIV/0!</v>
      </c>
      <c r="Y105" s="65">
        <f t="shared" si="19"/>
        <v>0</v>
      </c>
      <c r="Z105" s="203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</row>
    <row r="106" spans="1:578" s="41" customFormat="1" ht="45" x14ac:dyDescent="0.2">
      <c r="A106" s="39" t="s">
        <v>502</v>
      </c>
      <c r="B106" s="95" t="str">
        <f>'дод 3'!A169</f>
        <v>7363</v>
      </c>
      <c r="C106" s="95" t="str">
        <f>'дод 3'!B169</f>
        <v>0490</v>
      </c>
      <c r="D106" s="40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106" s="65">
        <v>0</v>
      </c>
      <c r="F106" s="65"/>
      <c r="G106" s="65"/>
      <c r="H106" s="65"/>
      <c r="I106" s="65"/>
      <c r="J106" s="65"/>
      <c r="K106" s="130"/>
      <c r="L106" s="65">
        <f t="shared" si="17"/>
        <v>3319135</v>
      </c>
      <c r="M106" s="65">
        <v>3319135</v>
      </c>
      <c r="N106" s="65"/>
      <c r="O106" s="65"/>
      <c r="P106" s="65"/>
      <c r="Q106" s="65">
        <f>679911.7+2639223.3</f>
        <v>3319135</v>
      </c>
      <c r="R106" s="65">
        <f t="shared" si="21"/>
        <v>2996000</v>
      </c>
      <c r="S106" s="65">
        <v>2996000</v>
      </c>
      <c r="T106" s="65"/>
      <c r="U106" s="65"/>
      <c r="V106" s="65"/>
      <c r="W106" s="65">
        <v>2996000</v>
      </c>
      <c r="X106" s="132">
        <f t="shared" si="18"/>
        <v>90.264481559201414</v>
      </c>
      <c r="Y106" s="65">
        <f t="shared" si="19"/>
        <v>2996000</v>
      </c>
      <c r="Z106" s="203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</row>
    <row r="107" spans="1:578" s="41" customFormat="1" x14ac:dyDescent="0.2">
      <c r="A107" s="39"/>
      <c r="B107" s="95"/>
      <c r="C107" s="95"/>
      <c r="D107" s="45" t="s">
        <v>344</v>
      </c>
      <c r="E107" s="65">
        <v>0</v>
      </c>
      <c r="F107" s="65"/>
      <c r="G107" s="65"/>
      <c r="H107" s="65"/>
      <c r="I107" s="65"/>
      <c r="J107" s="65"/>
      <c r="K107" s="130"/>
      <c r="L107" s="65">
        <f t="shared" si="17"/>
        <v>2639223.2999999998</v>
      </c>
      <c r="M107" s="65">
        <v>2639223.2999999998</v>
      </c>
      <c r="N107" s="65"/>
      <c r="O107" s="65"/>
      <c r="P107" s="65"/>
      <c r="Q107" s="65">
        <v>2639223.2999999998</v>
      </c>
      <c r="R107" s="65">
        <f>T107+W107</f>
        <v>2325500</v>
      </c>
      <c r="S107" s="65">
        <v>2325500</v>
      </c>
      <c r="T107" s="65"/>
      <c r="U107" s="65"/>
      <c r="V107" s="65"/>
      <c r="W107" s="65">
        <v>2325500</v>
      </c>
      <c r="X107" s="132">
        <f t="shared" si="18"/>
        <v>88.113044470318229</v>
      </c>
      <c r="Y107" s="65">
        <f t="shared" si="19"/>
        <v>2325500</v>
      </c>
      <c r="Z107" s="203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  <c r="SK107" s="47"/>
      <c r="SL107" s="47"/>
      <c r="SM107" s="47"/>
      <c r="SN107" s="47"/>
      <c r="SO107" s="47"/>
      <c r="SP107" s="47"/>
      <c r="SQ107" s="47"/>
      <c r="SR107" s="47"/>
      <c r="SS107" s="47"/>
      <c r="ST107" s="47"/>
      <c r="SU107" s="47"/>
      <c r="SV107" s="47"/>
      <c r="SW107" s="47"/>
      <c r="SX107" s="47"/>
      <c r="SY107" s="47"/>
      <c r="SZ107" s="47"/>
      <c r="TA107" s="47"/>
      <c r="TB107" s="47"/>
      <c r="TC107" s="47"/>
      <c r="TD107" s="47"/>
      <c r="TE107" s="47"/>
      <c r="TF107" s="47"/>
      <c r="TG107" s="47"/>
      <c r="TH107" s="47"/>
      <c r="TI107" s="47"/>
      <c r="TJ107" s="47"/>
      <c r="TK107" s="47"/>
      <c r="TL107" s="47"/>
      <c r="TM107" s="47"/>
      <c r="TN107" s="47"/>
      <c r="TO107" s="47"/>
      <c r="TP107" s="47"/>
      <c r="TQ107" s="47"/>
      <c r="TR107" s="47"/>
      <c r="TS107" s="47"/>
      <c r="TT107" s="47"/>
      <c r="TU107" s="47"/>
      <c r="TV107" s="47"/>
      <c r="TW107" s="47"/>
      <c r="TX107" s="47"/>
      <c r="TY107" s="47"/>
      <c r="TZ107" s="47"/>
      <c r="UA107" s="47"/>
      <c r="UB107" s="47"/>
      <c r="UC107" s="47"/>
      <c r="UD107" s="47"/>
      <c r="UE107" s="47"/>
      <c r="UF107" s="47"/>
      <c r="UG107" s="47"/>
      <c r="UH107" s="47"/>
      <c r="UI107" s="47"/>
      <c r="UJ107" s="47"/>
      <c r="UK107" s="47"/>
      <c r="UL107" s="47"/>
      <c r="UM107" s="47"/>
      <c r="UN107" s="47"/>
      <c r="UO107" s="47"/>
      <c r="UP107" s="47"/>
      <c r="UQ107" s="47"/>
      <c r="UR107" s="47"/>
      <c r="US107" s="47"/>
      <c r="UT107" s="47"/>
      <c r="UU107" s="47"/>
      <c r="UV107" s="47"/>
      <c r="UW107" s="47"/>
      <c r="UX107" s="47"/>
      <c r="UY107" s="47"/>
      <c r="UZ107" s="47"/>
      <c r="VA107" s="47"/>
      <c r="VB107" s="47"/>
      <c r="VC107" s="47"/>
      <c r="VD107" s="47"/>
      <c r="VE107" s="47"/>
      <c r="VF107" s="47"/>
    </row>
    <row r="108" spans="1:578" s="41" customFormat="1" ht="18.75" customHeight="1" x14ac:dyDescent="0.2">
      <c r="A108" s="39" t="s">
        <v>235</v>
      </c>
      <c r="B108" s="90" t="str">
        <f>'дод 3'!A185</f>
        <v>7640</v>
      </c>
      <c r="C108" s="90" t="str">
        <f>'дод 3'!B185</f>
        <v>0470</v>
      </c>
      <c r="D108" s="42" t="str">
        <f>'дод 3'!C185</f>
        <v>Заходи з енергозбереження</v>
      </c>
      <c r="E108" s="65">
        <v>0</v>
      </c>
      <c r="F108" s="65"/>
      <c r="G108" s="65"/>
      <c r="H108" s="65"/>
      <c r="I108" s="65"/>
      <c r="J108" s="65"/>
      <c r="K108" s="130"/>
      <c r="L108" s="65">
        <f t="shared" si="17"/>
        <v>12610000</v>
      </c>
      <c r="M108" s="65">
        <v>12610000</v>
      </c>
      <c r="N108" s="65"/>
      <c r="O108" s="65"/>
      <c r="P108" s="65"/>
      <c r="Q108" s="65">
        <f>8300000-40000+3900000+450000</f>
        <v>12610000</v>
      </c>
      <c r="R108" s="65">
        <f t="shared" si="21"/>
        <v>47915.64</v>
      </c>
      <c r="S108" s="65">
        <v>47915.64</v>
      </c>
      <c r="T108" s="65"/>
      <c r="U108" s="65"/>
      <c r="V108" s="65"/>
      <c r="W108" s="65">
        <v>47915.64</v>
      </c>
      <c r="X108" s="132">
        <f t="shared" si="18"/>
        <v>0.37998128469468673</v>
      </c>
      <c r="Y108" s="65">
        <f t="shared" si="19"/>
        <v>47915.64</v>
      </c>
      <c r="Z108" s="203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7"/>
      <c r="PD108" s="47"/>
      <c r="PE108" s="47"/>
      <c r="PF108" s="47"/>
      <c r="PG108" s="47"/>
      <c r="PH108" s="47"/>
      <c r="PI108" s="47"/>
      <c r="PJ108" s="47"/>
      <c r="PK108" s="47"/>
      <c r="PL108" s="47"/>
      <c r="PM108" s="47"/>
      <c r="PN108" s="47"/>
      <c r="PO108" s="47"/>
      <c r="PP108" s="47"/>
      <c r="PQ108" s="47"/>
      <c r="PR108" s="47"/>
      <c r="PS108" s="47"/>
      <c r="PT108" s="47"/>
      <c r="PU108" s="47"/>
      <c r="PV108" s="47"/>
      <c r="PW108" s="47"/>
      <c r="PX108" s="47"/>
      <c r="PY108" s="47"/>
      <c r="PZ108" s="47"/>
      <c r="QA108" s="47"/>
      <c r="QB108" s="47"/>
      <c r="QC108" s="47"/>
      <c r="QD108" s="47"/>
      <c r="QE108" s="47"/>
      <c r="QF108" s="47"/>
      <c r="QG108" s="47"/>
      <c r="QH108" s="47"/>
      <c r="QI108" s="47"/>
      <c r="QJ108" s="47"/>
      <c r="QK108" s="47"/>
      <c r="QL108" s="47"/>
      <c r="QM108" s="47"/>
      <c r="QN108" s="47"/>
      <c r="QO108" s="47"/>
      <c r="QP108" s="47"/>
      <c r="QQ108" s="47"/>
      <c r="QR108" s="47"/>
      <c r="QS108" s="47"/>
      <c r="QT108" s="47"/>
      <c r="QU108" s="47"/>
      <c r="QV108" s="47"/>
      <c r="QW108" s="47"/>
      <c r="QX108" s="47"/>
      <c r="QY108" s="47"/>
      <c r="QZ108" s="47"/>
      <c r="RA108" s="47"/>
      <c r="RB108" s="47"/>
      <c r="RC108" s="47"/>
      <c r="RD108" s="47"/>
      <c r="RE108" s="47"/>
      <c r="RF108" s="47"/>
      <c r="RG108" s="47"/>
      <c r="RH108" s="47"/>
      <c r="RI108" s="47"/>
      <c r="RJ108" s="47"/>
      <c r="RK108" s="47"/>
      <c r="RL108" s="47"/>
      <c r="RM108" s="47"/>
      <c r="RN108" s="47"/>
      <c r="RO108" s="47"/>
      <c r="RP108" s="47"/>
      <c r="RQ108" s="47"/>
      <c r="RR108" s="47"/>
      <c r="RS108" s="47"/>
      <c r="RT108" s="47"/>
      <c r="RU108" s="47"/>
      <c r="RV108" s="47"/>
      <c r="RW108" s="47"/>
      <c r="RX108" s="47"/>
      <c r="RY108" s="47"/>
      <c r="RZ108" s="47"/>
      <c r="SA108" s="47"/>
      <c r="SB108" s="47"/>
      <c r="SC108" s="47"/>
      <c r="SD108" s="47"/>
      <c r="SE108" s="47"/>
      <c r="SF108" s="47"/>
      <c r="SG108" s="47"/>
      <c r="SH108" s="47"/>
      <c r="SI108" s="47"/>
      <c r="SJ108" s="47"/>
      <c r="SK108" s="47"/>
      <c r="SL108" s="47"/>
      <c r="SM108" s="47"/>
      <c r="SN108" s="47"/>
      <c r="SO108" s="47"/>
      <c r="SP108" s="47"/>
      <c r="SQ108" s="47"/>
      <c r="SR108" s="47"/>
      <c r="SS108" s="47"/>
      <c r="ST108" s="47"/>
      <c r="SU108" s="47"/>
      <c r="SV108" s="47"/>
      <c r="SW108" s="47"/>
      <c r="SX108" s="47"/>
      <c r="SY108" s="47"/>
      <c r="SZ108" s="47"/>
      <c r="TA108" s="47"/>
      <c r="TB108" s="47"/>
      <c r="TC108" s="47"/>
      <c r="TD108" s="47"/>
      <c r="TE108" s="47"/>
      <c r="TF108" s="47"/>
      <c r="TG108" s="47"/>
      <c r="TH108" s="47"/>
      <c r="TI108" s="47"/>
      <c r="TJ108" s="47"/>
      <c r="TK108" s="47"/>
      <c r="TL108" s="47"/>
      <c r="TM108" s="47"/>
      <c r="TN108" s="47"/>
      <c r="TO108" s="47"/>
      <c r="TP108" s="47"/>
      <c r="TQ108" s="47"/>
      <c r="TR108" s="47"/>
      <c r="TS108" s="47"/>
      <c r="TT108" s="47"/>
      <c r="TU108" s="47"/>
      <c r="TV108" s="47"/>
      <c r="TW108" s="47"/>
      <c r="TX108" s="47"/>
      <c r="TY108" s="47"/>
      <c r="TZ108" s="47"/>
      <c r="UA108" s="47"/>
      <c r="UB108" s="47"/>
      <c r="UC108" s="47"/>
      <c r="UD108" s="47"/>
      <c r="UE108" s="47"/>
      <c r="UF108" s="47"/>
      <c r="UG108" s="47"/>
      <c r="UH108" s="47"/>
      <c r="UI108" s="47"/>
      <c r="UJ108" s="47"/>
      <c r="UK108" s="47"/>
      <c r="UL108" s="47"/>
      <c r="UM108" s="47"/>
      <c r="UN108" s="47"/>
      <c r="UO108" s="47"/>
      <c r="UP108" s="47"/>
      <c r="UQ108" s="47"/>
      <c r="UR108" s="47"/>
      <c r="US108" s="47"/>
      <c r="UT108" s="47"/>
      <c r="UU108" s="47"/>
      <c r="UV108" s="47"/>
      <c r="UW108" s="47"/>
      <c r="UX108" s="47"/>
      <c r="UY108" s="47"/>
      <c r="UZ108" s="47"/>
      <c r="VA108" s="47"/>
      <c r="VB108" s="47"/>
      <c r="VC108" s="47"/>
      <c r="VD108" s="47"/>
      <c r="VE108" s="47"/>
      <c r="VF108" s="47"/>
    </row>
    <row r="109" spans="1:578" s="41" customFormat="1" ht="51.75" customHeight="1" x14ac:dyDescent="0.2">
      <c r="A109" s="64" t="s">
        <v>567</v>
      </c>
      <c r="B109" s="90" t="str">
        <f>'дод 3'!A193</f>
        <v>7700</v>
      </c>
      <c r="C109" s="90" t="str">
        <f>'дод 3'!B193</f>
        <v>0133</v>
      </c>
      <c r="D109" s="42" t="str">
        <f>'дод 3'!C193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9" s="65">
        <v>0</v>
      </c>
      <c r="F109" s="65"/>
      <c r="G109" s="65"/>
      <c r="H109" s="65"/>
      <c r="I109" s="65"/>
      <c r="J109" s="65"/>
      <c r="K109" s="130"/>
      <c r="L109" s="65">
        <f t="shared" ref="L109:L114" si="31">N109+Q109</f>
        <v>9592653.5800000001</v>
      </c>
      <c r="M109" s="65"/>
      <c r="N109" s="65"/>
      <c r="O109" s="65"/>
      <c r="P109" s="65"/>
      <c r="Q109" s="65">
        <f>5760000+3832653.58</f>
        <v>9592653.5800000001</v>
      </c>
      <c r="R109" s="65">
        <f t="shared" si="21"/>
        <v>0</v>
      </c>
      <c r="S109" s="65"/>
      <c r="T109" s="65"/>
      <c r="U109" s="65"/>
      <c r="V109" s="65"/>
      <c r="W109" s="65"/>
      <c r="X109" s="132">
        <f t="shared" si="18"/>
        <v>0</v>
      </c>
      <c r="Y109" s="65">
        <f t="shared" si="19"/>
        <v>0</v>
      </c>
      <c r="Z109" s="203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</row>
    <row r="110" spans="1:578" s="41" customFormat="1" ht="15" hidden="1" customHeight="1" x14ac:dyDescent="0.2">
      <c r="A110" s="39" t="s">
        <v>550</v>
      </c>
      <c r="B110" s="90" t="s">
        <v>17</v>
      </c>
      <c r="C110" s="90" t="s">
        <v>125</v>
      </c>
      <c r="D110" s="42" t="s">
        <v>18</v>
      </c>
      <c r="E110" s="65">
        <v>0</v>
      </c>
      <c r="F110" s="65"/>
      <c r="G110" s="65"/>
      <c r="H110" s="65"/>
      <c r="I110" s="65"/>
      <c r="J110" s="65"/>
      <c r="K110" s="130" t="e">
        <f t="shared" si="20"/>
        <v>#DIV/0!</v>
      </c>
      <c r="L110" s="65">
        <f t="shared" si="17"/>
        <v>0</v>
      </c>
      <c r="M110" s="65"/>
      <c r="N110" s="65"/>
      <c r="O110" s="65"/>
      <c r="P110" s="65"/>
      <c r="Q110" s="65"/>
      <c r="R110" s="65">
        <f t="shared" si="21"/>
        <v>0</v>
      </c>
      <c r="S110" s="65"/>
      <c r="T110" s="65"/>
      <c r="U110" s="65"/>
      <c r="V110" s="65"/>
      <c r="W110" s="65"/>
      <c r="X110" s="132" t="e">
        <f t="shared" si="18"/>
        <v>#DIV/0!</v>
      </c>
      <c r="Y110" s="65">
        <f t="shared" si="19"/>
        <v>0</v>
      </c>
      <c r="Z110" s="203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</row>
    <row r="111" spans="1:578" s="41" customFormat="1" ht="51.75" customHeight="1" x14ac:dyDescent="0.2">
      <c r="A111" s="64" t="s">
        <v>572</v>
      </c>
      <c r="B111" s="90">
        <v>9510</v>
      </c>
      <c r="C111" s="90" t="s">
        <v>69</v>
      </c>
      <c r="D111" s="42" t="s">
        <v>574</v>
      </c>
      <c r="E111" s="65">
        <v>169000</v>
      </c>
      <c r="F111" s="65"/>
      <c r="G111" s="65"/>
      <c r="H111" s="65"/>
      <c r="I111" s="65"/>
      <c r="J111" s="65"/>
      <c r="K111" s="130">
        <f t="shared" si="20"/>
        <v>0</v>
      </c>
      <c r="L111" s="65">
        <f t="shared" si="31"/>
        <v>0</v>
      </c>
      <c r="M111" s="65"/>
      <c r="N111" s="65"/>
      <c r="O111" s="65"/>
      <c r="P111" s="65"/>
      <c r="Q111" s="65"/>
      <c r="R111" s="65">
        <f t="shared" si="21"/>
        <v>0</v>
      </c>
      <c r="S111" s="65"/>
      <c r="T111" s="65"/>
      <c r="U111" s="65"/>
      <c r="V111" s="65"/>
      <c r="W111" s="65"/>
      <c r="X111" s="132"/>
      <c r="Y111" s="65">
        <f t="shared" si="19"/>
        <v>0</v>
      </c>
      <c r="Z111" s="203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</row>
    <row r="112" spans="1:578" s="41" customFormat="1" x14ac:dyDescent="0.2">
      <c r="A112" s="64"/>
      <c r="B112" s="90"/>
      <c r="C112" s="90"/>
      <c r="D112" s="40" t="s">
        <v>344</v>
      </c>
      <c r="E112" s="65">
        <v>169000</v>
      </c>
      <c r="F112" s="65"/>
      <c r="G112" s="65"/>
      <c r="H112" s="65"/>
      <c r="I112" s="65"/>
      <c r="J112" s="65"/>
      <c r="K112" s="130">
        <f t="shared" si="20"/>
        <v>0</v>
      </c>
      <c r="L112" s="65">
        <f t="shared" si="31"/>
        <v>0</v>
      </c>
      <c r="M112" s="65"/>
      <c r="N112" s="65"/>
      <c r="O112" s="65"/>
      <c r="P112" s="65"/>
      <c r="Q112" s="65"/>
      <c r="R112" s="65">
        <f t="shared" si="21"/>
        <v>0</v>
      </c>
      <c r="S112" s="65"/>
      <c r="T112" s="65"/>
      <c r="U112" s="65"/>
      <c r="V112" s="65"/>
      <c r="W112" s="65"/>
      <c r="X112" s="132"/>
      <c r="Y112" s="65">
        <f t="shared" si="19"/>
        <v>0</v>
      </c>
      <c r="Z112" s="203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  <c r="SK112" s="47"/>
      <c r="SL112" s="47"/>
      <c r="SM112" s="47"/>
      <c r="SN112" s="47"/>
      <c r="SO112" s="47"/>
      <c r="SP112" s="47"/>
      <c r="SQ112" s="47"/>
      <c r="SR112" s="47"/>
      <c r="SS112" s="47"/>
      <c r="ST112" s="47"/>
      <c r="SU112" s="47"/>
      <c r="SV112" s="47"/>
      <c r="SW112" s="47"/>
      <c r="SX112" s="47"/>
      <c r="SY112" s="47"/>
      <c r="SZ112" s="47"/>
      <c r="TA112" s="47"/>
      <c r="TB112" s="47"/>
      <c r="TC112" s="47"/>
      <c r="TD112" s="47"/>
      <c r="TE112" s="47"/>
      <c r="TF112" s="47"/>
      <c r="TG112" s="47"/>
      <c r="TH112" s="47"/>
      <c r="TI112" s="47"/>
      <c r="TJ112" s="47"/>
      <c r="TK112" s="47"/>
      <c r="TL112" s="47"/>
      <c r="TM112" s="47"/>
      <c r="TN112" s="47"/>
      <c r="TO112" s="47"/>
      <c r="TP112" s="47"/>
      <c r="TQ112" s="47"/>
      <c r="TR112" s="47"/>
      <c r="TS112" s="47"/>
      <c r="TT112" s="47"/>
      <c r="TU112" s="47"/>
      <c r="TV112" s="47"/>
      <c r="TW112" s="47"/>
      <c r="TX112" s="47"/>
      <c r="TY112" s="47"/>
      <c r="TZ112" s="47"/>
      <c r="UA112" s="47"/>
      <c r="UB112" s="47"/>
      <c r="UC112" s="47"/>
      <c r="UD112" s="47"/>
      <c r="UE112" s="47"/>
      <c r="UF112" s="47"/>
      <c r="UG112" s="47"/>
      <c r="UH112" s="47"/>
      <c r="UI112" s="47"/>
      <c r="UJ112" s="47"/>
      <c r="UK112" s="47"/>
      <c r="UL112" s="47"/>
      <c r="UM112" s="47"/>
      <c r="UN112" s="47"/>
      <c r="UO112" s="47"/>
      <c r="UP112" s="47"/>
      <c r="UQ112" s="47"/>
      <c r="UR112" s="47"/>
      <c r="US112" s="47"/>
      <c r="UT112" s="47"/>
      <c r="UU112" s="47"/>
      <c r="UV112" s="47"/>
      <c r="UW112" s="47"/>
      <c r="UX112" s="47"/>
      <c r="UY112" s="47"/>
      <c r="UZ112" s="47"/>
      <c r="VA112" s="47"/>
      <c r="VB112" s="47"/>
      <c r="VC112" s="47"/>
      <c r="VD112" s="47"/>
      <c r="VE112" s="47"/>
      <c r="VF112" s="47"/>
    </row>
    <row r="113" spans="1:578" s="41" customFormat="1" ht="75" x14ac:dyDescent="0.2">
      <c r="A113" s="64" t="s">
        <v>576</v>
      </c>
      <c r="B113" s="90">
        <v>9570</v>
      </c>
      <c r="C113" s="90" t="s">
        <v>69</v>
      </c>
      <c r="D113" s="40" t="s">
        <v>590</v>
      </c>
      <c r="E113" s="65">
        <v>61000</v>
      </c>
      <c r="F113" s="65"/>
      <c r="G113" s="65"/>
      <c r="H113" s="65"/>
      <c r="I113" s="65"/>
      <c r="J113" s="65"/>
      <c r="K113" s="130">
        <f t="shared" si="20"/>
        <v>0</v>
      </c>
      <c r="L113" s="65">
        <f t="shared" si="31"/>
        <v>0</v>
      </c>
      <c r="M113" s="65"/>
      <c r="N113" s="65"/>
      <c r="O113" s="65"/>
      <c r="P113" s="65"/>
      <c r="Q113" s="65"/>
      <c r="R113" s="65">
        <f t="shared" si="21"/>
        <v>0</v>
      </c>
      <c r="S113" s="65"/>
      <c r="T113" s="65"/>
      <c r="U113" s="65"/>
      <c r="V113" s="65"/>
      <c r="W113" s="65"/>
      <c r="X113" s="132"/>
      <c r="Y113" s="65">
        <f t="shared" si="19"/>
        <v>0</v>
      </c>
      <c r="Z113" s="203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</row>
    <row r="114" spans="1:578" s="41" customFormat="1" x14ac:dyDescent="0.2">
      <c r="A114" s="64"/>
      <c r="B114" s="90"/>
      <c r="C114" s="90"/>
      <c r="D114" s="40" t="s">
        <v>344</v>
      </c>
      <c r="E114" s="65">
        <v>61000</v>
      </c>
      <c r="F114" s="65"/>
      <c r="G114" s="65"/>
      <c r="H114" s="65"/>
      <c r="I114" s="65"/>
      <c r="J114" s="65"/>
      <c r="K114" s="130">
        <f t="shared" si="20"/>
        <v>0</v>
      </c>
      <c r="L114" s="65">
        <f t="shared" si="31"/>
        <v>0</v>
      </c>
      <c r="M114" s="65"/>
      <c r="N114" s="65"/>
      <c r="O114" s="65"/>
      <c r="P114" s="65"/>
      <c r="Q114" s="65"/>
      <c r="R114" s="65">
        <f t="shared" si="21"/>
        <v>0</v>
      </c>
      <c r="S114" s="65"/>
      <c r="T114" s="65"/>
      <c r="U114" s="65"/>
      <c r="V114" s="65"/>
      <c r="W114" s="65"/>
      <c r="X114" s="132"/>
      <c r="Y114" s="65">
        <f t="shared" si="19"/>
        <v>0</v>
      </c>
      <c r="Z114" s="203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  <c r="OB114" s="47"/>
      <c r="OC114" s="47"/>
      <c r="OD114" s="47"/>
      <c r="OE114" s="47"/>
      <c r="OF114" s="47"/>
      <c r="OG114" s="47"/>
      <c r="OH114" s="47"/>
      <c r="OI114" s="47"/>
      <c r="OJ114" s="47"/>
      <c r="OK114" s="47"/>
      <c r="OL114" s="47"/>
      <c r="OM114" s="47"/>
      <c r="ON114" s="47"/>
      <c r="OO114" s="47"/>
      <c r="OP114" s="47"/>
      <c r="OQ114" s="47"/>
      <c r="OR114" s="47"/>
      <c r="OS114" s="47"/>
      <c r="OT114" s="47"/>
      <c r="OU114" s="47"/>
      <c r="OV114" s="47"/>
      <c r="OW114" s="47"/>
      <c r="OX114" s="47"/>
      <c r="OY114" s="47"/>
      <c r="OZ114" s="47"/>
      <c r="PA114" s="47"/>
      <c r="PB114" s="47"/>
      <c r="PC114" s="47"/>
      <c r="PD114" s="47"/>
      <c r="PE114" s="47"/>
      <c r="PF114" s="47"/>
      <c r="PG114" s="47"/>
      <c r="PH114" s="47"/>
      <c r="PI114" s="47"/>
      <c r="PJ114" s="47"/>
      <c r="PK114" s="47"/>
      <c r="PL114" s="47"/>
      <c r="PM114" s="47"/>
      <c r="PN114" s="47"/>
      <c r="PO114" s="47"/>
      <c r="PP114" s="47"/>
      <c r="PQ114" s="47"/>
      <c r="PR114" s="47"/>
      <c r="PS114" s="47"/>
      <c r="PT114" s="47"/>
      <c r="PU114" s="47"/>
      <c r="PV114" s="47"/>
      <c r="PW114" s="47"/>
      <c r="PX114" s="47"/>
      <c r="PY114" s="47"/>
      <c r="PZ114" s="47"/>
      <c r="QA114" s="47"/>
      <c r="QB114" s="47"/>
      <c r="QC114" s="47"/>
      <c r="QD114" s="47"/>
      <c r="QE114" s="47"/>
      <c r="QF114" s="47"/>
      <c r="QG114" s="47"/>
      <c r="QH114" s="47"/>
      <c r="QI114" s="47"/>
      <c r="QJ114" s="47"/>
      <c r="QK114" s="47"/>
      <c r="QL114" s="47"/>
      <c r="QM114" s="47"/>
      <c r="QN114" s="47"/>
      <c r="QO114" s="47"/>
      <c r="QP114" s="47"/>
      <c r="QQ114" s="47"/>
      <c r="QR114" s="47"/>
      <c r="QS114" s="47"/>
      <c r="QT114" s="47"/>
      <c r="QU114" s="47"/>
      <c r="QV114" s="47"/>
      <c r="QW114" s="47"/>
      <c r="QX114" s="47"/>
      <c r="QY114" s="47"/>
      <c r="QZ114" s="47"/>
      <c r="RA114" s="47"/>
      <c r="RB114" s="47"/>
      <c r="RC114" s="47"/>
      <c r="RD114" s="47"/>
      <c r="RE114" s="47"/>
      <c r="RF114" s="47"/>
      <c r="RG114" s="47"/>
      <c r="RH114" s="47"/>
      <c r="RI114" s="47"/>
      <c r="RJ114" s="47"/>
      <c r="RK114" s="47"/>
      <c r="RL114" s="47"/>
      <c r="RM114" s="47"/>
      <c r="RN114" s="47"/>
      <c r="RO114" s="47"/>
      <c r="RP114" s="47"/>
      <c r="RQ114" s="47"/>
      <c r="RR114" s="47"/>
      <c r="RS114" s="47"/>
      <c r="RT114" s="47"/>
      <c r="RU114" s="47"/>
      <c r="RV114" s="47"/>
      <c r="RW114" s="47"/>
      <c r="RX114" s="47"/>
      <c r="RY114" s="47"/>
      <c r="RZ114" s="47"/>
      <c r="SA114" s="47"/>
      <c r="SB114" s="47"/>
      <c r="SC114" s="47"/>
      <c r="SD114" s="47"/>
      <c r="SE114" s="47"/>
      <c r="SF114" s="47"/>
      <c r="SG114" s="47"/>
      <c r="SH114" s="47"/>
      <c r="SI114" s="47"/>
      <c r="SJ114" s="47"/>
      <c r="SK114" s="47"/>
      <c r="SL114" s="47"/>
      <c r="SM114" s="47"/>
      <c r="SN114" s="47"/>
      <c r="SO114" s="47"/>
      <c r="SP114" s="47"/>
      <c r="SQ114" s="47"/>
      <c r="SR114" s="47"/>
      <c r="SS114" s="47"/>
      <c r="ST114" s="47"/>
      <c r="SU114" s="47"/>
      <c r="SV114" s="47"/>
      <c r="SW114" s="47"/>
      <c r="SX114" s="47"/>
      <c r="SY114" s="47"/>
      <c r="SZ114" s="47"/>
      <c r="TA114" s="47"/>
      <c r="TB114" s="47"/>
      <c r="TC114" s="47"/>
      <c r="TD114" s="47"/>
      <c r="TE114" s="47"/>
      <c r="TF114" s="47"/>
      <c r="TG114" s="47"/>
      <c r="TH114" s="47"/>
      <c r="TI114" s="47"/>
      <c r="TJ114" s="47"/>
      <c r="TK114" s="47"/>
      <c r="TL114" s="47"/>
      <c r="TM114" s="47"/>
      <c r="TN114" s="47"/>
      <c r="TO114" s="47"/>
      <c r="TP114" s="47"/>
      <c r="TQ114" s="47"/>
      <c r="TR114" s="47"/>
      <c r="TS114" s="47"/>
      <c r="TT114" s="47"/>
      <c r="TU114" s="47"/>
      <c r="TV114" s="47"/>
      <c r="TW114" s="47"/>
      <c r="TX114" s="47"/>
      <c r="TY114" s="47"/>
      <c r="TZ114" s="47"/>
      <c r="UA114" s="47"/>
      <c r="UB114" s="47"/>
      <c r="UC114" s="47"/>
      <c r="UD114" s="47"/>
      <c r="UE114" s="47"/>
      <c r="UF114" s="47"/>
      <c r="UG114" s="47"/>
      <c r="UH114" s="47"/>
      <c r="UI114" s="47"/>
      <c r="UJ114" s="47"/>
      <c r="UK114" s="47"/>
      <c r="UL114" s="47"/>
      <c r="UM114" s="47"/>
      <c r="UN114" s="47"/>
      <c r="UO114" s="47"/>
      <c r="UP114" s="47"/>
      <c r="UQ114" s="47"/>
      <c r="UR114" s="47"/>
      <c r="US114" s="47"/>
      <c r="UT114" s="47"/>
      <c r="UU114" s="47"/>
      <c r="UV114" s="47"/>
      <c r="UW114" s="47"/>
      <c r="UX114" s="47"/>
      <c r="UY114" s="47"/>
      <c r="UZ114" s="47"/>
      <c r="VA114" s="47"/>
      <c r="VB114" s="47"/>
      <c r="VC114" s="47"/>
      <c r="VD114" s="47"/>
      <c r="VE114" s="47"/>
      <c r="VF114" s="47"/>
    </row>
    <row r="115" spans="1:578" s="41" customFormat="1" ht="15" hidden="1" customHeight="1" x14ac:dyDescent="0.2">
      <c r="A115" s="39" t="s">
        <v>530</v>
      </c>
      <c r="B115" s="90" t="s">
        <v>24</v>
      </c>
      <c r="C115" s="90" t="s">
        <v>531</v>
      </c>
      <c r="D115" s="87" t="s">
        <v>343</v>
      </c>
      <c r="E115" s="65">
        <v>0</v>
      </c>
      <c r="F115" s="65"/>
      <c r="G115" s="65"/>
      <c r="H115" s="65"/>
      <c r="I115" s="65"/>
      <c r="J115" s="65"/>
      <c r="K115" s="129" t="e">
        <f t="shared" si="20"/>
        <v>#DIV/0!</v>
      </c>
      <c r="L115" s="65">
        <f t="shared" si="17"/>
        <v>0</v>
      </c>
      <c r="M115" s="65"/>
      <c r="N115" s="65"/>
      <c r="O115" s="65"/>
      <c r="P115" s="65"/>
      <c r="Q115" s="65"/>
      <c r="R115" s="65">
        <f t="shared" si="21"/>
        <v>0</v>
      </c>
      <c r="S115" s="65"/>
      <c r="T115" s="65"/>
      <c r="U115" s="65"/>
      <c r="V115" s="65"/>
      <c r="W115" s="65"/>
      <c r="X115" s="131" t="e">
        <f t="shared" si="18"/>
        <v>#DIV/0!</v>
      </c>
      <c r="Y115" s="79">
        <f t="shared" si="19"/>
        <v>0</v>
      </c>
      <c r="Z115" s="203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  <c r="NW115" s="47"/>
      <c r="NX115" s="47"/>
      <c r="NY115" s="47"/>
      <c r="NZ115" s="47"/>
      <c r="OA115" s="47"/>
      <c r="OB115" s="47"/>
      <c r="OC115" s="47"/>
      <c r="OD115" s="47"/>
      <c r="OE115" s="47"/>
      <c r="OF115" s="47"/>
      <c r="OG115" s="47"/>
      <c r="OH115" s="47"/>
      <c r="OI115" s="47"/>
      <c r="OJ115" s="47"/>
      <c r="OK115" s="47"/>
      <c r="OL115" s="47"/>
      <c r="OM115" s="47"/>
      <c r="ON115" s="47"/>
      <c r="OO115" s="47"/>
      <c r="OP115" s="47"/>
      <c r="OQ115" s="47"/>
      <c r="OR115" s="47"/>
      <c r="OS115" s="47"/>
      <c r="OT115" s="47"/>
      <c r="OU115" s="47"/>
      <c r="OV115" s="47"/>
      <c r="OW115" s="47"/>
      <c r="OX115" s="47"/>
      <c r="OY115" s="47"/>
      <c r="OZ115" s="47"/>
      <c r="PA115" s="47"/>
      <c r="PB115" s="47"/>
      <c r="PC115" s="47"/>
      <c r="PD115" s="47"/>
      <c r="PE115" s="47"/>
      <c r="PF115" s="47"/>
      <c r="PG115" s="47"/>
      <c r="PH115" s="47"/>
      <c r="PI115" s="47"/>
      <c r="PJ115" s="47"/>
      <c r="PK115" s="47"/>
      <c r="PL115" s="47"/>
      <c r="PM115" s="47"/>
      <c r="PN115" s="47"/>
      <c r="PO115" s="47"/>
      <c r="PP115" s="47"/>
      <c r="PQ115" s="47"/>
      <c r="PR115" s="47"/>
      <c r="PS115" s="47"/>
      <c r="PT115" s="47"/>
      <c r="PU115" s="47"/>
      <c r="PV115" s="47"/>
      <c r="PW115" s="47"/>
      <c r="PX115" s="47"/>
      <c r="PY115" s="47"/>
      <c r="PZ115" s="47"/>
      <c r="QA115" s="47"/>
      <c r="QB115" s="47"/>
      <c r="QC115" s="47"/>
      <c r="QD115" s="47"/>
      <c r="QE115" s="47"/>
      <c r="QF115" s="47"/>
      <c r="QG115" s="47"/>
      <c r="QH115" s="47"/>
      <c r="QI115" s="47"/>
      <c r="QJ115" s="47"/>
      <c r="QK115" s="47"/>
      <c r="QL115" s="47"/>
      <c r="QM115" s="47"/>
      <c r="QN115" s="47"/>
      <c r="QO115" s="47"/>
      <c r="QP115" s="47"/>
      <c r="QQ115" s="47"/>
      <c r="QR115" s="47"/>
      <c r="QS115" s="47"/>
      <c r="QT115" s="47"/>
      <c r="QU115" s="47"/>
      <c r="QV115" s="47"/>
      <c r="QW115" s="47"/>
      <c r="QX115" s="47"/>
      <c r="QY115" s="47"/>
      <c r="QZ115" s="47"/>
      <c r="RA115" s="47"/>
      <c r="RB115" s="47"/>
      <c r="RC115" s="47"/>
      <c r="RD115" s="47"/>
      <c r="RE115" s="47"/>
      <c r="RF115" s="47"/>
      <c r="RG115" s="47"/>
      <c r="RH115" s="47"/>
      <c r="RI115" s="47"/>
      <c r="RJ115" s="47"/>
      <c r="RK115" s="47"/>
      <c r="RL115" s="47"/>
      <c r="RM115" s="47"/>
      <c r="RN115" s="47"/>
      <c r="RO115" s="47"/>
      <c r="RP115" s="47"/>
      <c r="RQ115" s="47"/>
      <c r="RR115" s="47"/>
      <c r="RS115" s="47"/>
      <c r="RT115" s="47"/>
      <c r="RU115" s="47"/>
      <c r="RV115" s="47"/>
      <c r="RW115" s="47"/>
      <c r="RX115" s="47"/>
      <c r="RY115" s="47"/>
      <c r="RZ115" s="47"/>
      <c r="SA115" s="47"/>
      <c r="SB115" s="47"/>
      <c r="SC115" s="47"/>
      <c r="SD115" s="47"/>
      <c r="SE115" s="47"/>
      <c r="SF115" s="47"/>
      <c r="SG115" s="47"/>
      <c r="SH115" s="47"/>
      <c r="SI115" s="47"/>
      <c r="SJ115" s="47"/>
      <c r="SK115" s="47"/>
      <c r="SL115" s="47"/>
      <c r="SM115" s="47"/>
      <c r="SN115" s="47"/>
      <c r="SO115" s="47"/>
      <c r="SP115" s="47"/>
      <c r="SQ115" s="47"/>
      <c r="SR115" s="47"/>
      <c r="SS115" s="47"/>
      <c r="ST115" s="47"/>
      <c r="SU115" s="47"/>
      <c r="SV115" s="47"/>
      <c r="SW115" s="47"/>
      <c r="SX115" s="47"/>
      <c r="SY115" s="47"/>
      <c r="SZ115" s="47"/>
      <c r="TA115" s="47"/>
      <c r="TB115" s="47"/>
      <c r="TC115" s="47"/>
      <c r="TD115" s="47"/>
      <c r="TE115" s="47"/>
      <c r="TF115" s="47"/>
      <c r="TG115" s="47"/>
      <c r="TH115" s="47"/>
      <c r="TI115" s="47"/>
      <c r="TJ115" s="47"/>
      <c r="TK115" s="47"/>
      <c r="TL115" s="47"/>
      <c r="TM115" s="47"/>
      <c r="TN115" s="47"/>
      <c r="TO115" s="47"/>
      <c r="TP115" s="47"/>
      <c r="TQ115" s="47"/>
      <c r="TR115" s="47"/>
      <c r="TS115" s="47"/>
      <c r="TT115" s="47"/>
      <c r="TU115" s="47"/>
      <c r="TV115" s="47"/>
      <c r="TW115" s="47"/>
      <c r="TX115" s="47"/>
      <c r="TY115" s="47"/>
      <c r="TZ115" s="47"/>
      <c r="UA115" s="47"/>
      <c r="UB115" s="47"/>
      <c r="UC115" s="47"/>
      <c r="UD115" s="47"/>
      <c r="UE115" s="47"/>
      <c r="UF115" s="47"/>
      <c r="UG115" s="47"/>
      <c r="UH115" s="47"/>
      <c r="UI115" s="47"/>
      <c r="UJ115" s="47"/>
      <c r="UK115" s="47"/>
      <c r="UL115" s="47"/>
      <c r="UM115" s="47"/>
      <c r="UN115" s="47"/>
      <c r="UO115" s="47"/>
      <c r="UP115" s="47"/>
      <c r="UQ115" s="47"/>
      <c r="UR115" s="47"/>
      <c r="US115" s="47"/>
      <c r="UT115" s="47"/>
      <c r="UU115" s="47"/>
      <c r="UV115" s="47"/>
      <c r="UW115" s="47"/>
      <c r="UX115" s="47"/>
      <c r="UY115" s="47"/>
      <c r="UZ115" s="47"/>
      <c r="VA115" s="47"/>
      <c r="VB115" s="47"/>
      <c r="VC115" s="47"/>
      <c r="VD115" s="47"/>
      <c r="VE115" s="47"/>
      <c r="VF115" s="47"/>
    </row>
    <row r="116" spans="1:578" s="57" customFormat="1" ht="28.5" x14ac:dyDescent="0.2">
      <c r="A116" s="55" t="s">
        <v>241</v>
      </c>
      <c r="B116" s="99"/>
      <c r="C116" s="99"/>
      <c r="D116" s="56" t="s">
        <v>61</v>
      </c>
      <c r="E116" s="79">
        <v>770733353.67000008</v>
      </c>
      <c r="F116" s="79">
        <f t="shared" ref="F116:W116" si="32">F117</f>
        <v>49672752</v>
      </c>
      <c r="G116" s="79">
        <f t="shared" si="32"/>
        <v>1640139</v>
      </c>
      <c r="H116" s="79">
        <f t="shared" si="32"/>
        <v>225764181.79999998</v>
      </c>
      <c r="I116" s="79">
        <f t="shared" si="32"/>
        <v>10881337.530000001</v>
      </c>
      <c r="J116" s="79">
        <f t="shared" si="32"/>
        <v>559081.24</v>
      </c>
      <c r="K116" s="129">
        <f t="shared" si="20"/>
        <v>29.292125574296087</v>
      </c>
      <c r="L116" s="79">
        <f t="shared" si="32"/>
        <v>1967919</v>
      </c>
      <c r="M116" s="79">
        <f t="shared" si="32"/>
        <v>1872389</v>
      </c>
      <c r="N116" s="79">
        <f t="shared" si="32"/>
        <v>95530</v>
      </c>
      <c r="O116" s="79">
        <f t="shared" si="32"/>
        <v>75100</v>
      </c>
      <c r="P116" s="79">
        <f t="shared" si="32"/>
        <v>0</v>
      </c>
      <c r="Q116" s="79">
        <f t="shared" si="32"/>
        <v>1872389</v>
      </c>
      <c r="R116" s="79">
        <f t="shared" si="32"/>
        <v>243391.38</v>
      </c>
      <c r="S116" s="79">
        <f t="shared" si="32"/>
        <v>119789</v>
      </c>
      <c r="T116" s="79">
        <f t="shared" si="32"/>
        <v>123602.38</v>
      </c>
      <c r="U116" s="79">
        <f t="shared" si="32"/>
        <v>91401.94</v>
      </c>
      <c r="V116" s="79">
        <f t="shared" si="32"/>
        <v>0</v>
      </c>
      <c r="W116" s="79">
        <f t="shared" si="32"/>
        <v>119789</v>
      </c>
      <c r="X116" s="131">
        <f t="shared" si="18"/>
        <v>12.367957217751341</v>
      </c>
      <c r="Y116" s="79">
        <f t="shared" si="19"/>
        <v>226007573.17999998</v>
      </c>
      <c r="Z116" s="20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  <c r="IV116" s="73"/>
      <c r="IW116" s="73"/>
      <c r="IX116" s="73"/>
      <c r="IY116" s="73"/>
      <c r="IZ116" s="73"/>
      <c r="JA116" s="73"/>
      <c r="JB116" s="73"/>
      <c r="JC116" s="73"/>
      <c r="JD116" s="73"/>
      <c r="JE116" s="73"/>
      <c r="JF116" s="73"/>
      <c r="JG116" s="73"/>
      <c r="JH116" s="73"/>
      <c r="JI116" s="73"/>
      <c r="JJ116" s="73"/>
      <c r="JK116" s="73"/>
      <c r="JL116" s="73"/>
      <c r="JM116" s="73"/>
      <c r="JN116" s="73"/>
      <c r="JO116" s="73"/>
      <c r="JP116" s="73"/>
      <c r="JQ116" s="73"/>
      <c r="JR116" s="73"/>
      <c r="JS116" s="73"/>
      <c r="JT116" s="73"/>
      <c r="JU116" s="73"/>
      <c r="JV116" s="73"/>
      <c r="JW116" s="73"/>
      <c r="JX116" s="73"/>
      <c r="JY116" s="73"/>
      <c r="JZ116" s="73"/>
      <c r="KA116" s="73"/>
      <c r="KB116" s="73"/>
      <c r="KC116" s="73"/>
      <c r="KD116" s="73"/>
      <c r="KE116" s="73"/>
      <c r="KF116" s="73"/>
      <c r="KG116" s="73"/>
      <c r="KH116" s="73"/>
      <c r="KI116" s="73"/>
      <c r="KJ116" s="73"/>
      <c r="KK116" s="73"/>
      <c r="KL116" s="73"/>
      <c r="KM116" s="73"/>
      <c r="KN116" s="73"/>
      <c r="KO116" s="73"/>
      <c r="KP116" s="73"/>
      <c r="KQ116" s="73"/>
      <c r="KR116" s="73"/>
      <c r="KS116" s="73"/>
      <c r="KT116" s="73"/>
      <c r="KU116" s="73"/>
      <c r="KV116" s="73"/>
      <c r="KW116" s="73"/>
      <c r="KX116" s="73"/>
      <c r="KY116" s="73"/>
      <c r="KZ116" s="73"/>
      <c r="LA116" s="73"/>
      <c r="LB116" s="73"/>
      <c r="LC116" s="73"/>
      <c r="LD116" s="73"/>
      <c r="LE116" s="73"/>
      <c r="LF116" s="73"/>
      <c r="LG116" s="73"/>
      <c r="LH116" s="73"/>
      <c r="LI116" s="73"/>
      <c r="LJ116" s="73"/>
      <c r="LK116" s="73"/>
      <c r="LL116" s="73"/>
      <c r="LM116" s="73"/>
      <c r="LN116" s="73"/>
      <c r="LO116" s="73"/>
      <c r="LP116" s="73"/>
      <c r="LQ116" s="73"/>
      <c r="LR116" s="73"/>
      <c r="LS116" s="73"/>
      <c r="LT116" s="73"/>
      <c r="LU116" s="73"/>
      <c r="LV116" s="73"/>
      <c r="LW116" s="73"/>
      <c r="LX116" s="73"/>
      <c r="LY116" s="73"/>
      <c r="LZ116" s="73"/>
      <c r="MA116" s="73"/>
      <c r="MB116" s="73"/>
      <c r="MC116" s="73"/>
      <c r="MD116" s="73"/>
      <c r="ME116" s="73"/>
      <c r="MF116" s="73"/>
      <c r="MG116" s="73"/>
      <c r="MH116" s="73"/>
      <c r="MI116" s="73"/>
      <c r="MJ116" s="73"/>
      <c r="MK116" s="73"/>
      <c r="ML116" s="73"/>
      <c r="MM116" s="73"/>
      <c r="MN116" s="73"/>
      <c r="MO116" s="73"/>
      <c r="MP116" s="73"/>
      <c r="MQ116" s="73"/>
      <c r="MR116" s="73"/>
      <c r="MS116" s="73"/>
      <c r="MT116" s="73"/>
      <c r="MU116" s="73"/>
      <c r="MV116" s="73"/>
      <c r="MW116" s="73"/>
      <c r="MX116" s="73"/>
      <c r="MY116" s="73"/>
      <c r="MZ116" s="73"/>
      <c r="NA116" s="73"/>
      <c r="NB116" s="73"/>
      <c r="NC116" s="73"/>
      <c r="ND116" s="73"/>
      <c r="NE116" s="73"/>
      <c r="NF116" s="73"/>
      <c r="NG116" s="73"/>
      <c r="NH116" s="73"/>
      <c r="NI116" s="73"/>
      <c r="NJ116" s="73"/>
      <c r="NK116" s="73"/>
      <c r="NL116" s="73"/>
      <c r="NM116" s="73"/>
      <c r="NN116" s="73"/>
      <c r="NO116" s="73"/>
      <c r="NP116" s="73"/>
      <c r="NQ116" s="73"/>
      <c r="NR116" s="73"/>
      <c r="NS116" s="73"/>
      <c r="NT116" s="73"/>
      <c r="NU116" s="73"/>
      <c r="NV116" s="73"/>
      <c r="NW116" s="73"/>
      <c r="NX116" s="73"/>
      <c r="NY116" s="73"/>
      <c r="NZ116" s="73"/>
      <c r="OA116" s="73"/>
      <c r="OB116" s="73"/>
      <c r="OC116" s="73"/>
      <c r="OD116" s="73"/>
      <c r="OE116" s="73"/>
      <c r="OF116" s="73"/>
      <c r="OG116" s="73"/>
      <c r="OH116" s="73"/>
      <c r="OI116" s="73"/>
      <c r="OJ116" s="73"/>
      <c r="OK116" s="73"/>
      <c r="OL116" s="73"/>
      <c r="OM116" s="73"/>
      <c r="ON116" s="73"/>
      <c r="OO116" s="73"/>
      <c r="OP116" s="73"/>
      <c r="OQ116" s="73"/>
      <c r="OR116" s="73"/>
      <c r="OS116" s="73"/>
      <c r="OT116" s="73"/>
      <c r="OU116" s="73"/>
      <c r="OV116" s="73"/>
      <c r="OW116" s="73"/>
      <c r="OX116" s="73"/>
      <c r="OY116" s="73"/>
      <c r="OZ116" s="73"/>
      <c r="PA116" s="73"/>
      <c r="PB116" s="73"/>
      <c r="PC116" s="73"/>
      <c r="PD116" s="73"/>
      <c r="PE116" s="73"/>
      <c r="PF116" s="73"/>
      <c r="PG116" s="73"/>
      <c r="PH116" s="73"/>
      <c r="PI116" s="73"/>
      <c r="PJ116" s="73"/>
      <c r="PK116" s="73"/>
      <c r="PL116" s="73"/>
      <c r="PM116" s="73"/>
      <c r="PN116" s="73"/>
      <c r="PO116" s="73"/>
      <c r="PP116" s="73"/>
      <c r="PQ116" s="73"/>
      <c r="PR116" s="73"/>
      <c r="PS116" s="73"/>
      <c r="PT116" s="73"/>
      <c r="PU116" s="73"/>
      <c r="PV116" s="73"/>
      <c r="PW116" s="73"/>
      <c r="PX116" s="73"/>
      <c r="PY116" s="73"/>
      <c r="PZ116" s="73"/>
      <c r="QA116" s="73"/>
      <c r="QB116" s="73"/>
      <c r="QC116" s="73"/>
      <c r="QD116" s="73"/>
      <c r="QE116" s="73"/>
      <c r="QF116" s="73"/>
      <c r="QG116" s="73"/>
      <c r="QH116" s="73"/>
      <c r="QI116" s="73"/>
      <c r="QJ116" s="73"/>
      <c r="QK116" s="73"/>
      <c r="QL116" s="73"/>
      <c r="QM116" s="73"/>
      <c r="QN116" s="73"/>
      <c r="QO116" s="73"/>
      <c r="QP116" s="73"/>
      <c r="QQ116" s="73"/>
      <c r="QR116" s="73"/>
      <c r="QS116" s="73"/>
      <c r="QT116" s="73"/>
      <c r="QU116" s="73"/>
      <c r="QV116" s="73"/>
      <c r="QW116" s="73"/>
      <c r="QX116" s="73"/>
      <c r="QY116" s="73"/>
      <c r="QZ116" s="73"/>
      <c r="RA116" s="73"/>
      <c r="RB116" s="73"/>
      <c r="RC116" s="73"/>
      <c r="RD116" s="73"/>
      <c r="RE116" s="73"/>
      <c r="RF116" s="73"/>
      <c r="RG116" s="73"/>
      <c r="RH116" s="73"/>
      <c r="RI116" s="73"/>
      <c r="RJ116" s="73"/>
      <c r="RK116" s="73"/>
      <c r="RL116" s="73"/>
      <c r="RM116" s="73"/>
      <c r="RN116" s="73"/>
      <c r="RO116" s="73"/>
      <c r="RP116" s="73"/>
      <c r="RQ116" s="73"/>
      <c r="RR116" s="73"/>
      <c r="RS116" s="73"/>
      <c r="RT116" s="73"/>
      <c r="RU116" s="73"/>
      <c r="RV116" s="73"/>
      <c r="RW116" s="73"/>
      <c r="RX116" s="73"/>
      <c r="RY116" s="73"/>
      <c r="RZ116" s="73"/>
      <c r="SA116" s="73"/>
      <c r="SB116" s="73"/>
      <c r="SC116" s="73"/>
      <c r="SD116" s="73"/>
      <c r="SE116" s="73"/>
      <c r="SF116" s="73"/>
      <c r="SG116" s="73"/>
      <c r="SH116" s="73"/>
      <c r="SI116" s="73"/>
      <c r="SJ116" s="73"/>
      <c r="SK116" s="73"/>
      <c r="SL116" s="73"/>
      <c r="SM116" s="73"/>
      <c r="SN116" s="73"/>
      <c r="SO116" s="73"/>
      <c r="SP116" s="73"/>
      <c r="SQ116" s="73"/>
      <c r="SR116" s="73"/>
      <c r="SS116" s="73"/>
      <c r="ST116" s="73"/>
      <c r="SU116" s="73"/>
      <c r="SV116" s="73"/>
      <c r="SW116" s="73"/>
      <c r="SX116" s="73"/>
      <c r="SY116" s="73"/>
      <c r="SZ116" s="73"/>
      <c r="TA116" s="73"/>
      <c r="TB116" s="73"/>
      <c r="TC116" s="73"/>
      <c r="TD116" s="73"/>
      <c r="TE116" s="73"/>
      <c r="TF116" s="73"/>
      <c r="TG116" s="73"/>
      <c r="TH116" s="73"/>
      <c r="TI116" s="73"/>
      <c r="TJ116" s="73"/>
      <c r="TK116" s="73"/>
      <c r="TL116" s="73"/>
      <c r="TM116" s="73"/>
      <c r="TN116" s="73"/>
      <c r="TO116" s="73"/>
      <c r="TP116" s="73"/>
      <c r="TQ116" s="73"/>
      <c r="TR116" s="73"/>
      <c r="TS116" s="73"/>
      <c r="TT116" s="73"/>
      <c r="TU116" s="73"/>
      <c r="TV116" s="73"/>
      <c r="TW116" s="73"/>
      <c r="TX116" s="73"/>
      <c r="TY116" s="73"/>
      <c r="TZ116" s="73"/>
      <c r="UA116" s="73"/>
      <c r="UB116" s="73"/>
      <c r="UC116" s="73"/>
      <c r="UD116" s="73"/>
      <c r="UE116" s="73"/>
      <c r="UF116" s="73"/>
      <c r="UG116" s="73"/>
      <c r="UH116" s="73"/>
      <c r="UI116" s="73"/>
      <c r="UJ116" s="73"/>
      <c r="UK116" s="73"/>
      <c r="UL116" s="73"/>
      <c r="UM116" s="73"/>
      <c r="UN116" s="73"/>
      <c r="UO116" s="73"/>
      <c r="UP116" s="73"/>
      <c r="UQ116" s="73"/>
      <c r="UR116" s="73"/>
      <c r="US116" s="73"/>
      <c r="UT116" s="73"/>
      <c r="UU116" s="73"/>
      <c r="UV116" s="73"/>
      <c r="UW116" s="73"/>
      <c r="UX116" s="73"/>
      <c r="UY116" s="73"/>
      <c r="UZ116" s="73"/>
      <c r="VA116" s="73"/>
      <c r="VB116" s="73"/>
      <c r="VC116" s="73"/>
      <c r="VD116" s="73"/>
      <c r="VE116" s="73"/>
      <c r="VF116" s="73"/>
    </row>
    <row r="117" spans="1:578" s="75" customFormat="1" ht="32.25" customHeight="1" x14ac:dyDescent="0.2">
      <c r="A117" s="60" t="s">
        <v>242</v>
      </c>
      <c r="B117" s="100"/>
      <c r="C117" s="100"/>
      <c r="D117" s="61" t="s">
        <v>61</v>
      </c>
      <c r="E117" s="78">
        <v>770733353.67000008</v>
      </c>
      <c r="F117" s="78">
        <f t="shared" ref="F117:Q117" si="33">F119+F120+F122+F124+F126+F128+F129+F130+F131+F132+F133+F135+F137+F139+F141+F143+F145+F149+F150+F152+F154+F156+F158+F162+F163+F147+F164+F165+F166+F167+F168+F169+F170+F171+F172+F174+F176+F178+F180+F181+F182+F183+F186+F160+F184</f>
        <v>49672752</v>
      </c>
      <c r="G117" s="78">
        <f t="shared" si="33"/>
        <v>1640139</v>
      </c>
      <c r="H117" s="78">
        <f>H119+H120+H122+H124+H126+H128+H129+H130+H131+H132+H133+H135+H137+H139+H141+H143+H145+H149+H150+H152+H154+H156+H158+H162+H163+H147+H164+H165+H166+H167+H168+H169+H170+H171+H172+H174+H176+H178+H180+H181+H182+H183+H186+H160+H184</f>
        <v>225764181.79999998</v>
      </c>
      <c r="I117" s="78">
        <f>I119+I120+I122+I124+I126+I128+I129+I130+I131+I132+I133+I135+I137+I139+I141+I143+I145+I149+I150+I152+I154+I156+I158+I162+I163+I147+I164+I165+I166+I167+I168+I169+I170+I171+I172+I174+I176+I178+I180+I181+I182+I183+I186+I160+I184</f>
        <v>10881337.530000001</v>
      </c>
      <c r="J117" s="78">
        <f>J119+J120+J122+J124+J126+J128+J129+J130+J131+J132+J133+J135+J137+J139+J141+J143+J145+J149+J150+J152+J154+J156+J158+J162+J163+J147+J164+J165+J166+J167+J168+J169+J170+J171+J172+J174+J176+J178+J180+J181+J182+J183+J186+J160+J184</f>
        <v>559081.24</v>
      </c>
      <c r="K117" s="129">
        <f t="shared" si="20"/>
        <v>29.292125574296087</v>
      </c>
      <c r="L117" s="78">
        <f t="shared" si="33"/>
        <v>1967919</v>
      </c>
      <c r="M117" s="78">
        <f t="shared" ref="M117" si="34">M119+M120+M122+M124+M126+M128+M129+M130+M131+M132+M133+M135+M137+M139+M141+M143+M145+M149+M150+M152+M154+M156+M158+M162+M163+M147+M164+M165+M166+M167+M168+M169+M170+M171+M172+M174+M176+M178+M180+M181+M182+M183+M186+M160+M184</f>
        <v>1872389</v>
      </c>
      <c r="N117" s="78">
        <f t="shared" si="33"/>
        <v>95530</v>
      </c>
      <c r="O117" s="78">
        <f t="shared" si="33"/>
        <v>75100</v>
      </c>
      <c r="P117" s="78">
        <f t="shared" si="33"/>
        <v>0</v>
      </c>
      <c r="Q117" s="78">
        <f t="shared" si="33"/>
        <v>1872389</v>
      </c>
      <c r="R117" s="78">
        <f t="shared" ref="R117:W117" si="35">R119+R120+R122+R124+R126+R128+R129+R130+R131+R132+R133+R135+R137+R139+R141+R143+R145+R149+R150+R152+R154+R156+R158+R162+R163+R147+R164+R165+R166+R167+R168+R169+R170+R171+R172+R174+R176+R178+R180+R181+R182+R183+R186+R160+R184</f>
        <v>243391.38</v>
      </c>
      <c r="S117" s="78">
        <f t="shared" ref="S117" si="36">S119+S120+S122+S124+S126+S128+S129+S130+S131+S132+S133+S135+S137+S139+S141+S143+S145+S149+S150+S152+S154+S156+S158+S162+S163+S147+S164+S165+S166+S167+S168+S169+S170+S171+S172+S174+S176+S178+S180+S181+S182+S183+S186+S160+S184</f>
        <v>119789</v>
      </c>
      <c r="T117" s="78">
        <f t="shared" si="35"/>
        <v>123602.38</v>
      </c>
      <c r="U117" s="78">
        <f t="shared" si="35"/>
        <v>91401.94</v>
      </c>
      <c r="V117" s="78">
        <f t="shared" si="35"/>
        <v>0</v>
      </c>
      <c r="W117" s="78">
        <f t="shared" si="35"/>
        <v>119789</v>
      </c>
      <c r="X117" s="131">
        <f t="shared" si="18"/>
        <v>12.367957217751341</v>
      </c>
      <c r="Y117" s="79">
        <f t="shared" si="19"/>
        <v>226007573.17999998</v>
      </c>
      <c r="Z117" s="203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  <c r="IO117" s="74"/>
      <c r="IP117" s="74"/>
      <c r="IQ117" s="74"/>
      <c r="IR117" s="74"/>
      <c r="IS117" s="74"/>
      <c r="IT117" s="74"/>
      <c r="IU117" s="74"/>
      <c r="IV117" s="74"/>
      <c r="IW117" s="74"/>
      <c r="IX117" s="74"/>
      <c r="IY117" s="74"/>
      <c r="IZ117" s="74"/>
      <c r="JA117" s="74"/>
      <c r="JB117" s="74"/>
      <c r="JC117" s="74"/>
      <c r="JD117" s="74"/>
      <c r="JE117" s="74"/>
      <c r="JF117" s="74"/>
      <c r="JG117" s="74"/>
      <c r="JH117" s="74"/>
      <c r="JI117" s="74"/>
      <c r="JJ117" s="74"/>
      <c r="JK117" s="74"/>
      <c r="JL117" s="74"/>
      <c r="JM117" s="74"/>
      <c r="JN117" s="74"/>
      <c r="JO117" s="74"/>
      <c r="JP117" s="74"/>
      <c r="JQ117" s="74"/>
      <c r="JR117" s="74"/>
      <c r="JS117" s="74"/>
      <c r="JT117" s="74"/>
      <c r="JU117" s="74"/>
      <c r="JV117" s="74"/>
      <c r="JW117" s="74"/>
      <c r="JX117" s="74"/>
      <c r="JY117" s="74"/>
      <c r="JZ117" s="74"/>
      <c r="KA117" s="74"/>
      <c r="KB117" s="74"/>
      <c r="KC117" s="74"/>
      <c r="KD117" s="74"/>
      <c r="KE117" s="74"/>
      <c r="KF117" s="74"/>
      <c r="KG117" s="74"/>
      <c r="KH117" s="74"/>
      <c r="KI117" s="74"/>
      <c r="KJ117" s="74"/>
      <c r="KK117" s="74"/>
      <c r="KL117" s="74"/>
      <c r="KM117" s="74"/>
      <c r="KN117" s="74"/>
      <c r="KO117" s="74"/>
      <c r="KP117" s="74"/>
      <c r="KQ117" s="74"/>
      <c r="KR117" s="74"/>
      <c r="KS117" s="74"/>
      <c r="KT117" s="74"/>
      <c r="KU117" s="74"/>
      <c r="KV117" s="74"/>
      <c r="KW117" s="74"/>
      <c r="KX117" s="74"/>
      <c r="KY117" s="74"/>
      <c r="KZ117" s="74"/>
      <c r="LA117" s="74"/>
      <c r="LB117" s="74"/>
      <c r="LC117" s="74"/>
      <c r="LD117" s="74"/>
      <c r="LE117" s="74"/>
      <c r="LF117" s="74"/>
      <c r="LG117" s="74"/>
      <c r="LH117" s="74"/>
      <c r="LI117" s="74"/>
      <c r="LJ117" s="74"/>
      <c r="LK117" s="74"/>
      <c r="LL117" s="74"/>
      <c r="LM117" s="74"/>
      <c r="LN117" s="74"/>
      <c r="LO117" s="74"/>
      <c r="LP117" s="74"/>
      <c r="LQ117" s="74"/>
      <c r="LR117" s="74"/>
      <c r="LS117" s="74"/>
      <c r="LT117" s="74"/>
      <c r="LU117" s="74"/>
      <c r="LV117" s="74"/>
      <c r="LW117" s="74"/>
      <c r="LX117" s="74"/>
      <c r="LY117" s="74"/>
      <c r="LZ117" s="74"/>
      <c r="MA117" s="74"/>
      <c r="MB117" s="74"/>
      <c r="MC117" s="74"/>
      <c r="MD117" s="74"/>
      <c r="ME117" s="74"/>
      <c r="MF117" s="74"/>
      <c r="MG117" s="74"/>
      <c r="MH117" s="74"/>
      <c r="MI117" s="74"/>
      <c r="MJ117" s="74"/>
      <c r="MK117" s="74"/>
      <c r="ML117" s="74"/>
      <c r="MM117" s="74"/>
      <c r="MN117" s="74"/>
      <c r="MO117" s="74"/>
      <c r="MP117" s="74"/>
      <c r="MQ117" s="74"/>
      <c r="MR117" s="74"/>
      <c r="MS117" s="74"/>
      <c r="MT117" s="74"/>
      <c r="MU117" s="74"/>
      <c r="MV117" s="74"/>
      <c r="MW117" s="74"/>
      <c r="MX117" s="74"/>
      <c r="MY117" s="74"/>
      <c r="MZ117" s="74"/>
      <c r="NA117" s="74"/>
      <c r="NB117" s="74"/>
      <c r="NC117" s="74"/>
      <c r="ND117" s="74"/>
      <c r="NE117" s="74"/>
      <c r="NF117" s="74"/>
      <c r="NG117" s="74"/>
      <c r="NH117" s="74"/>
      <c r="NI117" s="74"/>
      <c r="NJ117" s="74"/>
      <c r="NK117" s="74"/>
      <c r="NL117" s="74"/>
      <c r="NM117" s="74"/>
      <c r="NN117" s="74"/>
      <c r="NO117" s="74"/>
      <c r="NP117" s="74"/>
      <c r="NQ117" s="74"/>
      <c r="NR117" s="74"/>
      <c r="NS117" s="74"/>
      <c r="NT117" s="74"/>
      <c r="NU117" s="74"/>
      <c r="NV117" s="74"/>
      <c r="NW117" s="74"/>
      <c r="NX117" s="74"/>
      <c r="NY117" s="74"/>
      <c r="NZ117" s="74"/>
      <c r="OA117" s="74"/>
      <c r="OB117" s="74"/>
      <c r="OC117" s="74"/>
      <c r="OD117" s="74"/>
      <c r="OE117" s="74"/>
      <c r="OF117" s="74"/>
      <c r="OG117" s="74"/>
      <c r="OH117" s="74"/>
      <c r="OI117" s="74"/>
      <c r="OJ117" s="74"/>
      <c r="OK117" s="74"/>
      <c r="OL117" s="74"/>
      <c r="OM117" s="74"/>
      <c r="ON117" s="74"/>
      <c r="OO117" s="74"/>
      <c r="OP117" s="74"/>
      <c r="OQ117" s="74"/>
      <c r="OR117" s="74"/>
      <c r="OS117" s="74"/>
      <c r="OT117" s="74"/>
      <c r="OU117" s="74"/>
      <c r="OV117" s="74"/>
      <c r="OW117" s="74"/>
      <c r="OX117" s="74"/>
      <c r="OY117" s="74"/>
      <c r="OZ117" s="74"/>
      <c r="PA117" s="74"/>
      <c r="PB117" s="74"/>
      <c r="PC117" s="74"/>
      <c r="PD117" s="74"/>
      <c r="PE117" s="74"/>
      <c r="PF117" s="74"/>
      <c r="PG117" s="74"/>
      <c r="PH117" s="74"/>
      <c r="PI117" s="74"/>
      <c r="PJ117" s="74"/>
      <c r="PK117" s="74"/>
      <c r="PL117" s="74"/>
      <c r="PM117" s="74"/>
      <c r="PN117" s="74"/>
      <c r="PO117" s="74"/>
      <c r="PP117" s="74"/>
      <c r="PQ117" s="74"/>
      <c r="PR117" s="74"/>
      <c r="PS117" s="74"/>
      <c r="PT117" s="74"/>
      <c r="PU117" s="74"/>
      <c r="PV117" s="74"/>
      <c r="PW117" s="74"/>
      <c r="PX117" s="74"/>
      <c r="PY117" s="74"/>
      <c r="PZ117" s="74"/>
      <c r="QA117" s="74"/>
      <c r="QB117" s="74"/>
      <c r="QC117" s="74"/>
      <c r="QD117" s="74"/>
      <c r="QE117" s="74"/>
      <c r="QF117" s="74"/>
      <c r="QG117" s="74"/>
      <c r="QH117" s="74"/>
      <c r="QI117" s="74"/>
      <c r="QJ117" s="74"/>
      <c r="QK117" s="74"/>
      <c r="QL117" s="74"/>
      <c r="QM117" s="74"/>
      <c r="QN117" s="74"/>
      <c r="QO117" s="74"/>
      <c r="QP117" s="74"/>
      <c r="QQ117" s="74"/>
      <c r="QR117" s="74"/>
      <c r="QS117" s="74"/>
      <c r="QT117" s="74"/>
      <c r="QU117" s="74"/>
      <c r="QV117" s="74"/>
      <c r="QW117" s="74"/>
      <c r="QX117" s="74"/>
      <c r="QY117" s="74"/>
      <c r="QZ117" s="74"/>
      <c r="RA117" s="74"/>
      <c r="RB117" s="74"/>
      <c r="RC117" s="74"/>
      <c r="RD117" s="74"/>
      <c r="RE117" s="74"/>
      <c r="RF117" s="74"/>
      <c r="RG117" s="74"/>
      <c r="RH117" s="74"/>
      <c r="RI117" s="74"/>
      <c r="RJ117" s="74"/>
      <c r="RK117" s="74"/>
      <c r="RL117" s="74"/>
      <c r="RM117" s="74"/>
      <c r="RN117" s="74"/>
      <c r="RO117" s="74"/>
      <c r="RP117" s="74"/>
      <c r="RQ117" s="74"/>
      <c r="RR117" s="74"/>
      <c r="RS117" s="74"/>
      <c r="RT117" s="74"/>
      <c r="RU117" s="74"/>
      <c r="RV117" s="74"/>
      <c r="RW117" s="74"/>
      <c r="RX117" s="74"/>
      <c r="RY117" s="74"/>
      <c r="RZ117" s="74"/>
      <c r="SA117" s="74"/>
      <c r="SB117" s="74"/>
      <c r="SC117" s="74"/>
      <c r="SD117" s="74"/>
      <c r="SE117" s="74"/>
      <c r="SF117" s="74"/>
      <c r="SG117" s="74"/>
      <c r="SH117" s="74"/>
      <c r="SI117" s="74"/>
      <c r="SJ117" s="74"/>
      <c r="SK117" s="74"/>
      <c r="SL117" s="74"/>
      <c r="SM117" s="74"/>
      <c r="SN117" s="74"/>
      <c r="SO117" s="74"/>
      <c r="SP117" s="74"/>
      <c r="SQ117" s="74"/>
      <c r="SR117" s="74"/>
      <c r="SS117" s="74"/>
      <c r="ST117" s="74"/>
      <c r="SU117" s="74"/>
      <c r="SV117" s="74"/>
      <c r="SW117" s="74"/>
      <c r="SX117" s="74"/>
      <c r="SY117" s="74"/>
      <c r="SZ117" s="74"/>
      <c r="TA117" s="74"/>
      <c r="TB117" s="74"/>
      <c r="TC117" s="74"/>
      <c r="TD117" s="74"/>
      <c r="TE117" s="74"/>
      <c r="TF117" s="74"/>
      <c r="TG117" s="74"/>
      <c r="TH117" s="74"/>
      <c r="TI117" s="74"/>
      <c r="TJ117" s="74"/>
      <c r="TK117" s="74"/>
      <c r="TL117" s="74"/>
      <c r="TM117" s="74"/>
      <c r="TN117" s="74"/>
      <c r="TO117" s="74"/>
      <c r="TP117" s="74"/>
      <c r="TQ117" s="74"/>
      <c r="TR117" s="74"/>
      <c r="TS117" s="74"/>
      <c r="TT117" s="74"/>
      <c r="TU117" s="74"/>
      <c r="TV117" s="74"/>
      <c r="TW117" s="74"/>
      <c r="TX117" s="74"/>
      <c r="TY117" s="74"/>
      <c r="TZ117" s="74"/>
      <c r="UA117" s="74"/>
      <c r="UB117" s="74"/>
      <c r="UC117" s="74"/>
      <c r="UD117" s="74"/>
      <c r="UE117" s="74"/>
      <c r="UF117" s="74"/>
      <c r="UG117" s="74"/>
      <c r="UH117" s="74"/>
      <c r="UI117" s="74"/>
      <c r="UJ117" s="74"/>
      <c r="UK117" s="74"/>
      <c r="UL117" s="74"/>
      <c r="UM117" s="74"/>
      <c r="UN117" s="74"/>
      <c r="UO117" s="74"/>
      <c r="UP117" s="74"/>
      <c r="UQ117" s="74"/>
      <c r="UR117" s="74"/>
      <c r="US117" s="74"/>
      <c r="UT117" s="74"/>
      <c r="UU117" s="74"/>
      <c r="UV117" s="74"/>
      <c r="UW117" s="74"/>
      <c r="UX117" s="74"/>
      <c r="UY117" s="74"/>
      <c r="UZ117" s="74"/>
      <c r="VA117" s="74"/>
      <c r="VB117" s="74"/>
      <c r="VC117" s="74"/>
      <c r="VD117" s="74"/>
      <c r="VE117" s="74"/>
      <c r="VF117" s="74"/>
    </row>
    <row r="118" spans="1:578" s="75" customFormat="1" ht="15.75" customHeight="1" x14ac:dyDescent="0.2">
      <c r="A118" s="60"/>
      <c r="B118" s="100"/>
      <c r="C118" s="100"/>
      <c r="D118" s="61" t="s">
        <v>344</v>
      </c>
      <c r="E118" s="78">
        <v>626270840</v>
      </c>
      <c r="F118" s="78">
        <f t="shared" ref="F118:Q118" si="37">F121+F123+F125+F127+F134+F136+F138+F140+F142+F144+F146+F151+F153+F155+F157+F159+F173+F175+F177+F179+F148+F161+F185</f>
        <v>0</v>
      </c>
      <c r="G118" s="78">
        <f t="shared" si="37"/>
        <v>0</v>
      </c>
      <c r="H118" s="78">
        <f>H121+H123+H125+H127+H134+H136+H138+H140+H142+H144+H146+H151+H153+H155+H157+H159+H173+H175+H177+H179+H148+H161+H185</f>
        <v>191490819.19999999</v>
      </c>
      <c r="I118" s="78">
        <f>I121+I123+I125+I127+I134+I136+I138+I140+I142+I144+I146+I151+I153+I155+I157+I159+I173+I175+I177+I179+I148+I161+I185</f>
        <v>0</v>
      </c>
      <c r="J118" s="78">
        <f>J121+J123+J125+J127+J134+J136+J138+J140+J142+J144+J146+J151+J153+J155+J157+J159+J173+J175+J177+J179+J148+J161+J185</f>
        <v>0</v>
      </c>
      <c r="K118" s="129">
        <f t="shared" si="20"/>
        <v>30.576358816259109</v>
      </c>
      <c r="L118" s="78">
        <f t="shared" si="37"/>
        <v>116300</v>
      </c>
      <c r="M118" s="78">
        <f>M121+M123+M125+M127+M134+M136+M138+M140+M142+M144+M146+M151+M153+M155+M157+M159+M173+M175+M177+M179+M148+M161+M185</f>
        <v>116300</v>
      </c>
      <c r="N118" s="78">
        <f t="shared" si="37"/>
        <v>0</v>
      </c>
      <c r="O118" s="78">
        <f t="shared" si="37"/>
        <v>0</v>
      </c>
      <c r="P118" s="78">
        <f t="shared" si="37"/>
        <v>0</v>
      </c>
      <c r="Q118" s="78">
        <f t="shared" si="37"/>
        <v>116300</v>
      </c>
      <c r="R118" s="78">
        <f t="shared" ref="R118:W118" si="38">R121+R123+R125+R127+R134+R136+R138+R140+R142+R144+R146+R151+R153+R155+R157+R159+R173+R175+R177+R179+R148+R161+R185</f>
        <v>116300</v>
      </c>
      <c r="S118" s="78">
        <f t="shared" ref="S118" si="39">S121+S123+S125+S127+S134+S136+S138+S140+S142+S144+S146+S151+S153+S155+S157+S159+S173+S175+S177+S179+S148+S161+S185</f>
        <v>116300</v>
      </c>
      <c r="T118" s="78">
        <f t="shared" si="38"/>
        <v>0</v>
      </c>
      <c r="U118" s="78">
        <f t="shared" si="38"/>
        <v>0</v>
      </c>
      <c r="V118" s="78">
        <f t="shared" si="38"/>
        <v>0</v>
      </c>
      <c r="W118" s="78">
        <f t="shared" si="38"/>
        <v>116300</v>
      </c>
      <c r="X118" s="131">
        <f t="shared" si="18"/>
        <v>100</v>
      </c>
      <c r="Y118" s="79">
        <f t="shared" si="19"/>
        <v>191607119.19999999</v>
      </c>
      <c r="Z118" s="203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  <c r="IC118" s="74"/>
      <c r="ID118" s="74"/>
      <c r="IE118" s="74"/>
      <c r="IF118" s="74"/>
      <c r="IG118" s="74"/>
      <c r="IH118" s="74"/>
      <c r="II118" s="74"/>
      <c r="IJ118" s="74"/>
      <c r="IK118" s="74"/>
      <c r="IL118" s="74"/>
      <c r="IM118" s="74"/>
      <c r="IN118" s="74"/>
      <c r="IO118" s="74"/>
      <c r="IP118" s="74"/>
      <c r="IQ118" s="74"/>
      <c r="IR118" s="74"/>
      <c r="IS118" s="74"/>
      <c r="IT118" s="74"/>
      <c r="IU118" s="74"/>
      <c r="IV118" s="74"/>
      <c r="IW118" s="74"/>
      <c r="IX118" s="74"/>
      <c r="IY118" s="74"/>
      <c r="IZ118" s="74"/>
      <c r="JA118" s="74"/>
      <c r="JB118" s="74"/>
      <c r="JC118" s="74"/>
      <c r="JD118" s="74"/>
      <c r="JE118" s="74"/>
      <c r="JF118" s="74"/>
      <c r="JG118" s="74"/>
      <c r="JH118" s="74"/>
      <c r="JI118" s="74"/>
      <c r="JJ118" s="74"/>
      <c r="JK118" s="74"/>
      <c r="JL118" s="74"/>
      <c r="JM118" s="74"/>
      <c r="JN118" s="74"/>
      <c r="JO118" s="74"/>
      <c r="JP118" s="74"/>
      <c r="JQ118" s="74"/>
      <c r="JR118" s="74"/>
      <c r="JS118" s="74"/>
      <c r="JT118" s="74"/>
      <c r="JU118" s="74"/>
      <c r="JV118" s="74"/>
      <c r="JW118" s="74"/>
      <c r="JX118" s="74"/>
      <c r="JY118" s="74"/>
      <c r="JZ118" s="74"/>
      <c r="KA118" s="74"/>
      <c r="KB118" s="74"/>
      <c r="KC118" s="74"/>
      <c r="KD118" s="74"/>
      <c r="KE118" s="74"/>
      <c r="KF118" s="74"/>
      <c r="KG118" s="74"/>
      <c r="KH118" s="74"/>
      <c r="KI118" s="74"/>
      <c r="KJ118" s="74"/>
      <c r="KK118" s="74"/>
      <c r="KL118" s="74"/>
      <c r="KM118" s="74"/>
      <c r="KN118" s="74"/>
      <c r="KO118" s="74"/>
      <c r="KP118" s="74"/>
      <c r="KQ118" s="74"/>
      <c r="KR118" s="74"/>
      <c r="KS118" s="74"/>
      <c r="KT118" s="74"/>
      <c r="KU118" s="74"/>
      <c r="KV118" s="74"/>
      <c r="KW118" s="74"/>
      <c r="KX118" s="74"/>
      <c r="KY118" s="74"/>
      <c r="KZ118" s="74"/>
      <c r="LA118" s="74"/>
      <c r="LB118" s="74"/>
      <c r="LC118" s="74"/>
      <c r="LD118" s="74"/>
      <c r="LE118" s="74"/>
      <c r="LF118" s="74"/>
      <c r="LG118" s="74"/>
      <c r="LH118" s="74"/>
      <c r="LI118" s="74"/>
      <c r="LJ118" s="74"/>
      <c r="LK118" s="74"/>
      <c r="LL118" s="74"/>
      <c r="LM118" s="74"/>
      <c r="LN118" s="74"/>
      <c r="LO118" s="74"/>
      <c r="LP118" s="74"/>
      <c r="LQ118" s="74"/>
      <c r="LR118" s="74"/>
      <c r="LS118" s="74"/>
      <c r="LT118" s="74"/>
      <c r="LU118" s="74"/>
      <c r="LV118" s="74"/>
      <c r="LW118" s="74"/>
      <c r="LX118" s="74"/>
      <c r="LY118" s="74"/>
      <c r="LZ118" s="74"/>
      <c r="MA118" s="74"/>
      <c r="MB118" s="74"/>
      <c r="MC118" s="74"/>
      <c r="MD118" s="74"/>
      <c r="ME118" s="74"/>
      <c r="MF118" s="74"/>
      <c r="MG118" s="74"/>
      <c r="MH118" s="74"/>
      <c r="MI118" s="74"/>
      <c r="MJ118" s="74"/>
      <c r="MK118" s="74"/>
      <c r="ML118" s="74"/>
      <c r="MM118" s="74"/>
      <c r="MN118" s="74"/>
      <c r="MO118" s="74"/>
      <c r="MP118" s="74"/>
      <c r="MQ118" s="74"/>
      <c r="MR118" s="74"/>
      <c r="MS118" s="74"/>
      <c r="MT118" s="74"/>
      <c r="MU118" s="74"/>
      <c r="MV118" s="74"/>
      <c r="MW118" s="74"/>
      <c r="MX118" s="74"/>
      <c r="MY118" s="74"/>
      <c r="MZ118" s="74"/>
      <c r="NA118" s="74"/>
      <c r="NB118" s="74"/>
      <c r="NC118" s="74"/>
      <c r="ND118" s="74"/>
      <c r="NE118" s="74"/>
      <c r="NF118" s="74"/>
      <c r="NG118" s="74"/>
      <c r="NH118" s="74"/>
      <c r="NI118" s="74"/>
      <c r="NJ118" s="74"/>
      <c r="NK118" s="74"/>
      <c r="NL118" s="74"/>
      <c r="NM118" s="74"/>
      <c r="NN118" s="74"/>
      <c r="NO118" s="74"/>
      <c r="NP118" s="74"/>
      <c r="NQ118" s="74"/>
      <c r="NR118" s="74"/>
      <c r="NS118" s="74"/>
      <c r="NT118" s="74"/>
      <c r="NU118" s="74"/>
      <c r="NV118" s="74"/>
      <c r="NW118" s="74"/>
      <c r="NX118" s="74"/>
      <c r="NY118" s="74"/>
      <c r="NZ118" s="74"/>
      <c r="OA118" s="74"/>
      <c r="OB118" s="74"/>
      <c r="OC118" s="74"/>
      <c r="OD118" s="74"/>
      <c r="OE118" s="74"/>
      <c r="OF118" s="74"/>
      <c r="OG118" s="74"/>
      <c r="OH118" s="74"/>
      <c r="OI118" s="74"/>
      <c r="OJ118" s="74"/>
      <c r="OK118" s="74"/>
      <c r="OL118" s="74"/>
      <c r="OM118" s="74"/>
      <c r="ON118" s="74"/>
      <c r="OO118" s="74"/>
      <c r="OP118" s="74"/>
      <c r="OQ118" s="74"/>
      <c r="OR118" s="74"/>
      <c r="OS118" s="74"/>
      <c r="OT118" s="74"/>
      <c r="OU118" s="74"/>
      <c r="OV118" s="74"/>
      <c r="OW118" s="74"/>
      <c r="OX118" s="74"/>
      <c r="OY118" s="74"/>
      <c r="OZ118" s="74"/>
      <c r="PA118" s="74"/>
      <c r="PB118" s="74"/>
      <c r="PC118" s="74"/>
      <c r="PD118" s="74"/>
      <c r="PE118" s="74"/>
      <c r="PF118" s="74"/>
      <c r="PG118" s="74"/>
      <c r="PH118" s="74"/>
      <c r="PI118" s="74"/>
      <c r="PJ118" s="74"/>
      <c r="PK118" s="74"/>
      <c r="PL118" s="74"/>
      <c r="PM118" s="74"/>
      <c r="PN118" s="74"/>
      <c r="PO118" s="74"/>
      <c r="PP118" s="74"/>
      <c r="PQ118" s="74"/>
      <c r="PR118" s="74"/>
      <c r="PS118" s="74"/>
      <c r="PT118" s="74"/>
      <c r="PU118" s="74"/>
      <c r="PV118" s="74"/>
      <c r="PW118" s="74"/>
      <c r="PX118" s="74"/>
      <c r="PY118" s="74"/>
      <c r="PZ118" s="74"/>
      <c r="QA118" s="74"/>
      <c r="QB118" s="74"/>
      <c r="QC118" s="74"/>
      <c r="QD118" s="74"/>
      <c r="QE118" s="74"/>
      <c r="QF118" s="74"/>
      <c r="QG118" s="74"/>
      <c r="QH118" s="74"/>
      <c r="QI118" s="74"/>
      <c r="QJ118" s="74"/>
      <c r="QK118" s="74"/>
      <c r="QL118" s="74"/>
      <c r="QM118" s="74"/>
      <c r="QN118" s="74"/>
      <c r="QO118" s="74"/>
      <c r="QP118" s="74"/>
      <c r="QQ118" s="74"/>
      <c r="QR118" s="74"/>
      <c r="QS118" s="74"/>
      <c r="QT118" s="74"/>
      <c r="QU118" s="74"/>
      <c r="QV118" s="74"/>
      <c r="QW118" s="74"/>
      <c r="QX118" s="74"/>
      <c r="QY118" s="74"/>
      <c r="QZ118" s="74"/>
      <c r="RA118" s="74"/>
      <c r="RB118" s="74"/>
      <c r="RC118" s="74"/>
      <c r="RD118" s="74"/>
      <c r="RE118" s="74"/>
      <c r="RF118" s="74"/>
      <c r="RG118" s="74"/>
      <c r="RH118" s="74"/>
      <c r="RI118" s="74"/>
      <c r="RJ118" s="74"/>
      <c r="RK118" s="74"/>
      <c r="RL118" s="74"/>
      <c r="RM118" s="74"/>
      <c r="RN118" s="74"/>
      <c r="RO118" s="74"/>
      <c r="RP118" s="74"/>
      <c r="RQ118" s="74"/>
      <c r="RR118" s="74"/>
      <c r="RS118" s="74"/>
      <c r="RT118" s="74"/>
      <c r="RU118" s="74"/>
      <c r="RV118" s="74"/>
      <c r="RW118" s="74"/>
      <c r="RX118" s="74"/>
      <c r="RY118" s="74"/>
      <c r="RZ118" s="74"/>
      <c r="SA118" s="74"/>
      <c r="SB118" s="74"/>
      <c r="SC118" s="74"/>
      <c r="SD118" s="74"/>
      <c r="SE118" s="74"/>
      <c r="SF118" s="74"/>
      <c r="SG118" s="74"/>
      <c r="SH118" s="74"/>
      <c r="SI118" s="74"/>
      <c r="SJ118" s="74"/>
      <c r="SK118" s="74"/>
      <c r="SL118" s="74"/>
      <c r="SM118" s="74"/>
      <c r="SN118" s="74"/>
      <c r="SO118" s="74"/>
      <c r="SP118" s="74"/>
      <c r="SQ118" s="74"/>
      <c r="SR118" s="74"/>
      <c r="SS118" s="74"/>
      <c r="ST118" s="74"/>
      <c r="SU118" s="74"/>
      <c r="SV118" s="74"/>
      <c r="SW118" s="74"/>
      <c r="SX118" s="74"/>
      <c r="SY118" s="74"/>
      <c r="SZ118" s="74"/>
      <c r="TA118" s="74"/>
      <c r="TB118" s="74"/>
      <c r="TC118" s="74"/>
      <c r="TD118" s="74"/>
      <c r="TE118" s="74"/>
      <c r="TF118" s="74"/>
      <c r="TG118" s="74"/>
      <c r="TH118" s="74"/>
      <c r="TI118" s="74"/>
      <c r="TJ118" s="74"/>
      <c r="TK118" s="74"/>
      <c r="TL118" s="74"/>
      <c r="TM118" s="74"/>
      <c r="TN118" s="74"/>
      <c r="TO118" s="74"/>
      <c r="TP118" s="74"/>
      <c r="TQ118" s="74"/>
      <c r="TR118" s="74"/>
      <c r="TS118" s="74"/>
      <c r="TT118" s="74"/>
      <c r="TU118" s="74"/>
      <c r="TV118" s="74"/>
      <c r="TW118" s="74"/>
      <c r="TX118" s="74"/>
      <c r="TY118" s="74"/>
      <c r="TZ118" s="74"/>
      <c r="UA118" s="74"/>
      <c r="UB118" s="74"/>
      <c r="UC118" s="74"/>
      <c r="UD118" s="74"/>
      <c r="UE118" s="74"/>
      <c r="UF118" s="74"/>
      <c r="UG118" s="74"/>
      <c r="UH118" s="74"/>
      <c r="UI118" s="74"/>
      <c r="UJ118" s="74"/>
      <c r="UK118" s="74"/>
      <c r="UL118" s="74"/>
      <c r="UM118" s="74"/>
      <c r="UN118" s="74"/>
      <c r="UO118" s="74"/>
      <c r="UP118" s="74"/>
      <c r="UQ118" s="74"/>
      <c r="UR118" s="74"/>
      <c r="US118" s="74"/>
      <c r="UT118" s="74"/>
      <c r="UU118" s="74"/>
      <c r="UV118" s="74"/>
      <c r="UW118" s="74"/>
      <c r="UX118" s="74"/>
      <c r="UY118" s="74"/>
      <c r="UZ118" s="74"/>
      <c r="VA118" s="74"/>
      <c r="VB118" s="74"/>
      <c r="VC118" s="74"/>
      <c r="VD118" s="74"/>
      <c r="VE118" s="74"/>
      <c r="VF118" s="74"/>
    </row>
    <row r="119" spans="1:578" s="41" customFormat="1" ht="32.25" customHeight="1" x14ac:dyDescent="0.2">
      <c r="A119" s="39" t="s">
        <v>243</v>
      </c>
      <c r="B119" s="90" t="str">
        <f>'дод 3'!A16</f>
        <v>0160</v>
      </c>
      <c r="C119" s="90" t="str">
        <f>'дод 3'!B16</f>
        <v>0111</v>
      </c>
      <c r="D119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19" s="65">
        <v>48223900</v>
      </c>
      <c r="F119" s="65">
        <v>37804700</v>
      </c>
      <c r="G119" s="65">
        <f>832540+6852</f>
        <v>839392</v>
      </c>
      <c r="H119" s="65">
        <v>10360676.380000001</v>
      </c>
      <c r="I119" s="65">
        <v>8111955.8600000003</v>
      </c>
      <c r="J119" s="65">
        <v>307829.09999999998</v>
      </c>
      <c r="K119" s="130">
        <f t="shared" si="20"/>
        <v>21.484526095981455</v>
      </c>
      <c r="L119" s="65">
        <f t="shared" si="17"/>
        <v>600000</v>
      </c>
      <c r="M119" s="65">
        <v>600000</v>
      </c>
      <c r="N119" s="65"/>
      <c r="O119" s="65"/>
      <c r="P119" s="65"/>
      <c r="Q119" s="65">
        <f>500000+100000</f>
        <v>600000</v>
      </c>
      <c r="R119" s="65">
        <f t="shared" si="21"/>
        <v>92952.91</v>
      </c>
      <c r="S119" s="65"/>
      <c r="T119" s="65">
        <v>92952.91</v>
      </c>
      <c r="U119" s="65">
        <v>76900.58</v>
      </c>
      <c r="V119" s="65"/>
      <c r="W119" s="65"/>
      <c r="X119" s="132">
        <f t="shared" si="18"/>
        <v>15.492151666666668</v>
      </c>
      <c r="Y119" s="65">
        <f t="shared" si="19"/>
        <v>10453629.290000001</v>
      </c>
      <c r="Z119" s="203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  <c r="SK119" s="47"/>
      <c r="SL119" s="47"/>
      <c r="SM119" s="47"/>
      <c r="SN119" s="47"/>
      <c r="SO119" s="47"/>
      <c r="SP119" s="47"/>
      <c r="SQ119" s="47"/>
      <c r="SR119" s="47"/>
      <c r="SS119" s="47"/>
      <c r="ST119" s="47"/>
      <c r="SU119" s="47"/>
      <c r="SV119" s="47"/>
      <c r="SW119" s="47"/>
      <c r="SX119" s="47"/>
      <c r="SY119" s="47"/>
      <c r="SZ119" s="47"/>
      <c r="TA119" s="47"/>
      <c r="TB119" s="47"/>
      <c r="TC119" s="47"/>
      <c r="TD119" s="47"/>
      <c r="TE119" s="47"/>
      <c r="TF119" s="47"/>
      <c r="TG119" s="47"/>
      <c r="TH119" s="47"/>
      <c r="TI119" s="47"/>
      <c r="TJ119" s="47"/>
      <c r="TK119" s="47"/>
      <c r="TL119" s="47"/>
      <c r="TM119" s="47"/>
      <c r="TN119" s="47"/>
      <c r="TO119" s="47"/>
      <c r="TP119" s="47"/>
      <c r="TQ119" s="47"/>
      <c r="TR119" s="47"/>
      <c r="TS119" s="47"/>
      <c r="TT119" s="47"/>
      <c r="TU119" s="47"/>
      <c r="TV119" s="47"/>
      <c r="TW119" s="47"/>
      <c r="TX119" s="47"/>
      <c r="TY119" s="47"/>
      <c r="TZ119" s="47"/>
      <c r="UA119" s="47"/>
      <c r="UB119" s="47"/>
      <c r="UC119" s="47"/>
      <c r="UD119" s="47"/>
      <c r="UE119" s="47"/>
      <c r="UF119" s="47"/>
      <c r="UG119" s="47"/>
      <c r="UH119" s="47"/>
      <c r="UI119" s="47"/>
      <c r="UJ119" s="47"/>
      <c r="UK119" s="47"/>
      <c r="UL119" s="47"/>
      <c r="UM119" s="47"/>
      <c r="UN119" s="47"/>
      <c r="UO119" s="47"/>
      <c r="UP119" s="47"/>
      <c r="UQ119" s="47"/>
      <c r="UR119" s="47"/>
      <c r="US119" s="47"/>
      <c r="UT119" s="47"/>
      <c r="UU119" s="47"/>
      <c r="UV119" s="47"/>
      <c r="UW119" s="47"/>
      <c r="UX119" s="47"/>
      <c r="UY119" s="47"/>
      <c r="UZ119" s="47"/>
      <c r="VA119" s="47"/>
      <c r="VB119" s="47"/>
      <c r="VC119" s="47"/>
      <c r="VD119" s="47"/>
      <c r="VE119" s="47"/>
      <c r="VF119" s="47"/>
    </row>
    <row r="120" spans="1:578" s="41" customFormat="1" ht="45" customHeight="1" x14ac:dyDescent="0.2">
      <c r="A120" s="39" t="s">
        <v>436</v>
      </c>
      <c r="B120" s="93" t="str">
        <f>'дод 3'!A61</f>
        <v>3011</v>
      </c>
      <c r="C120" s="93">
        <f>'дод 3'!B61</f>
        <v>1030</v>
      </c>
      <c r="D120" s="42" t="str">
        <f>'дод 3'!C61</f>
        <v xml:space="preserve">Надання пільг на оплату житлово-комунальних послуг окремим категоріям громадян відповідно до законодавства </v>
      </c>
      <c r="E120" s="65">
        <v>60934500</v>
      </c>
      <c r="F120" s="65"/>
      <c r="G120" s="65"/>
      <c r="H120" s="65">
        <v>29264116.359999999</v>
      </c>
      <c r="I120" s="65"/>
      <c r="J120" s="65"/>
      <c r="K120" s="130">
        <f t="shared" si="20"/>
        <v>48.025529642484962</v>
      </c>
      <c r="L120" s="65">
        <f t="shared" si="17"/>
        <v>0</v>
      </c>
      <c r="M120" s="65"/>
      <c r="N120" s="65"/>
      <c r="O120" s="65"/>
      <c r="P120" s="65"/>
      <c r="Q120" s="65"/>
      <c r="R120" s="65">
        <f t="shared" si="21"/>
        <v>0</v>
      </c>
      <c r="S120" s="65"/>
      <c r="T120" s="65"/>
      <c r="U120" s="65"/>
      <c r="V120" s="65"/>
      <c r="W120" s="65"/>
      <c r="X120" s="132"/>
      <c r="Y120" s="65">
        <f t="shared" si="19"/>
        <v>29264116.359999999</v>
      </c>
      <c r="Z120" s="203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  <c r="OA120" s="47"/>
      <c r="OB120" s="47"/>
      <c r="OC120" s="47"/>
      <c r="OD120" s="47"/>
      <c r="OE120" s="47"/>
      <c r="OF120" s="47"/>
      <c r="OG120" s="47"/>
      <c r="OH120" s="47"/>
      <c r="OI120" s="47"/>
      <c r="OJ120" s="47"/>
      <c r="OK120" s="47"/>
      <c r="OL120" s="47"/>
      <c r="OM120" s="47"/>
      <c r="ON120" s="47"/>
      <c r="OO120" s="47"/>
      <c r="OP120" s="47"/>
      <c r="OQ120" s="47"/>
      <c r="OR120" s="47"/>
      <c r="OS120" s="47"/>
      <c r="OT120" s="47"/>
      <c r="OU120" s="47"/>
      <c r="OV120" s="47"/>
      <c r="OW120" s="47"/>
      <c r="OX120" s="47"/>
      <c r="OY120" s="47"/>
      <c r="OZ120" s="47"/>
      <c r="PA120" s="47"/>
      <c r="PB120" s="47"/>
      <c r="PC120" s="47"/>
      <c r="PD120" s="47"/>
      <c r="PE120" s="47"/>
      <c r="PF120" s="47"/>
      <c r="PG120" s="47"/>
      <c r="PH120" s="47"/>
      <c r="PI120" s="47"/>
      <c r="PJ120" s="47"/>
      <c r="PK120" s="47"/>
      <c r="PL120" s="47"/>
      <c r="PM120" s="47"/>
      <c r="PN120" s="47"/>
      <c r="PO120" s="47"/>
      <c r="PP120" s="47"/>
      <c r="PQ120" s="47"/>
      <c r="PR120" s="47"/>
      <c r="PS120" s="47"/>
      <c r="PT120" s="47"/>
      <c r="PU120" s="47"/>
      <c r="PV120" s="47"/>
      <c r="PW120" s="47"/>
      <c r="PX120" s="47"/>
      <c r="PY120" s="47"/>
      <c r="PZ120" s="47"/>
      <c r="QA120" s="47"/>
      <c r="QB120" s="47"/>
      <c r="QC120" s="47"/>
      <c r="QD120" s="47"/>
      <c r="QE120" s="47"/>
      <c r="QF120" s="47"/>
      <c r="QG120" s="47"/>
      <c r="QH120" s="47"/>
      <c r="QI120" s="47"/>
      <c r="QJ120" s="47"/>
      <c r="QK120" s="47"/>
      <c r="QL120" s="47"/>
      <c r="QM120" s="47"/>
      <c r="QN120" s="47"/>
      <c r="QO120" s="47"/>
      <c r="QP120" s="47"/>
      <c r="QQ120" s="47"/>
      <c r="QR120" s="47"/>
      <c r="QS120" s="47"/>
      <c r="QT120" s="47"/>
      <c r="QU120" s="47"/>
      <c r="QV120" s="47"/>
      <c r="QW120" s="47"/>
      <c r="QX120" s="47"/>
      <c r="QY120" s="47"/>
      <c r="QZ120" s="47"/>
      <c r="RA120" s="47"/>
      <c r="RB120" s="47"/>
      <c r="RC120" s="47"/>
      <c r="RD120" s="47"/>
      <c r="RE120" s="47"/>
      <c r="RF120" s="47"/>
      <c r="RG120" s="47"/>
      <c r="RH120" s="47"/>
      <c r="RI120" s="47"/>
      <c r="RJ120" s="47"/>
      <c r="RK120" s="47"/>
      <c r="RL120" s="47"/>
      <c r="RM120" s="47"/>
      <c r="RN120" s="47"/>
      <c r="RO120" s="47"/>
      <c r="RP120" s="47"/>
      <c r="RQ120" s="47"/>
      <c r="RR120" s="47"/>
      <c r="RS120" s="47"/>
      <c r="RT120" s="47"/>
      <c r="RU120" s="47"/>
      <c r="RV120" s="47"/>
      <c r="RW120" s="47"/>
      <c r="RX120" s="47"/>
      <c r="RY120" s="47"/>
      <c r="RZ120" s="47"/>
      <c r="SA120" s="47"/>
      <c r="SB120" s="47"/>
      <c r="SC120" s="47"/>
      <c r="SD120" s="47"/>
      <c r="SE120" s="47"/>
      <c r="SF120" s="47"/>
      <c r="SG120" s="47"/>
      <c r="SH120" s="47"/>
      <c r="SI120" s="47"/>
      <c r="SJ120" s="47"/>
      <c r="SK120" s="47"/>
      <c r="SL120" s="47"/>
      <c r="SM120" s="47"/>
      <c r="SN120" s="47"/>
      <c r="SO120" s="47"/>
      <c r="SP120" s="47"/>
      <c r="SQ120" s="47"/>
      <c r="SR120" s="47"/>
      <c r="SS120" s="47"/>
      <c r="ST120" s="47"/>
      <c r="SU120" s="47"/>
      <c r="SV120" s="47"/>
      <c r="SW120" s="47"/>
      <c r="SX120" s="47"/>
      <c r="SY120" s="47"/>
      <c r="SZ120" s="47"/>
      <c r="TA120" s="47"/>
      <c r="TB120" s="47"/>
      <c r="TC120" s="47"/>
      <c r="TD120" s="47"/>
      <c r="TE120" s="47"/>
      <c r="TF120" s="47"/>
      <c r="TG120" s="47"/>
      <c r="TH120" s="47"/>
      <c r="TI120" s="47"/>
      <c r="TJ120" s="47"/>
      <c r="TK120" s="47"/>
      <c r="TL120" s="47"/>
      <c r="TM120" s="47"/>
      <c r="TN120" s="47"/>
      <c r="TO120" s="47"/>
      <c r="TP120" s="47"/>
      <c r="TQ120" s="47"/>
      <c r="TR120" s="47"/>
      <c r="TS120" s="47"/>
      <c r="TT120" s="47"/>
      <c r="TU120" s="47"/>
      <c r="TV120" s="47"/>
      <c r="TW120" s="47"/>
      <c r="TX120" s="47"/>
      <c r="TY120" s="47"/>
      <c r="TZ120" s="47"/>
      <c r="UA120" s="47"/>
      <c r="UB120" s="47"/>
      <c r="UC120" s="47"/>
      <c r="UD120" s="47"/>
      <c r="UE120" s="47"/>
      <c r="UF120" s="47"/>
      <c r="UG120" s="47"/>
      <c r="UH120" s="47"/>
      <c r="UI120" s="47"/>
      <c r="UJ120" s="47"/>
      <c r="UK120" s="47"/>
      <c r="UL120" s="47"/>
      <c r="UM120" s="47"/>
      <c r="UN120" s="47"/>
      <c r="UO120" s="47"/>
      <c r="UP120" s="47"/>
      <c r="UQ120" s="47"/>
      <c r="UR120" s="47"/>
      <c r="US120" s="47"/>
      <c r="UT120" s="47"/>
      <c r="UU120" s="47"/>
      <c r="UV120" s="47"/>
      <c r="UW120" s="47"/>
      <c r="UX120" s="47"/>
      <c r="UY120" s="47"/>
      <c r="UZ120" s="47"/>
      <c r="VA120" s="47"/>
      <c r="VB120" s="47"/>
      <c r="VC120" s="47"/>
      <c r="VD120" s="47"/>
      <c r="VE120" s="47"/>
      <c r="VF120" s="47"/>
    </row>
    <row r="121" spans="1:578" s="41" customFormat="1" ht="15" customHeight="1" x14ac:dyDescent="0.2">
      <c r="A121" s="39"/>
      <c r="B121" s="93"/>
      <c r="C121" s="93"/>
      <c r="D121" s="42" t="str">
        <f>'дод 3'!C62</f>
        <v>у т.ч. за рахунок субвенцій з держбюджету</v>
      </c>
      <c r="E121" s="65">
        <v>60934500</v>
      </c>
      <c r="F121" s="65"/>
      <c r="G121" s="65"/>
      <c r="H121" s="65">
        <v>29264116.359999999</v>
      </c>
      <c r="I121" s="65"/>
      <c r="J121" s="65"/>
      <c r="K121" s="130">
        <f t="shared" si="20"/>
        <v>48.025529642484962</v>
      </c>
      <c r="L121" s="65">
        <f t="shared" si="17"/>
        <v>0</v>
      </c>
      <c r="M121" s="65"/>
      <c r="N121" s="65"/>
      <c r="O121" s="65"/>
      <c r="P121" s="65"/>
      <c r="Q121" s="65"/>
      <c r="R121" s="65">
        <f t="shared" si="21"/>
        <v>0</v>
      </c>
      <c r="S121" s="65"/>
      <c r="T121" s="65"/>
      <c r="U121" s="65"/>
      <c r="V121" s="65"/>
      <c r="W121" s="65"/>
      <c r="X121" s="132"/>
      <c r="Y121" s="65">
        <f t="shared" si="19"/>
        <v>29264116.359999999</v>
      </c>
      <c r="Z121" s="203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  <c r="SK121" s="47"/>
      <c r="SL121" s="47"/>
      <c r="SM121" s="47"/>
      <c r="SN121" s="47"/>
      <c r="SO121" s="47"/>
      <c r="SP121" s="47"/>
      <c r="SQ121" s="47"/>
      <c r="SR121" s="47"/>
      <c r="SS121" s="47"/>
      <c r="ST121" s="47"/>
      <c r="SU121" s="47"/>
      <c r="SV121" s="47"/>
      <c r="SW121" s="47"/>
      <c r="SX121" s="47"/>
      <c r="SY121" s="47"/>
      <c r="SZ121" s="47"/>
      <c r="TA121" s="47"/>
      <c r="TB121" s="47"/>
      <c r="TC121" s="47"/>
      <c r="TD121" s="47"/>
      <c r="TE121" s="47"/>
      <c r="TF121" s="47"/>
      <c r="TG121" s="47"/>
      <c r="TH121" s="47"/>
      <c r="TI121" s="47"/>
      <c r="TJ121" s="47"/>
      <c r="TK121" s="47"/>
      <c r="TL121" s="47"/>
      <c r="TM121" s="47"/>
      <c r="TN121" s="47"/>
      <c r="TO121" s="47"/>
      <c r="TP121" s="47"/>
      <c r="TQ121" s="47"/>
      <c r="TR121" s="47"/>
      <c r="TS121" s="47"/>
      <c r="TT121" s="47"/>
      <c r="TU121" s="47"/>
      <c r="TV121" s="47"/>
      <c r="TW121" s="47"/>
      <c r="TX121" s="47"/>
      <c r="TY121" s="47"/>
      <c r="TZ121" s="47"/>
      <c r="UA121" s="47"/>
      <c r="UB121" s="47"/>
      <c r="UC121" s="47"/>
      <c r="UD121" s="47"/>
      <c r="UE121" s="47"/>
      <c r="UF121" s="47"/>
      <c r="UG121" s="47"/>
      <c r="UH121" s="47"/>
      <c r="UI121" s="47"/>
      <c r="UJ121" s="47"/>
      <c r="UK121" s="47"/>
      <c r="UL121" s="47"/>
      <c r="UM121" s="47"/>
      <c r="UN121" s="47"/>
      <c r="UO121" s="47"/>
      <c r="UP121" s="47"/>
      <c r="UQ121" s="47"/>
      <c r="UR121" s="47"/>
      <c r="US121" s="47"/>
      <c r="UT121" s="47"/>
      <c r="UU121" s="47"/>
      <c r="UV121" s="47"/>
      <c r="UW121" s="47"/>
      <c r="UX121" s="47"/>
      <c r="UY121" s="47"/>
      <c r="UZ121" s="47"/>
      <c r="VA121" s="47"/>
      <c r="VB121" s="47"/>
      <c r="VC121" s="47"/>
      <c r="VD121" s="47"/>
      <c r="VE121" s="47"/>
      <c r="VF121" s="47"/>
    </row>
    <row r="122" spans="1:578" s="41" customFormat="1" ht="37.5" customHeight="1" x14ac:dyDescent="0.2">
      <c r="A122" s="39" t="s">
        <v>437</v>
      </c>
      <c r="B122" s="93" t="str">
        <f>'дод 3'!A63</f>
        <v>3012</v>
      </c>
      <c r="C122" s="93">
        <f>'дод 3'!B63</f>
        <v>1060</v>
      </c>
      <c r="D122" s="42" t="str">
        <f>'дод 3'!C63</f>
        <v>Надання субсидій населенню для відшкодування витрат на оплату житлово-комунальних послуг</v>
      </c>
      <c r="E122" s="65">
        <v>222289440</v>
      </c>
      <c r="F122" s="65"/>
      <c r="G122" s="65"/>
      <c r="H122" s="65">
        <v>92807957.379999995</v>
      </c>
      <c r="I122" s="65"/>
      <c r="J122" s="65"/>
      <c r="K122" s="130">
        <f t="shared" si="20"/>
        <v>41.750951993041141</v>
      </c>
      <c r="L122" s="65">
        <f t="shared" si="17"/>
        <v>0</v>
      </c>
      <c r="M122" s="65"/>
      <c r="N122" s="65"/>
      <c r="O122" s="65"/>
      <c r="P122" s="65"/>
      <c r="Q122" s="65"/>
      <c r="R122" s="65">
        <f t="shared" si="21"/>
        <v>0</v>
      </c>
      <c r="S122" s="65"/>
      <c r="T122" s="65"/>
      <c r="U122" s="65"/>
      <c r="V122" s="65"/>
      <c r="W122" s="65"/>
      <c r="X122" s="132"/>
      <c r="Y122" s="65">
        <f t="shared" si="19"/>
        <v>92807957.379999995</v>
      </c>
      <c r="Z122" s="203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47"/>
      <c r="KC122" s="47"/>
      <c r="KD122" s="47"/>
      <c r="KE122" s="47"/>
      <c r="KF122" s="47"/>
      <c r="KG122" s="47"/>
      <c r="KH122" s="47"/>
      <c r="KI122" s="47"/>
      <c r="KJ122" s="47"/>
      <c r="KK122" s="47"/>
      <c r="KL122" s="47"/>
      <c r="KM122" s="47"/>
      <c r="KN122" s="47"/>
      <c r="KO122" s="47"/>
      <c r="KP122" s="47"/>
      <c r="KQ122" s="47"/>
      <c r="KR122" s="47"/>
      <c r="KS122" s="47"/>
      <c r="KT122" s="47"/>
      <c r="KU122" s="47"/>
      <c r="KV122" s="47"/>
      <c r="KW122" s="47"/>
      <c r="KX122" s="47"/>
      <c r="KY122" s="47"/>
      <c r="KZ122" s="47"/>
      <c r="LA122" s="47"/>
      <c r="LB122" s="47"/>
      <c r="LC122" s="47"/>
      <c r="LD122" s="47"/>
      <c r="LE122" s="47"/>
      <c r="LF122" s="47"/>
      <c r="LG122" s="47"/>
      <c r="LH122" s="47"/>
      <c r="LI122" s="47"/>
      <c r="LJ122" s="47"/>
      <c r="LK122" s="47"/>
      <c r="LL122" s="47"/>
      <c r="LM122" s="47"/>
      <c r="LN122" s="47"/>
      <c r="LO122" s="47"/>
      <c r="LP122" s="47"/>
      <c r="LQ122" s="47"/>
      <c r="LR122" s="47"/>
      <c r="LS122" s="47"/>
      <c r="LT122" s="47"/>
      <c r="LU122" s="47"/>
      <c r="LV122" s="47"/>
      <c r="LW122" s="47"/>
      <c r="LX122" s="47"/>
      <c r="LY122" s="47"/>
      <c r="LZ122" s="47"/>
      <c r="MA122" s="47"/>
      <c r="MB122" s="47"/>
      <c r="MC122" s="47"/>
      <c r="MD122" s="47"/>
      <c r="ME122" s="47"/>
      <c r="MF122" s="47"/>
      <c r="MG122" s="47"/>
      <c r="MH122" s="47"/>
      <c r="MI122" s="47"/>
      <c r="MJ122" s="4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  <c r="NE122" s="47"/>
      <c r="NF122" s="47"/>
      <c r="NG122" s="47"/>
      <c r="NH122" s="47"/>
      <c r="NI122" s="47"/>
      <c r="NJ122" s="47"/>
      <c r="NK122" s="47"/>
      <c r="NL122" s="47"/>
      <c r="NM122" s="47"/>
      <c r="NN122" s="47"/>
      <c r="NO122" s="47"/>
      <c r="NP122" s="47"/>
      <c r="NQ122" s="47"/>
      <c r="NR122" s="47"/>
      <c r="NS122" s="47"/>
      <c r="NT122" s="47"/>
      <c r="NU122" s="47"/>
      <c r="NV122" s="47"/>
      <c r="NW122" s="47"/>
      <c r="NX122" s="47"/>
      <c r="NY122" s="47"/>
      <c r="NZ122" s="47"/>
      <c r="OA122" s="47"/>
      <c r="OB122" s="47"/>
      <c r="OC122" s="47"/>
      <c r="OD122" s="47"/>
      <c r="OE122" s="47"/>
      <c r="OF122" s="47"/>
      <c r="OG122" s="47"/>
      <c r="OH122" s="47"/>
      <c r="OI122" s="47"/>
      <c r="OJ122" s="47"/>
      <c r="OK122" s="47"/>
      <c r="OL122" s="47"/>
      <c r="OM122" s="47"/>
      <c r="ON122" s="47"/>
      <c r="OO122" s="47"/>
      <c r="OP122" s="47"/>
      <c r="OQ122" s="47"/>
      <c r="OR122" s="47"/>
      <c r="OS122" s="47"/>
      <c r="OT122" s="47"/>
      <c r="OU122" s="47"/>
      <c r="OV122" s="47"/>
      <c r="OW122" s="47"/>
      <c r="OX122" s="47"/>
      <c r="OY122" s="47"/>
      <c r="OZ122" s="47"/>
      <c r="PA122" s="47"/>
      <c r="PB122" s="47"/>
      <c r="PC122" s="47"/>
      <c r="PD122" s="47"/>
      <c r="PE122" s="47"/>
      <c r="PF122" s="47"/>
      <c r="PG122" s="47"/>
      <c r="PH122" s="47"/>
      <c r="PI122" s="47"/>
      <c r="PJ122" s="47"/>
      <c r="PK122" s="47"/>
      <c r="PL122" s="47"/>
      <c r="PM122" s="47"/>
      <c r="PN122" s="47"/>
      <c r="PO122" s="47"/>
      <c r="PP122" s="47"/>
      <c r="PQ122" s="47"/>
      <c r="PR122" s="47"/>
      <c r="PS122" s="47"/>
      <c r="PT122" s="47"/>
      <c r="PU122" s="47"/>
      <c r="PV122" s="47"/>
      <c r="PW122" s="47"/>
      <c r="PX122" s="47"/>
      <c r="PY122" s="47"/>
      <c r="PZ122" s="47"/>
      <c r="QA122" s="47"/>
      <c r="QB122" s="47"/>
      <c r="QC122" s="47"/>
      <c r="QD122" s="47"/>
      <c r="QE122" s="47"/>
      <c r="QF122" s="47"/>
      <c r="QG122" s="47"/>
      <c r="QH122" s="47"/>
      <c r="QI122" s="47"/>
      <c r="QJ122" s="47"/>
      <c r="QK122" s="47"/>
      <c r="QL122" s="47"/>
      <c r="QM122" s="47"/>
      <c r="QN122" s="47"/>
      <c r="QO122" s="47"/>
      <c r="QP122" s="47"/>
      <c r="QQ122" s="47"/>
      <c r="QR122" s="47"/>
      <c r="QS122" s="47"/>
      <c r="QT122" s="47"/>
      <c r="QU122" s="47"/>
      <c r="QV122" s="47"/>
      <c r="QW122" s="47"/>
      <c r="QX122" s="47"/>
      <c r="QY122" s="47"/>
      <c r="QZ122" s="47"/>
      <c r="RA122" s="47"/>
      <c r="RB122" s="47"/>
      <c r="RC122" s="47"/>
      <c r="RD122" s="47"/>
      <c r="RE122" s="47"/>
      <c r="RF122" s="47"/>
      <c r="RG122" s="47"/>
      <c r="RH122" s="47"/>
      <c r="RI122" s="47"/>
      <c r="RJ122" s="47"/>
      <c r="RK122" s="47"/>
      <c r="RL122" s="47"/>
      <c r="RM122" s="47"/>
      <c r="RN122" s="47"/>
      <c r="RO122" s="47"/>
      <c r="RP122" s="47"/>
      <c r="RQ122" s="47"/>
      <c r="RR122" s="47"/>
      <c r="RS122" s="47"/>
      <c r="RT122" s="47"/>
      <c r="RU122" s="47"/>
      <c r="RV122" s="47"/>
      <c r="RW122" s="47"/>
      <c r="RX122" s="47"/>
      <c r="RY122" s="47"/>
      <c r="RZ122" s="47"/>
      <c r="SA122" s="47"/>
      <c r="SB122" s="47"/>
      <c r="SC122" s="47"/>
      <c r="SD122" s="47"/>
      <c r="SE122" s="47"/>
      <c r="SF122" s="47"/>
      <c r="SG122" s="47"/>
      <c r="SH122" s="47"/>
      <c r="SI122" s="47"/>
      <c r="SJ122" s="47"/>
      <c r="SK122" s="47"/>
      <c r="SL122" s="47"/>
      <c r="SM122" s="47"/>
      <c r="SN122" s="47"/>
      <c r="SO122" s="47"/>
      <c r="SP122" s="47"/>
      <c r="SQ122" s="47"/>
      <c r="SR122" s="47"/>
      <c r="SS122" s="47"/>
      <c r="ST122" s="47"/>
      <c r="SU122" s="47"/>
      <c r="SV122" s="47"/>
      <c r="SW122" s="47"/>
      <c r="SX122" s="47"/>
      <c r="SY122" s="47"/>
      <c r="SZ122" s="47"/>
      <c r="TA122" s="47"/>
      <c r="TB122" s="47"/>
      <c r="TC122" s="47"/>
      <c r="TD122" s="47"/>
      <c r="TE122" s="47"/>
      <c r="TF122" s="47"/>
      <c r="TG122" s="47"/>
      <c r="TH122" s="47"/>
      <c r="TI122" s="47"/>
      <c r="TJ122" s="47"/>
      <c r="TK122" s="47"/>
      <c r="TL122" s="47"/>
      <c r="TM122" s="47"/>
      <c r="TN122" s="47"/>
      <c r="TO122" s="47"/>
      <c r="TP122" s="47"/>
      <c r="TQ122" s="47"/>
      <c r="TR122" s="47"/>
      <c r="TS122" s="47"/>
      <c r="TT122" s="47"/>
      <c r="TU122" s="47"/>
      <c r="TV122" s="47"/>
      <c r="TW122" s="47"/>
      <c r="TX122" s="47"/>
      <c r="TY122" s="47"/>
      <c r="TZ122" s="47"/>
      <c r="UA122" s="47"/>
      <c r="UB122" s="47"/>
      <c r="UC122" s="47"/>
      <c r="UD122" s="47"/>
      <c r="UE122" s="47"/>
      <c r="UF122" s="47"/>
      <c r="UG122" s="47"/>
      <c r="UH122" s="47"/>
      <c r="UI122" s="47"/>
      <c r="UJ122" s="47"/>
      <c r="UK122" s="47"/>
      <c r="UL122" s="47"/>
      <c r="UM122" s="47"/>
      <c r="UN122" s="47"/>
      <c r="UO122" s="47"/>
      <c r="UP122" s="47"/>
      <c r="UQ122" s="47"/>
      <c r="UR122" s="47"/>
      <c r="US122" s="47"/>
      <c r="UT122" s="47"/>
      <c r="UU122" s="47"/>
      <c r="UV122" s="47"/>
      <c r="UW122" s="47"/>
      <c r="UX122" s="47"/>
      <c r="UY122" s="47"/>
      <c r="UZ122" s="47"/>
      <c r="VA122" s="47"/>
      <c r="VB122" s="47"/>
      <c r="VC122" s="47"/>
      <c r="VD122" s="47"/>
      <c r="VE122" s="47"/>
      <c r="VF122" s="47"/>
    </row>
    <row r="123" spans="1:578" s="41" customFormat="1" ht="18" customHeight="1" x14ac:dyDescent="0.2">
      <c r="A123" s="39"/>
      <c r="B123" s="93"/>
      <c r="C123" s="93"/>
      <c r="D123" s="42" t="str">
        <f>'дод 3'!C64</f>
        <v>у т.ч. за рахунок субвенцій з держбюджету</v>
      </c>
      <c r="E123" s="65">
        <v>222289440</v>
      </c>
      <c r="F123" s="65"/>
      <c r="G123" s="65"/>
      <c r="H123" s="65">
        <v>92807957.379999995</v>
      </c>
      <c r="I123" s="65"/>
      <c r="J123" s="65"/>
      <c r="K123" s="130">
        <f t="shared" si="20"/>
        <v>41.750951993041141</v>
      </c>
      <c r="L123" s="65">
        <f t="shared" si="17"/>
        <v>0</v>
      </c>
      <c r="M123" s="65"/>
      <c r="N123" s="65"/>
      <c r="O123" s="65"/>
      <c r="P123" s="65"/>
      <c r="Q123" s="65"/>
      <c r="R123" s="65">
        <f t="shared" si="21"/>
        <v>0</v>
      </c>
      <c r="S123" s="65"/>
      <c r="T123" s="65"/>
      <c r="U123" s="65"/>
      <c r="V123" s="65"/>
      <c r="W123" s="65"/>
      <c r="X123" s="132"/>
      <c r="Y123" s="65">
        <f t="shared" si="19"/>
        <v>92807957.379999995</v>
      </c>
      <c r="Z123" s="203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47"/>
      <c r="KC123" s="47"/>
      <c r="KD123" s="47"/>
      <c r="KE123" s="47"/>
      <c r="KF123" s="47"/>
      <c r="KG123" s="47"/>
      <c r="KH123" s="47"/>
      <c r="KI123" s="47"/>
      <c r="KJ123" s="47"/>
      <c r="KK123" s="47"/>
      <c r="KL123" s="47"/>
      <c r="KM123" s="47"/>
      <c r="KN123" s="47"/>
      <c r="KO123" s="47"/>
      <c r="KP123" s="47"/>
      <c r="KQ123" s="47"/>
      <c r="KR123" s="47"/>
      <c r="KS123" s="47"/>
      <c r="KT123" s="47"/>
      <c r="KU123" s="47"/>
      <c r="KV123" s="47"/>
      <c r="KW123" s="47"/>
      <c r="KX123" s="47"/>
      <c r="KY123" s="47"/>
      <c r="KZ123" s="47"/>
      <c r="LA123" s="47"/>
      <c r="LB123" s="47"/>
      <c r="LC123" s="47"/>
      <c r="LD123" s="47"/>
      <c r="LE123" s="47"/>
      <c r="LF123" s="47"/>
      <c r="LG123" s="47"/>
      <c r="LH123" s="47"/>
      <c r="LI123" s="47"/>
      <c r="LJ123" s="47"/>
      <c r="LK123" s="47"/>
      <c r="LL123" s="47"/>
      <c r="LM123" s="47"/>
      <c r="LN123" s="47"/>
      <c r="LO123" s="47"/>
      <c r="LP123" s="47"/>
      <c r="LQ123" s="47"/>
      <c r="LR123" s="47"/>
      <c r="LS123" s="47"/>
      <c r="LT123" s="47"/>
      <c r="LU123" s="47"/>
      <c r="LV123" s="47"/>
      <c r="LW123" s="47"/>
      <c r="LX123" s="47"/>
      <c r="LY123" s="47"/>
      <c r="LZ123" s="47"/>
      <c r="MA123" s="47"/>
      <c r="MB123" s="47"/>
      <c r="MC123" s="47"/>
      <c r="MD123" s="47"/>
      <c r="ME123" s="47"/>
      <c r="MF123" s="47"/>
      <c r="MG123" s="47"/>
      <c r="MH123" s="47"/>
      <c r="MI123" s="47"/>
      <c r="MJ123" s="4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  <c r="NE123" s="47"/>
      <c r="NF123" s="47"/>
      <c r="NG123" s="47"/>
      <c r="NH123" s="47"/>
      <c r="NI123" s="47"/>
      <c r="NJ123" s="47"/>
      <c r="NK123" s="47"/>
      <c r="NL123" s="47"/>
      <c r="NM123" s="47"/>
      <c r="NN123" s="47"/>
      <c r="NO123" s="47"/>
      <c r="NP123" s="47"/>
      <c r="NQ123" s="47"/>
      <c r="NR123" s="47"/>
      <c r="NS123" s="47"/>
      <c r="NT123" s="47"/>
      <c r="NU123" s="47"/>
      <c r="NV123" s="47"/>
      <c r="NW123" s="47"/>
      <c r="NX123" s="47"/>
      <c r="NY123" s="47"/>
      <c r="NZ123" s="47"/>
      <c r="OA123" s="47"/>
      <c r="OB123" s="47"/>
      <c r="OC123" s="47"/>
      <c r="OD123" s="47"/>
      <c r="OE123" s="47"/>
      <c r="OF123" s="47"/>
      <c r="OG123" s="47"/>
      <c r="OH123" s="47"/>
      <c r="OI123" s="47"/>
      <c r="OJ123" s="47"/>
      <c r="OK123" s="47"/>
      <c r="OL123" s="47"/>
      <c r="OM123" s="47"/>
      <c r="ON123" s="47"/>
      <c r="OO123" s="47"/>
      <c r="OP123" s="47"/>
      <c r="OQ123" s="47"/>
      <c r="OR123" s="47"/>
      <c r="OS123" s="47"/>
      <c r="OT123" s="47"/>
      <c r="OU123" s="47"/>
      <c r="OV123" s="47"/>
      <c r="OW123" s="47"/>
      <c r="OX123" s="47"/>
      <c r="OY123" s="47"/>
      <c r="OZ123" s="47"/>
      <c r="PA123" s="47"/>
      <c r="PB123" s="47"/>
      <c r="PC123" s="47"/>
      <c r="PD123" s="47"/>
      <c r="PE123" s="47"/>
      <c r="PF123" s="47"/>
      <c r="PG123" s="47"/>
      <c r="PH123" s="47"/>
      <c r="PI123" s="47"/>
      <c r="PJ123" s="47"/>
      <c r="PK123" s="47"/>
      <c r="PL123" s="47"/>
      <c r="PM123" s="47"/>
      <c r="PN123" s="47"/>
      <c r="PO123" s="47"/>
      <c r="PP123" s="47"/>
      <c r="PQ123" s="47"/>
      <c r="PR123" s="47"/>
      <c r="PS123" s="47"/>
      <c r="PT123" s="47"/>
      <c r="PU123" s="47"/>
      <c r="PV123" s="47"/>
      <c r="PW123" s="47"/>
      <c r="PX123" s="47"/>
      <c r="PY123" s="47"/>
      <c r="PZ123" s="47"/>
      <c r="QA123" s="47"/>
      <c r="QB123" s="47"/>
      <c r="QC123" s="47"/>
      <c r="QD123" s="47"/>
      <c r="QE123" s="47"/>
      <c r="QF123" s="47"/>
      <c r="QG123" s="47"/>
      <c r="QH123" s="47"/>
      <c r="QI123" s="47"/>
      <c r="QJ123" s="47"/>
      <c r="QK123" s="47"/>
      <c r="QL123" s="47"/>
      <c r="QM123" s="47"/>
      <c r="QN123" s="47"/>
      <c r="QO123" s="47"/>
      <c r="QP123" s="47"/>
      <c r="QQ123" s="47"/>
      <c r="QR123" s="47"/>
      <c r="QS123" s="47"/>
      <c r="QT123" s="47"/>
      <c r="QU123" s="47"/>
      <c r="QV123" s="47"/>
      <c r="QW123" s="47"/>
      <c r="QX123" s="47"/>
      <c r="QY123" s="47"/>
      <c r="QZ123" s="47"/>
      <c r="RA123" s="47"/>
      <c r="RB123" s="47"/>
      <c r="RC123" s="47"/>
      <c r="RD123" s="47"/>
      <c r="RE123" s="47"/>
      <c r="RF123" s="47"/>
      <c r="RG123" s="47"/>
      <c r="RH123" s="47"/>
      <c r="RI123" s="47"/>
      <c r="RJ123" s="47"/>
      <c r="RK123" s="47"/>
      <c r="RL123" s="47"/>
      <c r="RM123" s="47"/>
      <c r="RN123" s="47"/>
      <c r="RO123" s="47"/>
      <c r="RP123" s="47"/>
      <c r="RQ123" s="47"/>
      <c r="RR123" s="47"/>
      <c r="RS123" s="47"/>
      <c r="RT123" s="47"/>
      <c r="RU123" s="47"/>
      <c r="RV123" s="47"/>
      <c r="RW123" s="47"/>
      <c r="RX123" s="47"/>
      <c r="RY123" s="47"/>
      <c r="RZ123" s="47"/>
      <c r="SA123" s="47"/>
      <c r="SB123" s="47"/>
      <c r="SC123" s="47"/>
      <c r="SD123" s="47"/>
      <c r="SE123" s="47"/>
      <c r="SF123" s="47"/>
      <c r="SG123" s="47"/>
      <c r="SH123" s="47"/>
      <c r="SI123" s="47"/>
      <c r="SJ123" s="47"/>
      <c r="SK123" s="47"/>
      <c r="SL123" s="47"/>
      <c r="SM123" s="47"/>
      <c r="SN123" s="47"/>
      <c r="SO123" s="47"/>
      <c r="SP123" s="47"/>
      <c r="SQ123" s="47"/>
      <c r="SR123" s="47"/>
      <c r="SS123" s="47"/>
      <c r="ST123" s="47"/>
      <c r="SU123" s="47"/>
      <c r="SV123" s="47"/>
      <c r="SW123" s="47"/>
      <c r="SX123" s="47"/>
      <c r="SY123" s="47"/>
      <c r="SZ123" s="47"/>
      <c r="TA123" s="47"/>
      <c r="TB123" s="47"/>
      <c r="TC123" s="47"/>
      <c r="TD123" s="47"/>
      <c r="TE123" s="47"/>
      <c r="TF123" s="47"/>
      <c r="TG123" s="47"/>
      <c r="TH123" s="47"/>
      <c r="TI123" s="47"/>
      <c r="TJ123" s="47"/>
      <c r="TK123" s="47"/>
      <c r="TL123" s="47"/>
      <c r="TM123" s="47"/>
      <c r="TN123" s="47"/>
      <c r="TO123" s="47"/>
      <c r="TP123" s="47"/>
      <c r="TQ123" s="47"/>
      <c r="TR123" s="47"/>
      <c r="TS123" s="47"/>
      <c r="TT123" s="47"/>
      <c r="TU123" s="47"/>
      <c r="TV123" s="47"/>
      <c r="TW123" s="47"/>
      <c r="TX123" s="47"/>
      <c r="TY123" s="47"/>
      <c r="TZ123" s="47"/>
      <c r="UA123" s="47"/>
      <c r="UB123" s="47"/>
      <c r="UC123" s="47"/>
      <c r="UD123" s="47"/>
      <c r="UE123" s="47"/>
      <c r="UF123" s="47"/>
      <c r="UG123" s="47"/>
      <c r="UH123" s="47"/>
      <c r="UI123" s="47"/>
      <c r="UJ123" s="47"/>
      <c r="UK123" s="47"/>
      <c r="UL123" s="47"/>
      <c r="UM123" s="47"/>
      <c r="UN123" s="47"/>
      <c r="UO123" s="47"/>
      <c r="UP123" s="47"/>
      <c r="UQ123" s="47"/>
      <c r="UR123" s="47"/>
      <c r="US123" s="47"/>
      <c r="UT123" s="47"/>
      <c r="UU123" s="47"/>
      <c r="UV123" s="47"/>
      <c r="UW123" s="47"/>
      <c r="UX123" s="47"/>
      <c r="UY123" s="47"/>
      <c r="UZ123" s="47"/>
      <c r="VA123" s="47"/>
      <c r="VB123" s="47"/>
      <c r="VC123" s="47"/>
      <c r="VD123" s="47"/>
      <c r="VE123" s="47"/>
      <c r="VF123" s="47"/>
    </row>
    <row r="124" spans="1:578" s="41" customFormat="1" ht="59.25" customHeight="1" x14ac:dyDescent="0.2">
      <c r="A124" s="39" t="s">
        <v>438</v>
      </c>
      <c r="B124" s="93" t="str">
        <f>'дод 3'!A65</f>
        <v>3021</v>
      </c>
      <c r="C124" s="93">
        <f>'дод 3'!B65</f>
        <v>1030</v>
      </c>
      <c r="D124" s="42" t="str">
        <f>'дод 3'!C65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4" s="65">
        <v>60013</v>
      </c>
      <c r="F124" s="65"/>
      <c r="G124" s="65"/>
      <c r="H124" s="65">
        <v>4682.03</v>
      </c>
      <c r="I124" s="65"/>
      <c r="J124" s="65"/>
      <c r="K124" s="130">
        <f t="shared" si="20"/>
        <v>7.8016929665239196</v>
      </c>
      <c r="L124" s="65">
        <f t="shared" ref="L124:L179" si="40">N124+Q124</f>
        <v>0</v>
      </c>
      <c r="M124" s="65"/>
      <c r="N124" s="65"/>
      <c r="O124" s="65"/>
      <c r="P124" s="65"/>
      <c r="Q124" s="65"/>
      <c r="R124" s="65">
        <f t="shared" si="21"/>
        <v>0</v>
      </c>
      <c r="S124" s="65"/>
      <c r="T124" s="65"/>
      <c r="U124" s="65"/>
      <c r="V124" s="65"/>
      <c r="W124" s="65"/>
      <c r="X124" s="132"/>
      <c r="Y124" s="65">
        <f t="shared" si="19"/>
        <v>4682.03</v>
      </c>
      <c r="Z124" s="203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47"/>
      <c r="LJ124" s="47"/>
      <c r="LK124" s="47"/>
      <c r="LL124" s="47"/>
      <c r="LM124" s="47"/>
      <c r="LN124" s="47"/>
      <c r="LO124" s="47"/>
      <c r="LP124" s="47"/>
      <c r="LQ124" s="47"/>
      <c r="LR124" s="47"/>
      <c r="LS124" s="47"/>
      <c r="LT124" s="47"/>
      <c r="LU124" s="47"/>
      <c r="LV124" s="47"/>
      <c r="LW124" s="47"/>
      <c r="LX124" s="47"/>
      <c r="LY124" s="47"/>
      <c r="LZ124" s="47"/>
      <c r="MA124" s="47"/>
      <c r="MB124" s="47"/>
      <c r="MC124" s="47"/>
      <c r="MD124" s="47"/>
      <c r="ME124" s="47"/>
      <c r="MF124" s="47"/>
      <c r="MG124" s="47"/>
      <c r="MH124" s="47"/>
      <c r="MI124" s="47"/>
      <c r="MJ124" s="4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  <c r="NE124" s="47"/>
      <c r="NF124" s="47"/>
      <c r="NG124" s="47"/>
      <c r="NH124" s="47"/>
      <c r="NI124" s="47"/>
      <c r="NJ124" s="47"/>
      <c r="NK124" s="47"/>
      <c r="NL124" s="47"/>
      <c r="NM124" s="47"/>
      <c r="NN124" s="47"/>
      <c r="NO124" s="47"/>
      <c r="NP124" s="47"/>
      <c r="NQ124" s="47"/>
      <c r="NR124" s="47"/>
      <c r="NS124" s="47"/>
      <c r="NT124" s="47"/>
      <c r="NU124" s="47"/>
      <c r="NV124" s="47"/>
      <c r="NW124" s="47"/>
      <c r="NX124" s="47"/>
      <c r="NY124" s="47"/>
      <c r="NZ124" s="47"/>
      <c r="OA124" s="47"/>
      <c r="OB124" s="47"/>
      <c r="OC124" s="47"/>
      <c r="OD124" s="47"/>
      <c r="OE124" s="47"/>
      <c r="OF124" s="47"/>
      <c r="OG124" s="47"/>
      <c r="OH124" s="47"/>
      <c r="OI124" s="47"/>
      <c r="OJ124" s="47"/>
      <c r="OK124" s="47"/>
      <c r="OL124" s="47"/>
      <c r="OM124" s="47"/>
      <c r="ON124" s="47"/>
      <c r="OO124" s="47"/>
      <c r="OP124" s="47"/>
      <c r="OQ124" s="47"/>
      <c r="OR124" s="47"/>
      <c r="OS124" s="47"/>
      <c r="OT124" s="47"/>
      <c r="OU124" s="47"/>
      <c r="OV124" s="47"/>
      <c r="OW124" s="47"/>
      <c r="OX124" s="47"/>
      <c r="OY124" s="47"/>
      <c r="OZ124" s="47"/>
      <c r="PA124" s="47"/>
      <c r="PB124" s="47"/>
      <c r="PC124" s="47"/>
      <c r="PD124" s="47"/>
      <c r="PE124" s="47"/>
      <c r="PF124" s="47"/>
      <c r="PG124" s="47"/>
      <c r="PH124" s="47"/>
      <c r="PI124" s="47"/>
      <c r="PJ124" s="47"/>
      <c r="PK124" s="47"/>
      <c r="PL124" s="47"/>
      <c r="PM124" s="47"/>
      <c r="PN124" s="47"/>
      <c r="PO124" s="47"/>
      <c r="PP124" s="47"/>
      <c r="PQ124" s="47"/>
      <c r="PR124" s="47"/>
      <c r="PS124" s="47"/>
      <c r="PT124" s="47"/>
      <c r="PU124" s="47"/>
      <c r="PV124" s="47"/>
      <c r="PW124" s="47"/>
      <c r="PX124" s="47"/>
      <c r="PY124" s="47"/>
      <c r="PZ124" s="47"/>
      <c r="QA124" s="47"/>
      <c r="QB124" s="47"/>
      <c r="QC124" s="47"/>
      <c r="QD124" s="47"/>
      <c r="QE124" s="47"/>
      <c r="QF124" s="47"/>
      <c r="QG124" s="47"/>
      <c r="QH124" s="47"/>
      <c r="QI124" s="47"/>
      <c r="QJ124" s="47"/>
      <c r="QK124" s="47"/>
      <c r="QL124" s="47"/>
      <c r="QM124" s="47"/>
      <c r="QN124" s="47"/>
      <c r="QO124" s="47"/>
      <c r="QP124" s="47"/>
      <c r="QQ124" s="47"/>
      <c r="QR124" s="47"/>
      <c r="QS124" s="47"/>
      <c r="QT124" s="47"/>
      <c r="QU124" s="47"/>
      <c r="QV124" s="47"/>
      <c r="QW124" s="47"/>
      <c r="QX124" s="47"/>
      <c r="QY124" s="47"/>
      <c r="QZ124" s="47"/>
      <c r="RA124" s="47"/>
      <c r="RB124" s="47"/>
      <c r="RC124" s="47"/>
      <c r="RD124" s="47"/>
      <c r="RE124" s="47"/>
      <c r="RF124" s="47"/>
      <c r="RG124" s="47"/>
      <c r="RH124" s="47"/>
      <c r="RI124" s="47"/>
      <c r="RJ124" s="47"/>
      <c r="RK124" s="47"/>
      <c r="RL124" s="47"/>
      <c r="RM124" s="47"/>
      <c r="RN124" s="47"/>
      <c r="RO124" s="47"/>
      <c r="RP124" s="47"/>
      <c r="RQ124" s="47"/>
      <c r="RR124" s="47"/>
      <c r="RS124" s="47"/>
      <c r="RT124" s="47"/>
      <c r="RU124" s="47"/>
      <c r="RV124" s="47"/>
      <c r="RW124" s="47"/>
      <c r="RX124" s="47"/>
      <c r="RY124" s="47"/>
      <c r="RZ124" s="47"/>
      <c r="SA124" s="47"/>
      <c r="SB124" s="47"/>
      <c r="SC124" s="47"/>
      <c r="SD124" s="47"/>
      <c r="SE124" s="47"/>
      <c r="SF124" s="47"/>
      <c r="SG124" s="47"/>
      <c r="SH124" s="47"/>
      <c r="SI124" s="47"/>
      <c r="SJ124" s="47"/>
      <c r="SK124" s="47"/>
      <c r="SL124" s="47"/>
      <c r="SM124" s="47"/>
      <c r="SN124" s="47"/>
      <c r="SO124" s="47"/>
      <c r="SP124" s="47"/>
      <c r="SQ124" s="47"/>
      <c r="SR124" s="47"/>
      <c r="SS124" s="47"/>
      <c r="ST124" s="47"/>
      <c r="SU124" s="47"/>
      <c r="SV124" s="47"/>
      <c r="SW124" s="47"/>
      <c r="SX124" s="47"/>
      <c r="SY124" s="47"/>
      <c r="SZ124" s="47"/>
      <c r="TA124" s="47"/>
      <c r="TB124" s="47"/>
      <c r="TC124" s="47"/>
      <c r="TD124" s="47"/>
      <c r="TE124" s="47"/>
      <c r="TF124" s="47"/>
      <c r="TG124" s="47"/>
      <c r="TH124" s="47"/>
      <c r="TI124" s="47"/>
      <c r="TJ124" s="47"/>
      <c r="TK124" s="47"/>
      <c r="TL124" s="47"/>
      <c r="TM124" s="47"/>
      <c r="TN124" s="47"/>
      <c r="TO124" s="47"/>
      <c r="TP124" s="47"/>
      <c r="TQ124" s="47"/>
      <c r="TR124" s="47"/>
      <c r="TS124" s="47"/>
      <c r="TT124" s="47"/>
      <c r="TU124" s="47"/>
      <c r="TV124" s="47"/>
      <c r="TW124" s="47"/>
      <c r="TX124" s="47"/>
      <c r="TY124" s="47"/>
      <c r="TZ124" s="47"/>
      <c r="UA124" s="47"/>
      <c r="UB124" s="47"/>
      <c r="UC124" s="47"/>
      <c r="UD124" s="47"/>
      <c r="UE124" s="47"/>
      <c r="UF124" s="47"/>
      <c r="UG124" s="47"/>
      <c r="UH124" s="47"/>
      <c r="UI124" s="47"/>
      <c r="UJ124" s="47"/>
      <c r="UK124" s="47"/>
      <c r="UL124" s="47"/>
      <c r="UM124" s="47"/>
      <c r="UN124" s="47"/>
      <c r="UO124" s="47"/>
      <c r="UP124" s="47"/>
      <c r="UQ124" s="47"/>
      <c r="UR124" s="47"/>
      <c r="US124" s="47"/>
      <c r="UT124" s="47"/>
      <c r="UU124" s="47"/>
      <c r="UV124" s="47"/>
      <c r="UW124" s="47"/>
      <c r="UX124" s="47"/>
      <c r="UY124" s="47"/>
      <c r="UZ124" s="47"/>
      <c r="VA124" s="47"/>
      <c r="VB124" s="47"/>
      <c r="VC124" s="47"/>
      <c r="VD124" s="47"/>
      <c r="VE124" s="47"/>
      <c r="VF124" s="47"/>
    </row>
    <row r="125" spans="1:578" s="41" customFormat="1" ht="15" customHeight="1" x14ac:dyDescent="0.2">
      <c r="A125" s="39"/>
      <c r="B125" s="93"/>
      <c r="C125" s="93"/>
      <c r="D125" s="42" t="str">
        <f>'дод 3'!C66</f>
        <v>у т.ч. за рахунок субвенцій з держбюджету</v>
      </c>
      <c r="E125" s="65">
        <v>60013</v>
      </c>
      <c r="F125" s="65"/>
      <c r="G125" s="65"/>
      <c r="H125" s="65">
        <v>4682.03</v>
      </c>
      <c r="I125" s="65"/>
      <c r="J125" s="65"/>
      <c r="K125" s="130">
        <f t="shared" si="20"/>
        <v>7.8016929665239196</v>
      </c>
      <c r="L125" s="65">
        <f t="shared" si="40"/>
        <v>0</v>
      </c>
      <c r="M125" s="65"/>
      <c r="N125" s="65"/>
      <c r="O125" s="65"/>
      <c r="P125" s="65"/>
      <c r="Q125" s="65"/>
      <c r="R125" s="65">
        <f t="shared" si="21"/>
        <v>0</v>
      </c>
      <c r="S125" s="65"/>
      <c r="T125" s="65"/>
      <c r="U125" s="65"/>
      <c r="V125" s="65"/>
      <c r="W125" s="65"/>
      <c r="X125" s="132"/>
      <c r="Y125" s="65">
        <f t="shared" si="19"/>
        <v>4682.03</v>
      </c>
      <c r="Z125" s="203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47"/>
      <c r="KC125" s="47"/>
      <c r="KD125" s="47"/>
      <c r="KE125" s="47"/>
      <c r="KF125" s="47"/>
      <c r="KG125" s="47"/>
      <c r="KH125" s="47"/>
      <c r="KI125" s="47"/>
      <c r="KJ125" s="47"/>
      <c r="KK125" s="47"/>
      <c r="KL125" s="47"/>
      <c r="KM125" s="47"/>
      <c r="KN125" s="47"/>
      <c r="KO125" s="47"/>
      <c r="KP125" s="47"/>
      <c r="KQ125" s="47"/>
      <c r="KR125" s="47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  <c r="MA125" s="47"/>
      <c r="MB125" s="47"/>
      <c r="MC125" s="47"/>
      <c r="MD125" s="47"/>
      <c r="ME125" s="47"/>
      <c r="MF125" s="47"/>
      <c r="MG125" s="47"/>
      <c r="MH125" s="47"/>
      <c r="MI125" s="47"/>
      <c r="MJ125" s="4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  <c r="NE125" s="47"/>
      <c r="NF125" s="47"/>
      <c r="NG125" s="47"/>
      <c r="NH125" s="47"/>
      <c r="NI125" s="47"/>
      <c r="NJ125" s="47"/>
      <c r="NK125" s="47"/>
      <c r="NL125" s="47"/>
      <c r="NM125" s="47"/>
      <c r="NN125" s="47"/>
      <c r="NO125" s="47"/>
      <c r="NP125" s="47"/>
      <c r="NQ125" s="47"/>
      <c r="NR125" s="47"/>
      <c r="NS125" s="47"/>
      <c r="NT125" s="47"/>
      <c r="NU125" s="47"/>
      <c r="NV125" s="47"/>
      <c r="NW125" s="47"/>
      <c r="NX125" s="47"/>
      <c r="NY125" s="47"/>
      <c r="NZ125" s="47"/>
      <c r="OA125" s="47"/>
      <c r="OB125" s="47"/>
      <c r="OC125" s="47"/>
      <c r="OD125" s="47"/>
      <c r="OE125" s="47"/>
      <c r="OF125" s="47"/>
      <c r="OG125" s="47"/>
      <c r="OH125" s="47"/>
      <c r="OI125" s="47"/>
      <c r="OJ125" s="47"/>
      <c r="OK125" s="47"/>
      <c r="OL125" s="47"/>
      <c r="OM125" s="47"/>
      <c r="ON125" s="47"/>
      <c r="OO125" s="47"/>
      <c r="OP125" s="47"/>
      <c r="OQ125" s="47"/>
      <c r="OR125" s="47"/>
      <c r="OS125" s="47"/>
      <c r="OT125" s="47"/>
      <c r="OU125" s="47"/>
      <c r="OV125" s="47"/>
      <c r="OW125" s="47"/>
      <c r="OX125" s="47"/>
      <c r="OY125" s="47"/>
      <c r="OZ125" s="47"/>
      <c r="PA125" s="47"/>
      <c r="PB125" s="47"/>
      <c r="PC125" s="47"/>
      <c r="PD125" s="47"/>
      <c r="PE125" s="47"/>
      <c r="PF125" s="47"/>
      <c r="PG125" s="47"/>
      <c r="PH125" s="47"/>
      <c r="PI125" s="47"/>
      <c r="PJ125" s="47"/>
      <c r="PK125" s="47"/>
      <c r="PL125" s="47"/>
      <c r="PM125" s="47"/>
      <c r="PN125" s="47"/>
      <c r="PO125" s="47"/>
      <c r="PP125" s="47"/>
      <c r="PQ125" s="47"/>
      <c r="PR125" s="47"/>
      <c r="PS125" s="47"/>
      <c r="PT125" s="47"/>
      <c r="PU125" s="47"/>
      <c r="PV125" s="47"/>
      <c r="PW125" s="47"/>
      <c r="PX125" s="47"/>
      <c r="PY125" s="47"/>
      <c r="PZ125" s="47"/>
      <c r="QA125" s="47"/>
      <c r="QB125" s="47"/>
      <c r="QC125" s="47"/>
      <c r="QD125" s="47"/>
      <c r="QE125" s="47"/>
      <c r="QF125" s="47"/>
      <c r="QG125" s="47"/>
      <c r="QH125" s="47"/>
      <c r="QI125" s="47"/>
      <c r="QJ125" s="47"/>
      <c r="QK125" s="47"/>
      <c r="QL125" s="47"/>
      <c r="QM125" s="47"/>
      <c r="QN125" s="47"/>
      <c r="QO125" s="47"/>
      <c r="QP125" s="47"/>
      <c r="QQ125" s="47"/>
      <c r="QR125" s="47"/>
      <c r="QS125" s="47"/>
      <c r="QT125" s="47"/>
      <c r="QU125" s="47"/>
      <c r="QV125" s="47"/>
      <c r="QW125" s="47"/>
      <c r="QX125" s="47"/>
      <c r="QY125" s="47"/>
      <c r="QZ125" s="47"/>
      <c r="RA125" s="47"/>
      <c r="RB125" s="47"/>
      <c r="RC125" s="47"/>
      <c r="RD125" s="47"/>
      <c r="RE125" s="47"/>
      <c r="RF125" s="47"/>
      <c r="RG125" s="47"/>
      <c r="RH125" s="47"/>
      <c r="RI125" s="47"/>
      <c r="RJ125" s="47"/>
      <c r="RK125" s="47"/>
      <c r="RL125" s="47"/>
      <c r="RM125" s="47"/>
      <c r="RN125" s="47"/>
      <c r="RO125" s="47"/>
      <c r="RP125" s="47"/>
      <c r="RQ125" s="47"/>
      <c r="RR125" s="47"/>
      <c r="RS125" s="47"/>
      <c r="RT125" s="47"/>
      <c r="RU125" s="47"/>
      <c r="RV125" s="47"/>
      <c r="RW125" s="47"/>
      <c r="RX125" s="47"/>
      <c r="RY125" s="47"/>
      <c r="RZ125" s="47"/>
      <c r="SA125" s="47"/>
      <c r="SB125" s="47"/>
      <c r="SC125" s="47"/>
      <c r="SD125" s="47"/>
      <c r="SE125" s="47"/>
      <c r="SF125" s="47"/>
      <c r="SG125" s="47"/>
      <c r="SH125" s="47"/>
      <c r="SI125" s="47"/>
      <c r="SJ125" s="47"/>
      <c r="SK125" s="47"/>
      <c r="SL125" s="47"/>
      <c r="SM125" s="47"/>
      <c r="SN125" s="47"/>
      <c r="SO125" s="47"/>
      <c r="SP125" s="47"/>
      <c r="SQ125" s="47"/>
      <c r="SR125" s="47"/>
      <c r="SS125" s="47"/>
      <c r="ST125" s="47"/>
      <c r="SU125" s="47"/>
      <c r="SV125" s="47"/>
      <c r="SW125" s="47"/>
      <c r="SX125" s="47"/>
      <c r="SY125" s="47"/>
      <c r="SZ125" s="47"/>
      <c r="TA125" s="47"/>
      <c r="TB125" s="47"/>
      <c r="TC125" s="47"/>
      <c r="TD125" s="47"/>
      <c r="TE125" s="47"/>
      <c r="TF125" s="47"/>
      <c r="TG125" s="47"/>
      <c r="TH125" s="47"/>
      <c r="TI125" s="47"/>
      <c r="TJ125" s="47"/>
      <c r="TK125" s="47"/>
      <c r="TL125" s="47"/>
      <c r="TM125" s="47"/>
      <c r="TN125" s="47"/>
      <c r="TO125" s="47"/>
      <c r="TP125" s="47"/>
      <c r="TQ125" s="47"/>
      <c r="TR125" s="47"/>
      <c r="TS125" s="47"/>
      <c r="TT125" s="47"/>
      <c r="TU125" s="47"/>
      <c r="TV125" s="47"/>
      <c r="TW125" s="47"/>
      <c r="TX125" s="47"/>
      <c r="TY125" s="47"/>
      <c r="TZ125" s="47"/>
      <c r="UA125" s="47"/>
      <c r="UB125" s="47"/>
      <c r="UC125" s="47"/>
      <c r="UD125" s="47"/>
      <c r="UE125" s="47"/>
      <c r="UF125" s="47"/>
      <c r="UG125" s="47"/>
      <c r="UH125" s="47"/>
      <c r="UI125" s="47"/>
      <c r="UJ125" s="47"/>
      <c r="UK125" s="47"/>
      <c r="UL125" s="47"/>
      <c r="UM125" s="47"/>
      <c r="UN125" s="47"/>
      <c r="UO125" s="47"/>
      <c r="UP125" s="47"/>
      <c r="UQ125" s="47"/>
      <c r="UR125" s="47"/>
      <c r="US125" s="47"/>
      <c r="UT125" s="47"/>
      <c r="UU125" s="47"/>
      <c r="UV125" s="47"/>
      <c r="UW125" s="47"/>
      <c r="UX125" s="47"/>
      <c r="UY125" s="47"/>
      <c r="UZ125" s="47"/>
      <c r="VA125" s="47"/>
      <c r="VB125" s="47"/>
      <c r="VC125" s="47"/>
      <c r="VD125" s="47"/>
      <c r="VE125" s="47"/>
      <c r="VF125" s="47"/>
    </row>
    <row r="126" spans="1:578" s="41" customFormat="1" ht="49.5" customHeight="1" x14ac:dyDescent="0.2">
      <c r="A126" s="39" t="s">
        <v>439</v>
      </c>
      <c r="B126" s="93" t="str">
        <f>'дод 3'!A67</f>
        <v>3022</v>
      </c>
      <c r="C126" s="93">
        <f>'дод 3'!B67</f>
        <v>1060</v>
      </c>
      <c r="D126" s="42" t="str">
        <f>'дод 3'!C67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6" s="65">
        <v>292387</v>
      </c>
      <c r="F126" s="65"/>
      <c r="G126" s="65"/>
      <c r="H126" s="65">
        <v>27246.94</v>
      </c>
      <c r="I126" s="65"/>
      <c r="J126" s="65"/>
      <c r="K126" s="130">
        <f t="shared" si="20"/>
        <v>9.3187932432016467</v>
      </c>
      <c r="L126" s="65">
        <f t="shared" si="40"/>
        <v>0</v>
      </c>
      <c r="M126" s="65"/>
      <c r="N126" s="65"/>
      <c r="O126" s="65"/>
      <c r="P126" s="65"/>
      <c r="Q126" s="65"/>
      <c r="R126" s="65">
        <f t="shared" si="21"/>
        <v>0</v>
      </c>
      <c r="S126" s="65"/>
      <c r="T126" s="65"/>
      <c r="U126" s="65"/>
      <c r="V126" s="65"/>
      <c r="W126" s="65"/>
      <c r="X126" s="132"/>
      <c r="Y126" s="65">
        <f t="shared" si="19"/>
        <v>27246.94</v>
      </c>
      <c r="Z126" s="203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  <c r="IV126" s="47"/>
      <c r="IW126" s="47"/>
      <c r="IX126" s="47"/>
      <c r="IY126" s="47"/>
      <c r="IZ126" s="47"/>
      <c r="JA126" s="47"/>
      <c r="JB126" s="47"/>
      <c r="JC126" s="47"/>
      <c r="JD126" s="47"/>
      <c r="JE126" s="47"/>
      <c r="JF126" s="47"/>
      <c r="JG126" s="47"/>
      <c r="JH126" s="47"/>
      <c r="JI126" s="47"/>
      <c r="JJ126" s="47"/>
      <c r="JK126" s="47"/>
      <c r="JL126" s="47"/>
      <c r="JM126" s="47"/>
      <c r="JN126" s="47"/>
      <c r="JO126" s="47"/>
      <c r="JP126" s="47"/>
      <c r="JQ126" s="47"/>
      <c r="JR126" s="47"/>
      <c r="JS126" s="47"/>
      <c r="JT126" s="47"/>
      <c r="JU126" s="47"/>
      <c r="JV126" s="47"/>
      <c r="JW126" s="47"/>
      <c r="JX126" s="47"/>
      <c r="JY126" s="47"/>
      <c r="JZ126" s="47"/>
      <c r="KA126" s="47"/>
      <c r="KB126" s="47"/>
      <c r="KC126" s="47"/>
      <c r="KD126" s="47"/>
      <c r="KE126" s="47"/>
      <c r="KF126" s="47"/>
      <c r="KG126" s="47"/>
      <c r="KH126" s="47"/>
      <c r="KI126" s="47"/>
      <c r="KJ126" s="47"/>
      <c r="KK126" s="47"/>
      <c r="KL126" s="47"/>
      <c r="KM126" s="47"/>
      <c r="KN126" s="47"/>
      <c r="KO126" s="47"/>
      <c r="KP126" s="47"/>
      <c r="KQ126" s="47"/>
      <c r="KR126" s="47"/>
      <c r="KS126" s="47"/>
      <c r="KT126" s="47"/>
      <c r="KU126" s="47"/>
      <c r="KV126" s="47"/>
      <c r="KW126" s="47"/>
      <c r="KX126" s="47"/>
      <c r="KY126" s="47"/>
      <c r="KZ126" s="47"/>
      <c r="LA126" s="47"/>
      <c r="LB126" s="47"/>
      <c r="LC126" s="47"/>
      <c r="LD126" s="47"/>
      <c r="LE126" s="47"/>
      <c r="LF126" s="47"/>
      <c r="LG126" s="47"/>
      <c r="LH126" s="47"/>
      <c r="LI126" s="47"/>
      <c r="LJ126" s="47"/>
      <c r="LK126" s="47"/>
      <c r="LL126" s="47"/>
      <c r="LM126" s="47"/>
      <c r="LN126" s="47"/>
      <c r="LO126" s="47"/>
      <c r="LP126" s="47"/>
      <c r="LQ126" s="47"/>
      <c r="LR126" s="47"/>
      <c r="LS126" s="47"/>
      <c r="LT126" s="47"/>
      <c r="LU126" s="47"/>
      <c r="LV126" s="47"/>
      <c r="LW126" s="47"/>
      <c r="LX126" s="47"/>
      <c r="LY126" s="47"/>
      <c r="LZ126" s="47"/>
      <c r="MA126" s="47"/>
      <c r="MB126" s="47"/>
      <c r="MC126" s="47"/>
      <c r="MD126" s="47"/>
      <c r="ME126" s="47"/>
      <c r="MF126" s="47"/>
      <c r="MG126" s="47"/>
      <c r="MH126" s="47"/>
      <c r="MI126" s="47"/>
      <c r="MJ126" s="47"/>
      <c r="MK126" s="47"/>
      <c r="ML126" s="47"/>
      <c r="MM126" s="47"/>
      <c r="MN126" s="47"/>
      <c r="MO126" s="47"/>
      <c r="MP126" s="47"/>
      <c r="MQ126" s="47"/>
      <c r="MR126" s="47"/>
      <c r="MS126" s="47"/>
      <c r="MT126" s="47"/>
      <c r="MU126" s="47"/>
      <c r="MV126" s="47"/>
      <c r="MW126" s="47"/>
      <c r="MX126" s="47"/>
      <c r="MY126" s="47"/>
      <c r="MZ126" s="47"/>
      <c r="NA126" s="47"/>
      <c r="NB126" s="47"/>
      <c r="NC126" s="47"/>
      <c r="ND126" s="47"/>
      <c r="NE126" s="47"/>
      <c r="NF126" s="47"/>
      <c r="NG126" s="47"/>
      <c r="NH126" s="47"/>
      <c r="NI126" s="47"/>
      <c r="NJ126" s="47"/>
      <c r="NK126" s="47"/>
      <c r="NL126" s="47"/>
      <c r="NM126" s="47"/>
      <c r="NN126" s="47"/>
      <c r="NO126" s="47"/>
      <c r="NP126" s="47"/>
      <c r="NQ126" s="47"/>
      <c r="NR126" s="47"/>
      <c r="NS126" s="47"/>
      <c r="NT126" s="47"/>
      <c r="NU126" s="47"/>
      <c r="NV126" s="47"/>
      <c r="NW126" s="47"/>
      <c r="NX126" s="47"/>
      <c r="NY126" s="47"/>
      <c r="NZ126" s="47"/>
      <c r="OA126" s="47"/>
      <c r="OB126" s="47"/>
      <c r="OC126" s="47"/>
      <c r="OD126" s="47"/>
      <c r="OE126" s="47"/>
      <c r="OF126" s="47"/>
      <c r="OG126" s="47"/>
      <c r="OH126" s="47"/>
      <c r="OI126" s="47"/>
      <c r="OJ126" s="47"/>
      <c r="OK126" s="47"/>
      <c r="OL126" s="47"/>
      <c r="OM126" s="47"/>
      <c r="ON126" s="47"/>
      <c r="OO126" s="47"/>
      <c r="OP126" s="47"/>
      <c r="OQ126" s="47"/>
      <c r="OR126" s="47"/>
      <c r="OS126" s="47"/>
      <c r="OT126" s="47"/>
      <c r="OU126" s="47"/>
      <c r="OV126" s="47"/>
      <c r="OW126" s="47"/>
      <c r="OX126" s="47"/>
      <c r="OY126" s="47"/>
      <c r="OZ126" s="47"/>
      <c r="PA126" s="47"/>
      <c r="PB126" s="47"/>
      <c r="PC126" s="47"/>
      <c r="PD126" s="47"/>
      <c r="PE126" s="47"/>
      <c r="PF126" s="47"/>
      <c r="PG126" s="47"/>
      <c r="PH126" s="47"/>
      <c r="PI126" s="47"/>
      <c r="PJ126" s="47"/>
      <c r="PK126" s="47"/>
      <c r="PL126" s="47"/>
      <c r="PM126" s="47"/>
      <c r="PN126" s="47"/>
      <c r="PO126" s="47"/>
      <c r="PP126" s="47"/>
      <c r="PQ126" s="47"/>
      <c r="PR126" s="47"/>
      <c r="PS126" s="47"/>
      <c r="PT126" s="47"/>
      <c r="PU126" s="47"/>
      <c r="PV126" s="47"/>
      <c r="PW126" s="47"/>
      <c r="PX126" s="47"/>
      <c r="PY126" s="47"/>
      <c r="PZ126" s="47"/>
      <c r="QA126" s="47"/>
      <c r="QB126" s="47"/>
      <c r="QC126" s="47"/>
      <c r="QD126" s="47"/>
      <c r="QE126" s="47"/>
      <c r="QF126" s="47"/>
      <c r="QG126" s="47"/>
      <c r="QH126" s="47"/>
      <c r="QI126" s="47"/>
      <c r="QJ126" s="47"/>
      <c r="QK126" s="47"/>
      <c r="QL126" s="47"/>
      <c r="QM126" s="47"/>
      <c r="QN126" s="47"/>
      <c r="QO126" s="47"/>
      <c r="QP126" s="47"/>
      <c r="QQ126" s="47"/>
      <c r="QR126" s="47"/>
      <c r="QS126" s="47"/>
      <c r="QT126" s="47"/>
      <c r="QU126" s="47"/>
      <c r="QV126" s="47"/>
      <c r="QW126" s="47"/>
      <c r="QX126" s="47"/>
      <c r="QY126" s="47"/>
      <c r="QZ126" s="47"/>
      <c r="RA126" s="47"/>
      <c r="RB126" s="47"/>
      <c r="RC126" s="47"/>
      <c r="RD126" s="47"/>
      <c r="RE126" s="47"/>
      <c r="RF126" s="47"/>
      <c r="RG126" s="47"/>
      <c r="RH126" s="47"/>
      <c r="RI126" s="47"/>
      <c r="RJ126" s="47"/>
      <c r="RK126" s="47"/>
      <c r="RL126" s="47"/>
      <c r="RM126" s="47"/>
      <c r="RN126" s="47"/>
      <c r="RO126" s="47"/>
      <c r="RP126" s="47"/>
      <c r="RQ126" s="47"/>
      <c r="RR126" s="47"/>
      <c r="RS126" s="47"/>
      <c r="RT126" s="47"/>
      <c r="RU126" s="47"/>
      <c r="RV126" s="47"/>
      <c r="RW126" s="47"/>
      <c r="RX126" s="47"/>
      <c r="RY126" s="47"/>
      <c r="RZ126" s="47"/>
      <c r="SA126" s="47"/>
      <c r="SB126" s="47"/>
      <c r="SC126" s="47"/>
      <c r="SD126" s="47"/>
      <c r="SE126" s="47"/>
      <c r="SF126" s="47"/>
      <c r="SG126" s="47"/>
      <c r="SH126" s="47"/>
      <c r="SI126" s="47"/>
      <c r="SJ126" s="47"/>
      <c r="SK126" s="47"/>
      <c r="SL126" s="47"/>
      <c r="SM126" s="47"/>
      <c r="SN126" s="47"/>
      <c r="SO126" s="47"/>
      <c r="SP126" s="47"/>
      <c r="SQ126" s="47"/>
      <c r="SR126" s="47"/>
      <c r="SS126" s="47"/>
      <c r="ST126" s="47"/>
      <c r="SU126" s="47"/>
      <c r="SV126" s="47"/>
      <c r="SW126" s="47"/>
      <c r="SX126" s="47"/>
      <c r="SY126" s="47"/>
      <c r="SZ126" s="47"/>
      <c r="TA126" s="47"/>
      <c r="TB126" s="47"/>
      <c r="TC126" s="47"/>
      <c r="TD126" s="47"/>
      <c r="TE126" s="47"/>
      <c r="TF126" s="47"/>
      <c r="TG126" s="47"/>
      <c r="TH126" s="47"/>
      <c r="TI126" s="47"/>
      <c r="TJ126" s="47"/>
      <c r="TK126" s="47"/>
      <c r="TL126" s="47"/>
      <c r="TM126" s="47"/>
      <c r="TN126" s="47"/>
      <c r="TO126" s="47"/>
      <c r="TP126" s="47"/>
      <c r="TQ126" s="47"/>
      <c r="TR126" s="47"/>
      <c r="TS126" s="47"/>
      <c r="TT126" s="47"/>
      <c r="TU126" s="47"/>
      <c r="TV126" s="47"/>
      <c r="TW126" s="47"/>
      <c r="TX126" s="47"/>
      <c r="TY126" s="47"/>
      <c r="TZ126" s="47"/>
      <c r="UA126" s="47"/>
      <c r="UB126" s="47"/>
      <c r="UC126" s="47"/>
      <c r="UD126" s="47"/>
      <c r="UE126" s="47"/>
      <c r="UF126" s="47"/>
      <c r="UG126" s="47"/>
      <c r="UH126" s="47"/>
      <c r="UI126" s="47"/>
      <c r="UJ126" s="47"/>
      <c r="UK126" s="47"/>
      <c r="UL126" s="47"/>
      <c r="UM126" s="47"/>
      <c r="UN126" s="47"/>
      <c r="UO126" s="47"/>
      <c r="UP126" s="47"/>
      <c r="UQ126" s="47"/>
      <c r="UR126" s="47"/>
      <c r="US126" s="47"/>
      <c r="UT126" s="47"/>
      <c r="UU126" s="47"/>
      <c r="UV126" s="47"/>
      <c r="UW126" s="47"/>
      <c r="UX126" s="47"/>
      <c r="UY126" s="47"/>
      <c r="UZ126" s="47"/>
      <c r="VA126" s="47"/>
      <c r="VB126" s="47"/>
      <c r="VC126" s="47"/>
      <c r="VD126" s="47"/>
      <c r="VE126" s="47"/>
      <c r="VF126" s="47"/>
    </row>
    <row r="127" spans="1:578" s="41" customFormat="1" ht="15" customHeight="1" x14ac:dyDescent="0.2">
      <c r="A127" s="39"/>
      <c r="B127" s="93"/>
      <c r="C127" s="93"/>
      <c r="D127" s="42" t="str">
        <f>'дод 3'!C68</f>
        <v>у т.ч. за рахунок субвенцій з держбюджету</v>
      </c>
      <c r="E127" s="65">
        <v>292387</v>
      </c>
      <c r="F127" s="65"/>
      <c r="G127" s="65"/>
      <c r="H127" s="65">
        <v>27246.94</v>
      </c>
      <c r="I127" s="65"/>
      <c r="J127" s="65"/>
      <c r="K127" s="130">
        <f t="shared" si="20"/>
        <v>9.3187932432016467</v>
      </c>
      <c r="L127" s="65">
        <f t="shared" si="40"/>
        <v>0</v>
      </c>
      <c r="M127" s="65"/>
      <c r="N127" s="65"/>
      <c r="O127" s="65"/>
      <c r="P127" s="65"/>
      <c r="Q127" s="65"/>
      <c r="R127" s="65">
        <f t="shared" si="21"/>
        <v>0</v>
      </c>
      <c r="S127" s="65"/>
      <c r="T127" s="65"/>
      <c r="U127" s="65"/>
      <c r="V127" s="65"/>
      <c r="W127" s="65"/>
      <c r="X127" s="132"/>
      <c r="Y127" s="65">
        <f t="shared" si="19"/>
        <v>27246.94</v>
      </c>
      <c r="Z127" s="203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47"/>
      <c r="KC127" s="47"/>
      <c r="KD127" s="47"/>
      <c r="KE127" s="47"/>
      <c r="KF127" s="47"/>
      <c r="KG127" s="47"/>
      <c r="KH127" s="47"/>
      <c r="KI127" s="47"/>
      <c r="KJ127" s="47"/>
      <c r="KK127" s="47"/>
      <c r="KL127" s="47"/>
      <c r="KM127" s="47"/>
      <c r="KN127" s="47"/>
      <c r="KO127" s="47"/>
      <c r="KP127" s="47"/>
      <c r="KQ127" s="47"/>
      <c r="KR127" s="47"/>
      <c r="KS127" s="47"/>
      <c r="KT127" s="47"/>
      <c r="KU127" s="47"/>
      <c r="KV127" s="47"/>
      <c r="KW127" s="47"/>
      <c r="KX127" s="47"/>
      <c r="KY127" s="47"/>
      <c r="KZ127" s="47"/>
      <c r="LA127" s="47"/>
      <c r="LB127" s="47"/>
      <c r="LC127" s="47"/>
      <c r="LD127" s="47"/>
      <c r="LE127" s="47"/>
      <c r="LF127" s="47"/>
      <c r="LG127" s="47"/>
      <c r="LH127" s="47"/>
      <c r="LI127" s="47"/>
      <c r="LJ127" s="47"/>
      <c r="LK127" s="47"/>
      <c r="LL127" s="47"/>
      <c r="LM127" s="47"/>
      <c r="LN127" s="47"/>
      <c r="LO127" s="47"/>
      <c r="LP127" s="47"/>
      <c r="LQ127" s="47"/>
      <c r="LR127" s="47"/>
      <c r="LS127" s="47"/>
      <c r="LT127" s="47"/>
      <c r="LU127" s="47"/>
      <c r="LV127" s="47"/>
      <c r="LW127" s="47"/>
      <c r="LX127" s="47"/>
      <c r="LY127" s="47"/>
      <c r="LZ127" s="47"/>
      <c r="MA127" s="47"/>
      <c r="MB127" s="47"/>
      <c r="MC127" s="47"/>
      <c r="MD127" s="47"/>
      <c r="ME127" s="47"/>
      <c r="MF127" s="47"/>
      <c r="MG127" s="47"/>
      <c r="MH127" s="47"/>
      <c r="MI127" s="47"/>
      <c r="MJ127" s="4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  <c r="NE127" s="47"/>
      <c r="NF127" s="47"/>
      <c r="NG127" s="47"/>
      <c r="NH127" s="47"/>
      <c r="NI127" s="47"/>
      <c r="NJ127" s="47"/>
      <c r="NK127" s="47"/>
      <c r="NL127" s="47"/>
      <c r="NM127" s="47"/>
      <c r="NN127" s="47"/>
      <c r="NO127" s="47"/>
      <c r="NP127" s="47"/>
      <c r="NQ127" s="47"/>
      <c r="NR127" s="47"/>
      <c r="NS127" s="47"/>
      <c r="NT127" s="47"/>
      <c r="NU127" s="47"/>
      <c r="NV127" s="47"/>
      <c r="NW127" s="47"/>
      <c r="NX127" s="47"/>
      <c r="NY127" s="47"/>
      <c r="NZ127" s="47"/>
      <c r="OA127" s="47"/>
      <c r="OB127" s="47"/>
      <c r="OC127" s="47"/>
      <c r="OD127" s="47"/>
      <c r="OE127" s="47"/>
      <c r="OF127" s="47"/>
      <c r="OG127" s="47"/>
      <c r="OH127" s="47"/>
      <c r="OI127" s="47"/>
      <c r="OJ127" s="47"/>
      <c r="OK127" s="47"/>
      <c r="OL127" s="47"/>
      <c r="OM127" s="47"/>
      <c r="ON127" s="47"/>
      <c r="OO127" s="47"/>
      <c r="OP127" s="47"/>
      <c r="OQ127" s="47"/>
      <c r="OR127" s="47"/>
      <c r="OS127" s="47"/>
      <c r="OT127" s="47"/>
      <c r="OU127" s="47"/>
      <c r="OV127" s="47"/>
      <c r="OW127" s="47"/>
      <c r="OX127" s="47"/>
      <c r="OY127" s="47"/>
      <c r="OZ127" s="47"/>
      <c r="PA127" s="47"/>
      <c r="PB127" s="47"/>
      <c r="PC127" s="47"/>
      <c r="PD127" s="47"/>
      <c r="PE127" s="47"/>
      <c r="PF127" s="47"/>
      <c r="PG127" s="47"/>
      <c r="PH127" s="47"/>
      <c r="PI127" s="47"/>
      <c r="PJ127" s="47"/>
      <c r="PK127" s="47"/>
      <c r="PL127" s="47"/>
      <c r="PM127" s="47"/>
      <c r="PN127" s="47"/>
      <c r="PO127" s="47"/>
      <c r="PP127" s="47"/>
      <c r="PQ127" s="47"/>
      <c r="PR127" s="47"/>
      <c r="PS127" s="47"/>
      <c r="PT127" s="47"/>
      <c r="PU127" s="47"/>
      <c r="PV127" s="47"/>
      <c r="PW127" s="47"/>
      <c r="PX127" s="47"/>
      <c r="PY127" s="47"/>
      <c r="PZ127" s="47"/>
      <c r="QA127" s="47"/>
      <c r="QB127" s="47"/>
      <c r="QC127" s="47"/>
      <c r="QD127" s="47"/>
      <c r="QE127" s="47"/>
      <c r="QF127" s="47"/>
      <c r="QG127" s="47"/>
      <c r="QH127" s="47"/>
      <c r="QI127" s="47"/>
      <c r="QJ127" s="47"/>
      <c r="QK127" s="47"/>
      <c r="QL127" s="47"/>
      <c r="QM127" s="47"/>
      <c r="QN127" s="47"/>
      <c r="QO127" s="47"/>
      <c r="QP127" s="47"/>
      <c r="QQ127" s="47"/>
      <c r="QR127" s="47"/>
      <c r="QS127" s="47"/>
      <c r="QT127" s="47"/>
      <c r="QU127" s="47"/>
      <c r="QV127" s="47"/>
      <c r="QW127" s="47"/>
      <c r="QX127" s="47"/>
      <c r="QY127" s="47"/>
      <c r="QZ127" s="47"/>
      <c r="RA127" s="47"/>
      <c r="RB127" s="47"/>
      <c r="RC127" s="47"/>
      <c r="RD127" s="47"/>
      <c r="RE127" s="47"/>
      <c r="RF127" s="47"/>
      <c r="RG127" s="47"/>
      <c r="RH127" s="47"/>
      <c r="RI127" s="47"/>
      <c r="RJ127" s="47"/>
      <c r="RK127" s="47"/>
      <c r="RL127" s="47"/>
      <c r="RM127" s="47"/>
      <c r="RN127" s="47"/>
      <c r="RO127" s="47"/>
      <c r="RP127" s="47"/>
      <c r="RQ127" s="47"/>
      <c r="RR127" s="47"/>
      <c r="RS127" s="47"/>
      <c r="RT127" s="47"/>
      <c r="RU127" s="47"/>
      <c r="RV127" s="47"/>
      <c r="RW127" s="47"/>
      <c r="RX127" s="47"/>
      <c r="RY127" s="47"/>
      <c r="RZ127" s="47"/>
      <c r="SA127" s="47"/>
      <c r="SB127" s="47"/>
      <c r="SC127" s="47"/>
      <c r="SD127" s="47"/>
      <c r="SE127" s="47"/>
      <c r="SF127" s="47"/>
      <c r="SG127" s="47"/>
      <c r="SH127" s="47"/>
      <c r="SI127" s="47"/>
      <c r="SJ127" s="47"/>
      <c r="SK127" s="47"/>
      <c r="SL127" s="47"/>
      <c r="SM127" s="47"/>
      <c r="SN127" s="47"/>
      <c r="SO127" s="47"/>
      <c r="SP127" s="47"/>
      <c r="SQ127" s="47"/>
      <c r="SR127" s="47"/>
      <c r="SS127" s="47"/>
      <c r="ST127" s="47"/>
      <c r="SU127" s="47"/>
      <c r="SV127" s="47"/>
      <c r="SW127" s="47"/>
      <c r="SX127" s="47"/>
      <c r="SY127" s="47"/>
      <c r="SZ127" s="47"/>
      <c r="TA127" s="47"/>
      <c r="TB127" s="47"/>
      <c r="TC127" s="47"/>
      <c r="TD127" s="47"/>
      <c r="TE127" s="47"/>
      <c r="TF127" s="47"/>
      <c r="TG127" s="47"/>
      <c r="TH127" s="47"/>
      <c r="TI127" s="47"/>
      <c r="TJ127" s="47"/>
      <c r="TK127" s="47"/>
      <c r="TL127" s="47"/>
      <c r="TM127" s="47"/>
      <c r="TN127" s="47"/>
      <c r="TO127" s="47"/>
      <c r="TP127" s="47"/>
      <c r="TQ127" s="47"/>
      <c r="TR127" s="47"/>
      <c r="TS127" s="47"/>
      <c r="TT127" s="47"/>
      <c r="TU127" s="47"/>
      <c r="TV127" s="47"/>
      <c r="TW127" s="47"/>
      <c r="TX127" s="47"/>
      <c r="TY127" s="47"/>
      <c r="TZ127" s="47"/>
      <c r="UA127" s="47"/>
      <c r="UB127" s="47"/>
      <c r="UC127" s="47"/>
      <c r="UD127" s="47"/>
      <c r="UE127" s="47"/>
      <c r="UF127" s="47"/>
      <c r="UG127" s="47"/>
      <c r="UH127" s="47"/>
      <c r="UI127" s="47"/>
      <c r="UJ127" s="47"/>
      <c r="UK127" s="47"/>
      <c r="UL127" s="47"/>
      <c r="UM127" s="47"/>
      <c r="UN127" s="47"/>
      <c r="UO127" s="47"/>
      <c r="UP127" s="47"/>
      <c r="UQ127" s="47"/>
      <c r="UR127" s="47"/>
      <c r="US127" s="47"/>
      <c r="UT127" s="47"/>
      <c r="UU127" s="47"/>
      <c r="UV127" s="47"/>
      <c r="UW127" s="47"/>
      <c r="UX127" s="47"/>
      <c r="UY127" s="47"/>
      <c r="UZ127" s="47"/>
      <c r="VA127" s="47"/>
      <c r="VB127" s="47"/>
      <c r="VC127" s="47"/>
      <c r="VD127" s="47"/>
      <c r="VE127" s="47"/>
      <c r="VF127" s="47"/>
    </row>
    <row r="128" spans="1:578" s="47" customFormat="1" ht="36" customHeight="1" x14ac:dyDescent="0.2">
      <c r="A128" s="39" t="s">
        <v>244</v>
      </c>
      <c r="B128" s="90" t="str">
        <f>'дод 3'!A69</f>
        <v>3031</v>
      </c>
      <c r="C128" s="90" t="str">
        <f>'дод 3'!B69</f>
        <v>1030</v>
      </c>
      <c r="D128" s="42" t="str">
        <f>'дод 3'!C69</f>
        <v>Надання інших пільг окремим категоріям громадян відповідно до законодавства</v>
      </c>
      <c r="E128" s="65">
        <v>510136</v>
      </c>
      <c r="F128" s="65"/>
      <c r="G128" s="65"/>
      <c r="H128" s="65">
        <v>81569.070000000007</v>
      </c>
      <c r="I128" s="65"/>
      <c r="J128" s="65"/>
      <c r="K128" s="130">
        <f t="shared" si="20"/>
        <v>15.989671381749183</v>
      </c>
      <c r="L128" s="65">
        <f t="shared" si="40"/>
        <v>232600</v>
      </c>
      <c r="M128" s="65">
        <v>232600</v>
      </c>
      <c r="N128" s="65"/>
      <c r="O128" s="65"/>
      <c r="P128" s="65"/>
      <c r="Q128" s="65">
        <v>232600</v>
      </c>
      <c r="R128" s="65">
        <f t="shared" si="21"/>
        <v>0</v>
      </c>
      <c r="S128" s="65"/>
      <c r="T128" s="65"/>
      <c r="U128" s="65"/>
      <c r="V128" s="65"/>
      <c r="W128" s="65"/>
      <c r="X128" s="132">
        <f t="shared" si="18"/>
        <v>0</v>
      </c>
      <c r="Y128" s="65">
        <f t="shared" si="19"/>
        <v>81569.070000000007</v>
      </c>
      <c r="Z128" s="203"/>
    </row>
    <row r="129" spans="1:26" s="47" customFormat="1" ht="30" x14ac:dyDescent="0.2">
      <c r="A129" s="39" t="s">
        <v>245</v>
      </c>
      <c r="B129" s="90" t="str">
        <f>'дод 3'!A70</f>
        <v>3032</v>
      </c>
      <c r="C129" s="90" t="str">
        <f>'дод 3'!B70</f>
        <v>1070</v>
      </c>
      <c r="D129" s="42" t="str">
        <f>'дод 3'!C70</f>
        <v>Надання пільг окремим категоріям громадян з оплати послуг зв'язку</v>
      </c>
      <c r="E129" s="65">
        <v>1436397</v>
      </c>
      <c r="F129" s="65"/>
      <c r="G129" s="65"/>
      <c r="H129" s="65">
        <v>356607.8</v>
      </c>
      <c r="I129" s="65"/>
      <c r="J129" s="65"/>
      <c r="K129" s="130">
        <f t="shared" si="20"/>
        <v>24.826548649154795</v>
      </c>
      <c r="L129" s="65">
        <f t="shared" si="40"/>
        <v>0</v>
      </c>
      <c r="M129" s="65"/>
      <c r="N129" s="65"/>
      <c r="O129" s="65"/>
      <c r="P129" s="65"/>
      <c r="Q129" s="65"/>
      <c r="R129" s="65">
        <f t="shared" si="21"/>
        <v>0</v>
      </c>
      <c r="S129" s="65"/>
      <c r="T129" s="65"/>
      <c r="U129" s="65"/>
      <c r="V129" s="65"/>
      <c r="W129" s="65"/>
      <c r="X129" s="132"/>
      <c r="Y129" s="65">
        <f t="shared" si="19"/>
        <v>356607.8</v>
      </c>
      <c r="Z129" s="203"/>
    </row>
    <row r="130" spans="1:26" s="47" customFormat="1" ht="38.25" customHeight="1" x14ac:dyDescent="0.2">
      <c r="A130" s="39" t="s">
        <v>246</v>
      </c>
      <c r="B130" s="90" t="str">
        <f>'дод 3'!A71</f>
        <v>3033</v>
      </c>
      <c r="C130" s="90" t="str">
        <f>'дод 3'!B71</f>
        <v>1070</v>
      </c>
      <c r="D130" s="42" t="str">
        <f>'дод 3'!C71</f>
        <v>Компенсаційні виплати на пільговий проїзд автомобільним транспортом окремим категоріям громадян</v>
      </c>
      <c r="E130" s="65">
        <v>12425246.67</v>
      </c>
      <c r="F130" s="65"/>
      <c r="G130" s="65"/>
      <c r="H130" s="65">
        <v>4606057.28</v>
      </c>
      <c r="I130" s="65"/>
      <c r="J130" s="65"/>
      <c r="K130" s="130">
        <f t="shared" si="20"/>
        <v>37.070147598124102</v>
      </c>
      <c r="L130" s="65">
        <f t="shared" si="40"/>
        <v>0</v>
      </c>
      <c r="M130" s="65"/>
      <c r="N130" s="65"/>
      <c r="O130" s="65"/>
      <c r="P130" s="65"/>
      <c r="Q130" s="65"/>
      <c r="R130" s="65">
        <f t="shared" si="21"/>
        <v>0</v>
      </c>
      <c r="S130" s="65"/>
      <c r="T130" s="65"/>
      <c r="U130" s="65"/>
      <c r="V130" s="65"/>
      <c r="W130" s="65"/>
      <c r="X130" s="132"/>
      <c r="Y130" s="65">
        <f t="shared" si="19"/>
        <v>4606057.28</v>
      </c>
      <c r="Z130" s="203"/>
    </row>
    <row r="131" spans="1:26" s="47" customFormat="1" ht="30" hidden="1" customHeight="1" x14ac:dyDescent="0.2">
      <c r="A131" s="39" t="s">
        <v>495</v>
      </c>
      <c r="B131" s="90" t="str">
        <f>'дод 3'!A72</f>
        <v>3035</v>
      </c>
      <c r="C131" s="90" t="str">
        <f>'дод 3'!B72</f>
        <v>1070</v>
      </c>
      <c r="D131" s="42" t="str">
        <f>'дод 3'!C72</f>
        <v>Компенсаційні виплати за пільговий проїзд окремих категорій громадян на залізничному транспорті</v>
      </c>
      <c r="E131" s="65">
        <v>0</v>
      </c>
      <c r="F131" s="65"/>
      <c r="G131" s="65"/>
      <c r="H131" s="65"/>
      <c r="I131" s="65"/>
      <c r="J131" s="65"/>
      <c r="K131" s="130" t="e">
        <f t="shared" si="20"/>
        <v>#DIV/0!</v>
      </c>
      <c r="L131" s="65">
        <f t="shared" si="40"/>
        <v>0</v>
      </c>
      <c r="M131" s="65"/>
      <c r="N131" s="65"/>
      <c r="O131" s="65"/>
      <c r="P131" s="65"/>
      <c r="Q131" s="65"/>
      <c r="R131" s="65">
        <f t="shared" si="21"/>
        <v>0</v>
      </c>
      <c r="S131" s="65"/>
      <c r="T131" s="65"/>
      <c r="U131" s="65"/>
      <c r="V131" s="65"/>
      <c r="W131" s="65"/>
      <c r="X131" s="132" t="e">
        <f t="shared" si="18"/>
        <v>#DIV/0!</v>
      </c>
      <c r="Y131" s="65">
        <f t="shared" si="19"/>
        <v>0</v>
      </c>
      <c r="Z131" s="203"/>
    </row>
    <row r="132" spans="1:26" s="47" customFormat="1" ht="36" customHeight="1" x14ac:dyDescent="0.2">
      <c r="A132" s="39" t="s">
        <v>247</v>
      </c>
      <c r="B132" s="90" t="str">
        <f>'дод 3'!A73</f>
        <v>3036</v>
      </c>
      <c r="C132" s="90" t="str">
        <f>'дод 3'!B73</f>
        <v>1070</v>
      </c>
      <c r="D132" s="42" t="str">
        <f>'дод 3'!C73</f>
        <v>Компенсаційні виплати на пільговий проїзд електротранспортом окремим категоріям громадян</v>
      </c>
      <c r="E132" s="65">
        <v>21755150</v>
      </c>
      <c r="F132" s="65"/>
      <c r="G132" s="65"/>
      <c r="H132" s="65">
        <v>7640401</v>
      </c>
      <c r="I132" s="65"/>
      <c r="J132" s="65"/>
      <c r="K132" s="130">
        <f t="shared" si="20"/>
        <v>35.11996469801403</v>
      </c>
      <c r="L132" s="65">
        <f t="shared" si="40"/>
        <v>0</v>
      </c>
      <c r="M132" s="65"/>
      <c r="N132" s="65"/>
      <c r="O132" s="65"/>
      <c r="P132" s="65"/>
      <c r="Q132" s="65"/>
      <c r="R132" s="65">
        <f t="shared" si="21"/>
        <v>0</v>
      </c>
      <c r="S132" s="65"/>
      <c r="T132" s="65"/>
      <c r="U132" s="65"/>
      <c r="V132" s="65"/>
      <c r="W132" s="65"/>
      <c r="X132" s="132"/>
      <c r="Y132" s="65">
        <f t="shared" si="19"/>
        <v>7640401</v>
      </c>
      <c r="Z132" s="203"/>
    </row>
    <row r="133" spans="1:26" s="47" customFormat="1" ht="24.75" customHeight="1" x14ac:dyDescent="0.2">
      <c r="A133" s="46" t="s">
        <v>454</v>
      </c>
      <c r="B133" s="93" t="str">
        <f>'дод 3'!A74</f>
        <v>3041</v>
      </c>
      <c r="C133" s="93" t="str">
        <f>'дод 3'!B74</f>
        <v>1040</v>
      </c>
      <c r="D133" s="42" t="str">
        <f>'дод 3'!C74</f>
        <v>Надання допомоги у зв'язку з вагітністю і пологами</v>
      </c>
      <c r="E133" s="65">
        <v>3180550</v>
      </c>
      <c r="F133" s="65"/>
      <c r="G133" s="65"/>
      <c r="H133" s="65">
        <v>439825.85</v>
      </c>
      <c r="I133" s="65"/>
      <c r="J133" s="65"/>
      <c r="K133" s="130">
        <f t="shared" si="20"/>
        <v>13.828609831632892</v>
      </c>
      <c r="L133" s="65">
        <f t="shared" si="40"/>
        <v>0</v>
      </c>
      <c r="M133" s="65"/>
      <c r="N133" s="65"/>
      <c r="O133" s="65"/>
      <c r="P133" s="65"/>
      <c r="Q133" s="65"/>
      <c r="R133" s="65">
        <f t="shared" si="21"/>
        <v>0</v>
      </c>
      <c r="S133" s="65"/>
      <c r="T133" s="65"/>
      <c r="U133" s="65"/>
      <c r="V133" s="65"/>
      <c r="W133" s="65"/>
      <c r="X133" s="132"/>
      <c r="Y133" s="65">
        <f t="shared" si="19"/>
        <v>439825.85</v>
      </c>
      <c r="Z133" s="203"/>
    </row>
    <row r="134" spans="1:26" s="47" customFormat="1" ht="19.5" customHeight="1" x14ac:dyDescent="0.2">
      <c r="A134" s="46"/>
      <c r="B134" s="93"/>
      <c r="C134" s="93"/>
      <c r="D134" s="42" t="str">
        <f>'дод 3'!C75</f>
        <v>у т.ч. за рахунок субвенцій з держбюджету</v>
      </c>
      <c r="E134" s="65">
        <v>3180550</v>
      </c>
      <c r="F134" s="65"/>
      <c r="G134" s="65"/>
      <c r="H134" s="65">
        <v>439825.85</v>
      </c>
      <c r="I134" s="65"/>
      <c r="J134" s="65"/>
      <c r="K134" s="130">
        <f t="shared" si="20"/>
        <v>13.828609831632892</v>
      </c>
      <c r="L134" s="65">
        <f t="shared" si="40"/>
        <v>0</v>
      </c>
      <c r="M134" s="65"/>
      <c r="N134" s="65"/>
      <c r="O134" s="65"/>
      <c r="P134" s="65"/>
      <c r="Q134" s="65"/>
      <c r="R134" s="65">
        <f t="shared" si="21"/>
        <v>0</v>
      </c>
      <c r="S134" s="65"/>
      <c r="T134" s="65"/>
      <c r="U134" s="65"/>
      <c r="V134" s="65"/>
      <c r="W134" s="65"/>
      <c r="X134" s="132"/>
      <c r="Y134" s="65">
        <f t="shared" si="19"/>
        <v>439825.85</v>
      </c>
      <c r="Z134" s="203"/>
    </row>
    <row r="135" spans="1:26" s="47" customFormat="1" ht="21" customHeight="1" x14ac:dyDescent="0.2">
      <c r="A135" s="46" t="s">
        <v>455</v>
      </c>
      <c r="B135" s="93" t="str">
        <f>'дод 3'!A76</f>
        <v>3042</v>
      </c>
      <c r="C135" s="93" t="str">
        <f>'дод 3'!B76</f>
        <v>1040</v>
      </c>
      <c r="D135" s="42" t="str">
        <f>'дод 3'!C76</f>
        <v>Надання допомоги при усиновленні дитини</v>
      </c>
      <c r="E135" s="65">
        <v>516000</v>
      </c>
      <c r="F135" s="65"/>
      <c r="G135" s="65"/>
      <c r="H135" s="65">
        <v>104920</v>
      </c>
      <c r="I135" s="65"/>
      <c r="J135" s="65"/>
      <c r="K135" s="130">
        <f t="shared" si="20"/>
        <v>20.333333333333332</v>
      </c>
      <c r="L135" s="65">
        <f t="shared" si="40"/>
        <v>0</v>
      </c>
      <c r="M135" s="65"/>
      <c r="N135" s="65"/>
      <c r="O135" s="65"/>
      <c r="P135" s="65"/>
      <c r="Q135" s="65"/>
      <c r="R135" s="65">
        <f t="shared" si="21"/>
        <v>0</v>
      </c>
      <c r="S135" s="65"/>
      <c r="T135" s="65"/>
      <c r="U135" s="65"/>
      <c r="V135" s="65"/>
      <c r="W135" s="65"/>
      <c r="X135" s="132"/>
      <c r="Y135" s="65">
        <f t="shared" si="19"/>
        <v>104920</v>
      </c>
      <c r="Z135" s="203"/>
    </row>
    <row r="136" spans="1:26" s="47" customFormat="1" ht="19.5" customHeight="1" x14ac:dyDescent="0.2">
      <c r="A136" s="46"/>
      <c r="B136" s="93"/>
      <c r="C136" s="93"/>
      <c r="D136" s="42" t="str">
        <f>'дод 3'!C77</f>
        <v>у т.ч. за рахунок субвенцій з держбюджету</v>
      </c>
      <c r="E136" s="65">
        <v>516000</v>
      </c>
      <c r="F136" s="65"/>
      <c r="G136" s="65"/>
      <c r="H136" s="65">
        <v>104920</v>
      </c>
      <c r="I136" s="65"/>
      <c r="J136" s="65"/>
      <c r="K136" s="130">
        <f t="shared" si="20"/>
        <v>20.333333333333332</v>
      </c>
      <c r="L136" s="65">
        <f t="shared" si="40"/>
        <v>0</v>
      </c>
      <c r="M136" s="65"/>
      <c r="N136" s="65"/>
      <c r="O136" s="65"/>
      <c r="P136" s="65"/>
      <c r="Q136" s="65"/>
      <c r="R136" s="65">
        <f t="shared" si="21"/>
        <v>0</v>
      </c>
      <c r="S136" s="65"/>
      <c r="T136" s="65"/>
      <c r="U136" s="65"/>
      <c r="V136" s="65"/>
      <c r="W136" s="65"/>
      <c r="X136" s="132"/>
      <c r="Y136" s="65">
        <f t="shared" si="19"/>
        <v>104920</v>
      </c>
      <c r="Z136" s="203"/>
    </row>
    <row r="137" spans="1:26" s="47" customFormat="1" ht="19.5" customHeight="1" x14ac:dyDescent="0.2">
      <c r="A137" s="46" t="s">
        <v>456</v>
      </c>
      <c r="B137" s="93" t="str">
        <f>'дод 3'!A78</f>
        <v>3043</v>
      </c>
      <c r="C137" s="93" t="str">
        <f>'дод 3'!B78</f>
        <v>1040</v>
      </c>
      <c r="D137" s="42" t="str">
        <f>'дод 3'!C78</f>
        <v>Надання допомоги при народженні дитини</v>
      </c>
      <c r="E137" s="65">
        <v>126211100</v>
      </c>
      <c r="F137" s="65"/>
      <c r="G137" s="65"/>
      <c r="H137" s="65">
        <v>26415213.190000001</v>
      </c>
      <c r="I137" s="65"/>
      <c r="J137" s="65"/>
      <c r="K137" s="130">
        <f t="shared" si="20"/>
        <v>20.92938987933708</v>
      </c>
      <c r="L137" s="65">
        <f t="shared" si="40"/>
        <v>0</v>
      </c>
      <c r="M137" s="65"/>
      <c r="N137" s="65"/>
      <c r="O137" s="65"/>
      <c r="P137" s="65"/>
      <c r="Q137" s="65"/>
      <c r="R137" s="65">
        <f t="shared" si="21"/>
        <v>0</v>
      </c>
      <c r="S137" s="65"/>
      <c r="T137" s="65"/>
      <c r="U137" s="65"/>
      <c r="V137" s="65"/>
      <c r="W137" s="65"/>
      <c r="X137" s="132"/>
      <c r="Y137" s="65">
        <f t="shared" si="19"/>
        <v>26415213.190000001</v>
      </c>
      <c r="Z137" s="203"/>
    </row>
    <row r="138" spans="1:26" s="47" customFormat="1" ht="19.5" customHeight="1" x14ac:dyDescent="0.2">
      <c r="A138" s="46"/>
      <c r="B138" s="93"/>
      <c r="C138" s="93"/>
      <c r="D138" s="42" t="str">
        <f>'дод 3'!C79</f>
        <v>у т.ч. за рахунок субвенцій з держбюджету</v>
      </c>
      <c r="E138" s="65">
        <v>126211100</v>
      </c>
      <c r="F138" s="65"/>
      <c r="G138" s="65"/>
      <c r="H138" s="65">
        <v>26415213.190000001</v>
      </c>
      <c r="I138" s="65"/>
      <c r="J138" s="65"/>
      <c r="K138" s="130">
        <f t="shared" si="20"/>
        <v>20.92938987933708</v>
      </c>
      <c r="L138" s="65">
        <f t="shared" si="40"/>
        <v>0</v>
      </c>
      <c r="M138" s="65"/>
      <c r="N138" s="65"/>
      <c r="O138" s="65"/>
      <c r="P138" s="65"/>
      <c r="Q138" s="65"/>
      <c r="R138" s="65">
        <f t="shared" si="21"/>
        <v>0</v>
      </c>
      <c r="S138" s="65"/>
      <c r="T138" s="65"/>
      <c r="U138" s="65"/>
      <c r="V138" s="65"/>
      <c r="W138" s="65"/>
      <c r="X138" s="132"/>
      <c r="Y138" s="65">
        <f t="shared" si="19"/>
        <v>26415213.190000001</v>
      </c>
      <c r="Z138" s="203"/>
    </row>
    <row r="139" spans="1:26" s="47" customFormat="1" ht="30.75" customHeight="1" x14ac:dyDescent="0.2">
      <c r="A139" s="46" t="s">
        <v>457</v>
      </c>
      <c r="B139" s="93" t="str">
        <f>'дод 3'!A80</f>
        <v>3044</v>
      </c>
      <c r="C139" s="93" t="str">
        <f>'дод 3'!B80</f>
        <v>1040</v>
      </c>
      <c r="D139" s="42" t="str">
        <f>'дод 3'!C80</f>
        <v>Надання допомоги на дітей, над якими встановлено опіку чи піклування</v>
      </c>
      <c r="E139" s="65">
        <v>11189800</v>
      </c>
      <c r="F139" s="65"/>
      <c r="G139" s="65"/>
      <c r="H139" s="65">
        <v>2017546.82</v>
      </c>
      <c r="I139" s="65"/>
      <c r="J139" s="65"/>
      <c r="K139" s="130">
        <f t="shared" si="20"/>
        <v>18.030231282060448</v>
      </c>
      <c r="L139" s="65">
        <f t="shared" si="40"/>
        <v>0</v>
      </c>
      <c r="M139" s="65"/>
      <c r="N139" s="65"/>
      <c r="O139" s="65"/>
      <c r="P139" s="65"/>
      <c r="Q139" s="65"/>
      <c r="R139" s="65">
        <f t="shared" si="21"/>
        <v>0</v>
      </c>
      <c r="S139" s="65"/>
      <c r="T139" s="65"/>
      <c r="U139" s="65"/>
      <c r="V139" s="65"/>
      <c r="W139" s="65"/>
      <c r="X139" s="132"/>
      <c r="Y139" s="65">
        <f t="shared" si="19"/>
        <v>2017546.82</v>
      </c>
      <c r="Z139" s="203"/>
    </row>
    <row r="140" spans="1:26" s="47" customFormat="1" ht="19.5" customHeight="1" x14ac:dyDescent="0.2">
      <c r="A140" s="46"/>
      <c r="B140" s="93"/>
      <c r="C140" s="93"/>
      <c r="D140" s="42" t="str">
        <f>'дод 3'!C81</f>
        <v>у т.ч. за рахунок субвенцій з держбюджету</v>
      </c>
      <c r="E140" s="65">
        <v>11189800</v>
      </c>
      <c r="F140" s="65"/>
      <c r="G140" s="65"/>
      <c r="H140" s="65">
        <v>2017546.82</v>
      </c>
      <c r="I140" s="65"/>
      <c r="J140" s="65"/>
      <c r="K140" s="130">
        <f t="shared" si="20"/>
        <v>18.030231282060448</v>
      </c>
      <c r="L140" s="65">
        <f t="shared" si="40"/>
        <v>0</v>
      </c>
      <c r="M140" s="65"/>
      <c r="N140" s="65"/>
      <c r="O140" s="65"/>
      <c r="P140" s="65"/>
      <c r="Q140" s="65"/>
      <c r="R140" s="65">
        <f t="shared" si="21"/>
        <v>0</v>
      </c>
      <c r="S140" s="65"/>
      <c r="T140" s="65"/>
      <c r="U140" s="65"/>
      <c r="V140" s="65"/>
      <c r="W140" s="65"/>
      <c r="X140" s="132"/>
      <c r="Y140" s="65">
        <f t="shared" si="19"/>
        <v>2017546.82</v>
      </c>
      <c r="Z140" s="203"/>
    </row>
    <row r="141" spans="1:26" s="47" customFormat="1" ht="22.5" customHeight="1" x14ac:dyDescent="0.2">
      <c r="A141" s="46" t="s">
        <v>458</v>
      </c>
      <c r="B141" s="93" t="str">
        <f>'дод 3'!A82</f>
        <v>3045</v>
      </c>
      <c r="C141" s="93" t="str">
        <f>'дод 3'!B82</f>
        <v>1040</v>
      </c>
      <c r="D141" s="42" t="str">
        <f>'дод 3'!C82</f>
        <v>Надання допомоги на дітей одиноким матерям</v>
      </c>
      <c r="E141" s="65">
        <v>50396740</v>
      </c>
      <c r="F141" s="65"/>
      <c r="G141" s="65"/>
      <c r="H141" s="65">
        <v>8933510.3699999992</v>
      </c>
      <c r="I141" s="65"/>
      <c r="J141" s="65"/>
      <c r="K141" s="130">
        <f t="shared" si="20"/>
        <v>17.726365574439932</v>
      </c>
      <c r="L141" s="65">
        <f t="shared" si="40"/>
        <v>0</v>
      </c>
      <c r="M141" s="65"/>
      <c r="N141" s="65"/>
      <c r="O141" s="65"/>
      <c r="P141" s="65"/>
      <c r="Q141" s="65"/>
      <c r="R141" s="65">
        <f t="shared" si="21"/>
        <v>0</v>
      </c>
      <c r="S141" s="65"/>
      <c r="T141" s="65"/>
      <c r="U141" s="65"/>
      <c r="V141" s="65"/>
      <c r="W141" s="65"/>
      <c r="X141" s="132"/>
      <c r="Y141" s="65">
        <f t="shared" si="19"/>
        <v>8933510.3699999992</v>
      </c>
      <c r="Z141" s="203"/>
    </row>
    <row r="142" spans="1:26" s="47" customFormat="1" ht="19.5" customHeight="1" x14ac:dyDescent="0.2">
      <c r="A142" s="46"/>
      <c r="B142" s="93"/>
      <c r="C142" s="93"/>
      <c r="D142" s="42" t="str">
        <f>'дод 3'!C83</f>
        <v>у т.ч. за рахунок субвенцій з держбюджету</v>
      </c>
      <c r="E142" s="65">
        <v>50396740</v>
      </c>
      <c r="F142" s="65"/>
      <c r="G142" s="65"/>
      <c r="H142" s="65">
        <v>8933510.3699999992</v>
      </c>
      <c r="I142" s="65"/>
      <c r="J142" s="65"/>
      <c r="K142" s="130">
        <f t="shared" si="20"/>
        <v>17.726365574439932</v>
      </c>
      <c r="L142" s="65">
        <f t="shared" si="40"/>
        <v>0</v>
      </c>
      <c r="M142" s="65"/>
      <c r="N142" s="65"/>
      <c r="O142" s="65"/>
      <c r="P142" s="65"/>
      <c r="Q142" s="65"/>
      <c r="R142" s="65">
        <f t="shared" si="21"/>
        <v>0</v>
      </c>
      <c r="S142" s="65"/>
      <c r="T142" s="65"/>
      <c r="U142" s="65"/>
      <c r="V142" s="65"/>
      <c r="W142" s="65"/>
      <c r="X142" s="132"/>
      <c r="Y142" s="65">
        <f t="shared" si="19"/>
        <v>8933510.3699999992</v>
      </c>
      <c r="Z142" s="203"/>
    </row>
    <row r="143" spans="1:26" s="47" customFormat="1" ht="22.5" customHeight="1" x14ac:dyDescent="0.2">
      <c r="A143" s="46" t="s">
        <v>459</v>
      </c>
      <c r="B143" s="93" t="str">
        <f>'дод 3'!A84</f>
        <v>3046</v>
      </c>
      <c r="C143" s="93" t="str">
        <f>'дод 3'!B84</f>
        <v>1040</v>
      </c>
      <c r="D143" s="42" t="str">
        <f>'дод 3'!C84</f>
        <v>Надання тимчасової державної допомоги дітям</v>
      </c>
      <c r="E143" s="65">
        <v>1473500</v>
      </c>
      <c r="F143" s="65"/>
      <c r="G143" s="65"/>
      <c r="H143" s="65">
        <v>131270.6</v>
      </c>
      <c r="I143" s="65"/>
      <c r="J143" s="65"/>
      <c r="K143" s="130">
        <f t="shared" si="20"/>
        <v>8.9087614523243985</v>
      </c>
      <c r="L143" s="65">
        <f t="shared" si="40"/>
        <v>0</v>
      </c>
      <c r="M143" s="65"/>
      <c r="N143" s="65"/>
      <c r="O143" s="65"/>
      <c r="P143" s="65"/>
      <c r="Q143" s="65"/>
      <c r="R143" s="65">
        <f t="shared" si="21"/>
        <v>0</v>
      </c>
      <c r="S143" s="65"/>
      <c r="T143" s="65"/>
      <c r="U143" s="65"/>
      <c r="V143" s="65"/>
      <c r="W143" s="65"/>
      <c r="X143" s="132"/>
      <c r="Y143" s="65">
        <f t="shared" si="19"/>
        <v>131270.6</v>
      </c>
      <c r="Z143" s="203"/>
    </row>
    <row r="144" spans="1:26" s="47" customFormat="1" ht="19.5" customHeight="1" x14ac:dyDescent="0.2">
      <c r="A144" s="46"/>
      <c r="B144" s="93"/>
      <c r="C144" s="93"/>
      <c r="D144" s="42" t="str">
        <f>'дод 3'!C85</f>
        <v>у т.ч. за рахунок субвенцій з держбюджету</v>
      </c>
      <c r="E144" s="65">
        <v>1473500</v>
      </c>
      <c r="F144" s="65"/>
      <c r="G144" s="65"/>
      <c r="H144" s="65">
        <v>131270.6</v>
      </c>
      <c r="I144" s="65"/>
      <c r="J144" s="65"/>
      <c r="K144" s="130">
        <f t="shared" ref="K144:K207" si="41">SUM(H144/E144)*100</f>
        <v>8.9087614523243985</v>
      </c>
      <c r="L144" s="65">
        <f t="shared" si="40"/>
        <v>0</v>
      </c>
      <c r="M144" s="65"/>
      <c r="N144" s="65"/>
      <c r="O144" s="65"/>
      <c r="P144" s="65"/>
      <c r="Q144" s="65"/>
      <c r="R144" s="65">
        <f t="shared" si="21"/>
        <v>0</v>
      </c>
      <c r="S144" s="65"/>
      <c r="T144" s="65"/>
      <c r="U144" s="65"/>
      <c r="V144" s="65"/>
      <c r="W144" s="65"/>
      <c r="X144" s="132"/>
      <c r="Y144" s="65">
        <f t="shared" ref="Y144:Y207" si="42">SUM(H144+R144)</f>
        <v>131270.6</v>
      </c>
      <c r="Z144" s="203"/>
    </row>
    <row r="145" spans="1:578" s="47" customFormat="1" ht="31.5" customHeight="1" x14ac:dyDescent="0.2">
      <c r="A145" s="46" t="s">
        <v>460</v>
      </c>
      <c r="B145" s="93" t="str">
        <f>'дод 3'!A86</f>
        <v>3047</v>
      </c>
      <c r="C145" s="93" t="str">
        <f>'дод 3'!B86</f>
        <v>1040</v>
      </c>
      <c r="D145" s="42" t="str">
        <f>'дод 3'!C86</f>
        <v>Надання державної соціальної допомоги малозабезпеченим сім’ям</v>
      </c>
      <c r="E145" s="65">
        <v>48594925</v>
      </c>
      <c r="F145" s="65"/>
      <c r="G145" s="65"/>
      <c r="H145" s="65">
        <v>10147163.77</v>
      </c>
      <c r="I145" s="65"/>
      <c r="J145" s="65"/>
      <c r="K145" s="130">
        <f t="shared" si="41"/>
        <v>20.881118285499976</v>
      </c>
      <c r="L145" s="65">
        <f t="shared" si="40"/>
        <v>0</v>
      </c>
      <c r="M145" s="65"/>
      <c r="N145" s="65"/>
      <c r="O145" s="65"/>
      <c r="P145" s="65"/>
      <c r="Q145" s="65"/>
      <c r="R145" s="65">
        <f t="shared" ref="R145:R205" si="43">T145+W145</f>
        <v>0</v>
      </c>
      <c r="S145" s="65"/>
      <c r="T145" s="65"/>
      <c r="U145" s="65"/>
      <c r="V145" s="65"/>
      <c r="W145" s="65"/>
      <c r="X145" s="132"/>
      <c r="Y145" s="65">
        <f t="shared" si="42"/>
        <v>10147163.77</v>
      </c>
      <c r="Z145" s="203"/>
    </row>
    <row r="146" spans="1:578" s="47" customFormat="1" ht="19.5" customHeight="1" x14ac:dyDescent="0.2">
      <c r="A146" s="46"/>
      <c r="B146" s="93"/>
      <c r="C146" s="93"/>
      <c r="D146" s="42" t="str">
        <f>'дод 3'!C87</f>
        <v>у т.ч. за рахунок субвенцій з держбюджету</v>
      </c>
      <c r="E146" s="65">
        <v>48594925</v>
      </c>
      <c r="F146" s="65"/>
      <c r="G146" s="65"/>
      <c r="H146" s="65">
        <v>10147163.77</v>
      </c>
      <c r="I146" s="65"/>
      <c r="J146" s="65"/>
      <c r="K146" s="130">
        <f t="shared" si="41"/>
        <v>20.881118285499976</v>
      </c>
      <c r="L146" s="65">
        <f t="shared" si="40"/>
        <v>0</v>
      </c>
      <c r="M146" s="65"/>
      <c r="N146" s="65"/>
      <c r="O146" s="65"/>
      <c r="P146" s="65"/>
      <c r="Q146" s="65"/>
      <c r="R146" s="65">
        <f t="shared" si="43"/>
        <v>0</v>
      </c>
      <c r="S146" s="65"/>
      <c r="T146" s="65"/>
      <c r="U146" s="65"/>
      <c r="V146" s="65"/>
      <c r="W146" s="65"/>
      <c r="X146" s="132"/>
      <c r="Y146" s="65">
        <f t="shared" si="42"/>
        <v>10147163.77</v>
      </c>
      <c r="Z146" s="203"/>
    </row>
    <row r="147" spans="1:578" s="47" customFormat="1" ht="30" x14ac:dyDescent="0.2">
      <c r="A147" s="89" t="s">
        <v>581</v>
      </c>
      <c r="B147" s="93">
        <v>3049</v>
      </c>
      <c r="C147" s="93">
        <v>1040</v>
      </c>
      <c r="D147" s="42" t="s">
        <v>584</v>
      </c>
      <c r="E147" s="65">
        <v>834585</v>
      </c>
      <c r="F147" s="65"/>
      <c r="G147" s="65"/>
      <c r="H147" s="65"/>
      <c r="I147" s="65"/>
      <c r="J147" s="65"/>
      <c r="K147" s="130">
        <f t="shared" si="41"/>
        <v>0</v>
      </c>
      <c r="L147" s="65">
        <f t="shared" si="40"/>
        <v>0</v>
      </c>
      <c r="M147" s="65"/>
      <c r="N147" s="65"/>
      <c r="O147" s="65"/>
      <c r="P147" s="65"/>
      <c r="Q147" s="65"/>
      <c r="R147" s="65">
        <f t="shared" si="43"/>
        <v>0</v>
      </c>
      <c r="S147" s="65"/>
      <c r="T147" s="65"/>
      <c r="U147" s="65"/>
      <c r="V147" s="65"/>
      <c r="W147" s="65"/>
      <c r="X147" s="132"/>
      <c r="Y147" s="65">
        <f t="shared" si="42"/>
        <v>0</v>
      </c>
      <c r="Z147" s="203"/>
    </row>
    <row r="148" spans="1:578" s="47" customFormat="1" ht="19.5" customHeight="1" x14ac:dyDescent="0.2">
      <c r="A148" s="46"/>
      <c r="B148" s="93"/>
      <c r="C148" s="93"/>
      <c r="D148" s="42" t="s">
        <v>344</v>
      </c>
      <c r="E148" s="65">
        <v>834585</v>
      </c>
      <c r="F148" s="65"/>
      <c r="G148" s="65"/>
      <c r="H148" s="65"/>
      <c r="I148" s="65"/>
      <c r="J148" s="65"/>
      <c r="K148" s="130">
        <f t="shared" si="41"/>
        <v>0</v>
      </c>
      <c r="L148" s="65">
        <f t="shared" si="40"/>
        <v>0</v>
      </c>
      <c r="M148" s="65"/>
      <c r="N148" s="65"/>
      <c r="O148" s="65"/>
      <c r="P148" s="65"/>
      <c r="Q148" s="65"/>
      <c r="R148" s="65">
        <f t="shared" si="43"/>
        <v>0</v>
      </c>
      <c r="S148" s="65"/>
      <c r="T148" s="65"/>
      <c r="U148" s="65"/>
      <c r="V148" s="65"/>
      <c r="W148" s="65"/>
      <c r="X148" s="132"/>
      <c r="Y148" s="65">
        <f t="shared" si="42"/>
        <v>0</v>
      </c>
      <c r="Z148" s="203"/>
    </row>
    <row r="149" spans="1:578" s="41" customFormat="1" ht="34.5" customHeight="1" x14ac:dyDescent="0.2">
      <c r="A149" s="39" t="s">
        <v>248</v>
      </c>
      <c r="B149" s="90" t="str">
        <f>'дод 3'!A90</f>
        <v>3050</v>
      </c>
      <c r="C149" s="90" t="str">
        <f>'дод 3'!B90</f>
        <v>1070</v>
      </c>
      <c r="D149" s="42" t="str">
        <f>'дод 3'!C90</f>
        <v>Пільгове медичне обслуговування осіб, які постраждали внаслідок Чорнобильської катастрофи</v>
      </c>
      <c r="E149" s="65">
        <v>686000</v>
      </c>
      <c r="F149" s="65"/>
      <c r="G149" s="65"/>
      <c r="H149" s="65">
        <v>82212.61</v>
      </c>
      <c r="I149" s="65"/>
      <c r="J149" s="65"/>
      <c r="K149" s="130">
        <f t="shared" si="41"/>
        <v>11.984345481049562</v>
      </c>
      <c r="L149" s="65">
        <f t="shared" si="40"/>
        <v>0</v>
      </c>
      <c r="M149" s="65"/>
      <c r="N149" s="65"/>
      <c r="O149" s="65"/>
      <c r="P149" s="65"/>
      <c r="Q149" s="65"/>
      <c r="R149" s="65">
        <f t="shared" si="43"/>
        <v>0</v>
      </c>
      <c r="S149" s="65"/>
      <c r="T149" s="65"/>
      <c r="U149" s="65"/>
      <c r="V149" s="65"/>
      <c r="W149" s="65"/>
      <c r="X149" s="132"/>
      <c r="Y149" s="65">
        <f t="shared" si="42"/>
        <v>82212.61</v>
      </c>
      <c r="Z149" s="203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47"/>
      <c r="KC149" s="47"/>
      <c r="KD149" s="47"/>
      <c r="KE149" s="47"/>
      <c r="KF149" s="47"/>
      <c r="KG149" s="47"/>
      <c r="KH149" s="47"/>
      <c r="KI149" s="47"/>
      <c r="KJ149" s="47"/>
      <c r="KK149" s="47"/>
      <c r="KL149" s="47"/>
      <c r="KM149" s="47"/>
      <c r="KN149" s="47"/>
      <c r="KO149" s="47"/>
      <c r="KP149" s="47"/>
      <c r="KQ149" s="47"/>
      <c r="KR149" s="47"/>
      <c r="KS149" s="47"/>
      <c r="KT149" s="47"/>
      <c r="KU149" s="47"/>
      <c r="KV149" s="47"/>
      <c r="KW149" s="47"/>
      <c r="KX149" s="47"/>
      <c r="KY149" s="47"/>
      <c r="KZ149" s="47"/>
      <c r="LA149" s="47"/>
      <c r="LB149" s="47"/>
      <c r="LC149" s="47"/>
      <c r="LD149" s="47"/>
      <c r="LE149" s="47"/>
      <c r="LF149" s="47"/>
      <c r="LG149" s="47"/>
      <c r="LH149" s="47"/>
      <c r="LI149" s="47"/>
      <c r="LJ149" s="47"/>
      <c r="LK149" s="47"/>
      <c r="LL149" s="47"/>
      <c r="LM149" s="47"/>
      <c r="LN149" s="47"/>
      <c r="LO149" s="47"/>
      <c r="LP149" s="47"/>
      <c r="LQ149" s="47"/>
      <c r="LR149" s="47"/>
      <c r="LS149" s="47"/>
      <c r="LT149" s="47"/>
      <c r="LU149" s="47"/>
      <c r="LV149" s="47"/>
      <c r="LW149" s="47"/>
      <c r="LX149" s="47"/>
      <c r="LY149" s="47"/>
      <c r="LZ149" s="47"/>
      <c r="MA149" s="47"/>
      <c r="MB149" s="47"/>
      <c r="MC149" s="47"/>
      <c r="MD149" s="47"/>
      <c r="ME149" s="47"/>
      <c r="MF149" s="47"/>
      <c r="MG149" s="47"/>
      <c r="MH149" s="47"/>
      <c r="MI149" s="47"/>
      <c r="MJ149" s="4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  <c r="NE149" s="47"/>
      <c r="NF149" s="47"/>
      <c r="NG149" s="47"/>
      <c r="NH149" s="47"/>
      <c r="NI149" s="47"/>
      <c r="NJ149" s="47"/>
      <c r="NK149" s="47"/>
      <c r="NL149" s="47"/>
      <c r="NM149" s="47"/>
      <c r="NN149" s="47"/>
      <c r="NO149" s="47"/>
      <c r="NP149" s="47"/>
      <c r="NQ149" s="47"/>
      <c r="NR149" s="47"/>
      <c r="NS149" s="47"/>
      <c r="NT149" s="47"/>
      <c r="NU149" s="47"/>
      <c r="NV149" s="47"/>
      <c r="NW149" s="47"/>
      <c r="NX149" s="47"/>
      <c r="NY149" s="47"/>
      <c r="NZ149" s="47"/>
      <c r="OA149" s="47"/>
      <c r="OB149" s="47"/>
      <c r="OC149" s="47"/>
      <c r="OD149" s="47"/>
      <c r="OE149" s="47"/>
      <c r="OF149" s="47"/>
      <c r="OG149" s="47"/>
      <c r="OH149" s="47"/>
      <c r="OI149" s="47"/>
      <c r="OJ149" s="47"/>
      <c r="OK149" s="47"/>
      <c r="OL149" s="47"/>
      <c r="OM149" s="47"/>
      <c r="ON149" s="47"/>
      <c r="OO149" s="47"/>
      <c r="OP149" s="47"/>
      <c r="OQ149" s="47"/>
      <c r="OR149" s="47"/>
      <c r="OS149" s="47"/>
      <c r="OT149" s="47"/>
      <c r="OU149" s="47"/>
      <c r="OV149" s="47"/>
      <c r="OW149" s="47"/>
      <c r="OX149" s="47"/>
      <c r="OY149" s="47"/>
      <c r="OZ149" s="47"/>
      <c r="PA149" s="47"/>
      <c r="PB149" s="47"/>
      <c r="PC149" s="47"/>
      <c r="PD149" s="47"/>
      <c r="PE149" s="47"/>
      <c r="PF149" s="47"/>
      <c r="PG149" s="47"/>
      <c r="PH149" s="47"/>
      <c r="PI149" s="47"/>
      <c r="PJ149" s="47"/>
      <c r="PK149" s="47"/>
      <c r="PL149" s="47"/>
      <c r="PM149" s="47"/>
      <c r="PN149" s="47"/>
      <c r="PO149" s="47"/>
      <c r="PP149" s="47"/>
      <c r="PQ149" s="47"/>
      <c r="PR149" s="47"/>
      <c r="PS149" s="47"/>
      <c r="PT149" s="47"/>
      <c r="PU149" s="47"/>
      <c r="PV149" s="47"/>
      <c r="PW149" s="47"/>
      <c r="PX149" s="47"/>
      <c r="PY149" s="47"/>
      <c r="PZ149" s="47"/>
      <c r="QA149" s="47"/>
      <c r="QB149" s="47"/>
      <c r="QC149" s="47"/>
      <c r="QD149" s="47"/>
      <c r="QE149" s="47"/>
      <c r="QF149" s="47"/>
      <c r="QG149" s="47"/>
      <c r="QH149" s="47"/>
      <c r="QI149" s="47"/>
      <c r="QJ149" s="47"/>
      <c r="QK149" s="47"/>
      <c r="QL149" s="47"/>
      <c r="QM149" s="47"/>
      <c r="QN149" s="47"/>
      <c r="QO149" s="47"/>
      <c r="QP149" s="47"/>
      <c r="QQ149" s="47"/>
      <c r="QR149" s="47"/>
      <c r="QS149" s="47"/>
      <c r="QT149" s="47"/>
      <c r="QU149" s="47"/>
      <c r="QV149" s="47"/>
      <c r="QW149" s="47"/>
      <c r="QX149" s="47"/>
      <c r="QY149" s="47"/>
      <c r="QZ149" s="47"/>
      <c r="RA149" s="47"/>
      <c r="RB149" s="47"/>
      <c r="RC149" s="47"/>
      <c r="RD149" s="47"/>
      <c r="RE149" s="47"/>
      <c r="RF149" s="47"/>
      <c r="RG149" s="47"/>
      <c r="RH149" s="47"/>
      <c r="RI149" s="47"/>
      <c r="RJ149" s="47"/>
      <c r="RK149" s="47"/>
      <c r="RL149" s="47"/>
      <c r="RM149" s="47"/>
      <c r="RN149" s="47"/>
      <c r="RO149" s="47"/>
      <c r="RP149" s="47"/>
      <c r="RQ149" s="47"/>
      <c r="RR149" s="47"/>
      <c r="RS149" s="47"/>
      <c r="RT149" s="47"/>
      <c r="RU149" s="47"/>
      <c r="RV149" s="47"/>
      <c r="RW149" s="47"/>
      <c r="RX149" s="47"/>
      <c r="RY149" s="47"/>
      <c r="RZ149" s="47"/>
      <c r="SA149" s="47"/>
      <c r="SB149" s="47"/>
      <c r="SC149" s="47"/>
      <c r="SD149" s="47"/>
      <c r="SE149" s="47"/>
      <c r="SF149" s="47"/>
      <c r="SG149" s="47"/>
      <c r="SH149" s="47"/>
      <c r="SI149" s="47"/>
      <c r="SJ149" s="47"/>
      <c r="SK149" s="47"/>
      <c r="SL149" s="47"/>
      <c r="SM149" s="47"/>
      <c r="SN149" s="47"/>
      <c r="SO149" s="47"/>
      <c r="SP149" s="47"/>
      <c r="SQ149" s="47"/>
      <c r="SR149" s="47"/>
      <c r="SS149" s="47"/>
      <c r="ST149" s="47"/>
      <c r="SU149" s="47"/>
      <c r="SV149" s="47"/>
      <c r="SW149" s="47"/>
      <c r="SX149" s="47"/>
      <c r="SY149" s="47"/>
      <c r="SZ149" s="47"/>
      <c r="TA149" s="47"/>
      <c r="TB149" s="47"/>
      <c r="TC149" s="47"/>
      <c r="TD149" s="47"/>
      <c r="TE149" s="47"/>
      <c r="TF149" s="47"/>
      <c r="TG149" s="47"/>
      <c r="TH149" s="47"/>
      <c r="TI149" s="47"/>
      <c r="TJ149" s="47"/>
      <c r="TK149" s="47"/>
      <c r="TL149" s="47"/>
      <c r="TM149" s="47"/>
      <c r="TN149" s="47"/>
      <c r="TO149" s="47"/>
      <c r="TP149" s="47"/>
      <c r="TQ149" s="47"/>
      <c r="TR149" s="47"/>
      <c r="TS149" s="47"/>
      <c r="TT149" s="47"/>
      <c r="TU149" s="47"/>
      <c r="TV149" s="47"/>
      <c r="TW149" s="47"/>
      <c r="TX149" s="47"/>
      <c r="TY149" s="47"/>
      <c r="TZ149" s="47"/>
      <c r="UA149" s="47"/>
      <c r="UB149" s="47"/>
      <c r="UC149" s="47"/>
      <c r="UD149" s="47"/>
      <c r="UE149" s="47"/>
      <c r="UF149" s="47"/>
      <c r="UG149" s="47"/>
      <c r="UH149" s="47"/>
      <c r="UI149" s="47"/>
      <c r="UJ149" s="47"/>
      <c r="UK149" s="47"/>
      <c r="UL149" s="47"/>
      <c r="UM149" s="47"/>
      <c r="UN149" s="47"/>
      <c r="UO149" s="47"/>
      <c r="UP149" s="47"/>
      <c r="UQ149" s="47"/>
      <c r="UR149" s="47"/>
      <c r="US149" s="47"/>
      <c r="UT149" s="47"/>
      <c r="UU149" s="47"/>
      <c r="UV149" s="47"/>
      <c r="UW149" s="47"/>
      <c r="UX149" s="47"/>
      <c r="UY149" s="47"/>
      <c r="UZ149" s="47"/>
      <c r="VA149" s="47"/>
      <c r="VB149" s="47"/>
      <c r="VC149" s="47"/>
      <c r="VD149" s="47"/>
      <c r="VE149" s="47"/>
      <c r="VF149" s="47"/>
    </row>
    <row r="150" spans="1:578" s="41" customFormat="1" ht="36.75" customHeight="1" x14ac:dyDescent="0.2">
      <c r="A150" s="39" t="s">
        <v>472</v>
      </c>
      <c r="B150" s="90" t="str">
        <f>'дод 3'!A91</f>
        <v>3081</v>
      </c>
      <c r="C150" s="90" t="str">
        <f>'дод 3'!B91</f>
        <v>1010</v>
      </c>
      <c r="D150" s="42" t="str">
        <f>'дод 3'!C91</f>
        <v>Надання державної соціальної допомоги особам з інвалідністю з дитинства та дітям з інвалідністю</v>
      </c>
      <c r="E150" s="65">
        <v>70995980</v>
      </c>
      <c r="F150" s="65"/>
      <c r="G150" s="65"/>
      <c r="H150" s="65">
        <v>15177113.26</v>
      </c>
      <c r="I150" s="65"/>
      <c r="J150" s="65"/>
      <c r="K150" s="130">
        <f t="shared" si="41"/>
        <v>21.377426243006997</v>
      </c>
      <c r="L150" s="65">
        <f t="shared" si="40"/>
        <v>0</v>
      </c>
      <c r="M150" s="65"/>
      <c r="N150" s="65"/>
      <c r="O150" s="65"/>
      <c r="P150" s="65"/>
      <c r="Q150" s="65"/>
      <c r="R150" s="65">
        <f t="shared" si="43"/>
        <v>0</v>
      </c>
      <c r="S150" s="65"/>
      <c r="T150" s="65"/>
      <c r="U150" s="65"/>
      <c r="V150" s="65"/>
      <c r="W150" s="65"/>
      <c r="X150" s="132"/>
      <c r="Y150" s="65">
        <f t="shared" si="42"/>
        <v>15177113.26</v>
      </c>
      <c r="Z150" s="203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47"/>
      <c r="KC150" s="47"/>
      <c r="KD150" s="47"/>
      <c r="KE150" s="47"/>
      <c r="KF150" s="47"/>
      <c r="KG150" s="47"/>
      <c r="KH150" s="47"/>
      <c r="KI150" s="47"/>
      <c r="KJ150" s="47"/>
      <c r="KK150" s="47"/>
      <c r="KL150" s="47"/>
      <c r="KM150" s="47"/>
      <c r="KN150" s="47"/>
      <c r="KO150" s="47"/>
      <c r="KP150" s="47"/>
      <c r="KQ150" s="47"/>
      <c r="KR150" s="47"/>
      <c r="KS150" s="47"/>
      <c r="KT150" s="47"/>
      <c r="KU150" s="47"/>
      <c r="KV150" s="47"/>
      <c r="KW150" s="47"/>
      <c r="KX150" s="47"/>
      <c r="KY150" s="47"/>
      <c r="KZ150" s="47"/>
      <c r="LA150" s="47"/>
      <c r="LB150" s="47"/>
      <c r="LC150" s="47"/>
      <c r="LD150" s="47"/>
      <c r="LE150" s="47"/>
      <c r="LF150" s="47"/>
      <c r="LG150" s="47"/>
      <c r="LH150" s="47"/>
      <c r="LI150" s="47"/>
      <c r="LJ150" s="47"/>
      <c r="LK150" s="47"/>
      <c r="LL150" s="47"/>
      <c r="LM150" s="47"/>
      <c r="LN150" s="47"/>
      <c r="LO150" s="47"/>
      <c r="LP150" s="47"/>
      <c r="LQ150" s="47"/>
      <c r="LR150" s="47"/>
      <c r="LS150" s="47"/>
      <c r="LT150" s="47"/>
      <c r="LU150" s="47"/>
      <c r="LV150" s="47"/>
      <c r="LW150" s="47"/>
      <c r="LX150" s="47"/>
      <c r="LY150" s="47"/>
      <c r="LZ150" s="47"/>
      <c r="MA150" s="47"/>
      <c r="MB150" s="47"/>
      <c r="MC150" s="47"/>
      <c r="MD150" s="47"/>
      <c r="ME150" s="47"/>
      <c r="MF150" s="47"/>
      <c r="MG150" s="47"/>
      <c r="MH150" s="47"/>
      <c r="MI150" s="47"/>
      <c r="MJ150" s="4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  <c r="NE150" s="47"/>
      <c r="NF150" s="47"/>
      <c r="NG150" s="47"/>
      <c r="NH150" s="47"/>
      <c r="NI150" s="47"/>
      <c r="NJ150" s="47"/>
      <c r="NK150" s="47"/>
      <c r="NL150" s="47"/>
      <c r="NM150" s="47"/>
      <c r="NN150" s="47"/>
      <c r="NO150" s="47"/>
      <c r="NP150" s="47"/>
      <c r="NQ150" s="47"/>
      <c r="NR150" s="47"/>
      <c r="NS150" s="47"/>
      <c r="NT150" s="47"/>
      <c r="NU150" s="47"/>
      <c r="NV150" s="47"/>
      <c r="NW150" s="47"/>
      <c r="NX150" s="47"/>
      <c r="NY150" s="47"/>
      <c r="NZ150" s="47"/>
      <c r="OA150" s="47"/>
      <c r="OB150" s="47"/>
      <c r="OC150" s="47"/>
      <c r="OD150" s="47"/>
      <c r="OE150" s="47"/>
      <c r="OF150" s="47"/>
      <c r="OG150" s="47"/>
      <c r="OH150" s="47"/>
      <c r="OI150" s="47"/>
      <c r="OJ150" s="47"/>
      <c r="OK150" s="47"/>
      <c r="OL150" s="47"/>
      <c r="OM150" s="47"/>
      <c r="ON150" s="47"/>
      <c r="OO150" s="47"/>
      <c r="OP150" s="47"/>
      <c r="OQ150" s="47"/>
      <c r="OR150" s="47"/>
      <c r="OS150" s="47"/>
      <c r="OT150" s="47"/>
      <c r="OU150" s="47"/>
      <c r="OV150" s="47"/>
      <c r="OW150" s="47"/>
      <c r="OX150" s="47"/>
      <c r="OY150" s="47"/>
      <c r="OZ150" s="47"/>
      <c r="PA150" s="47"/>
      <c r="PB150" s="47"/>
      <c r="PC150" s="47"/>
      <c r="PD150" s="47"/>
      <c r="PE150" s="47"/>
      <c r="PF150" s="47"/>
      <c r="PG150" s="47"/>
      <c r="PH150" s="47"/>
      <c r="PI150" s="47"/>
      <c r="PJ150" s="47"/>
      <c r="PK150" s="47"/>
      <c r="PL150" s="47"/>
      <c r="PM150" s="47"/>
      <c r="PN150" s="47"/>
      <c r="PO150" s="47"/>
      <c r="PP150" s="47"/>
      <c r="PQ150" s="47"/>
      <c r="PR150" s="47"/>
      <c r="PS150" s="47"/>
      <c r="PT150" s="47"/>
      <c r="PU150" s="47"/>
      <c r="PV150" s="47"/>
      <c r="PW150" s="47"/>
      <c r="PX150" s="47"/>
      <c r="PY150" s="47"/>
      <c r="PZ150" s="47"/>
      <c r="QA150" s="47"/>
      <c r="QB150" s="47"/>
      <c r="QC150" s="47"/>
      <c r="QD150" s="47"/>
      <c r="QE150" s="47"/>
      <c r="QF150" s="47"/>
      <c r="QG150" s="47"/>
      <c r="QH150" s="47"/>
      <c r="QI150" s="47"/>
      <c r="QJ150" s="47"/>
      <c r="QK150" s="47"/>
      <c r="QL150" s="47"/>
      <c r="QM150" s="47"/>
      <c r="QN150" s="47"/>
      <c r="QO150" s="47"/>
      <c r="QP150" s="47"/>
      <c r="QQ150" s="47"/>
      <c r="QR150" s="47"/>
      <c r="QS150" s="47"/>
      <c r="QT150" s="47"/>
      <c r="QU150" s="47"/>
      <c r="QV150" s="47"/>
      <c r="QW150" s="47"/>
      <c r="QX150" s="47"/>
      <c r="QY150" s="47"/>
      <c r="QZ150" s="47"/>
      <c r="RA150" s="47"/>
      <c r="RB150" s="47"/>
      <c r="RC150" s="47"/>
      <c r="RD150" s="47"/>
      <c r="RE150" s="47"/>
      <c r="RF150" s="47"/>
      <c r="RG150" s="47"/>
      <c r="RH150" s="47"/>
      <c r="RI150" s="47"/>
      <c r="RJ150" s="47"/>
      <c r="RK150" s="47"/>
      <c r="RL150" s="47"/>
      <c r="RM150" s="47"/>
      <c r="RN150" s="47"/>
      <c r="RO150" s="47"/>
      <c r="RP150" s="47"/>
      <c r="RQ150" s="47"/>
      <c r="RR150" s="47"/>
      <c r="RS150" s="47"/>
      <c r="RT150" s="47"/>
      <c r="RU150" s="47"/>
      <c r="RV150" s="47"/>
      <c r="RW150" s="47"/>
      <c r="RX150" s="47"/>
      <c r="RY150" s="47"/>
      <c r="RZ150" s="47"/>
      <c r="SA150" s="47"/>
      <c r="SB150" s="47"/>
      <c r="SC150" s="47"/>
      <c r="SD150" s="47"/>
      <c r="SE150" s="47"/>
      <c r="SF150" s="47"/>
      <c r="SG150" s="47"/>
      <c r="SH150" s="47"/>
      <c r="SI150" s="47"/>
      <c r="SJ150" s="47"/>
      <c r="SK150" s="47"/>
      <c r="SL150" s="47"/>
      <c r="SM150" s="47"/>
      <c r="SN150" s="47"/>
      <c r="SO150" s="47"/>
      <c r="SP150" s="47"/>
      <c r="SQ150" s="47"/>
      <c r="SR150" s="47"/>
      <c r="SS150" s="47"/>
      <c r="ST150" s="47"/>
      <c r="SU150" s="47"/>
      <c r="SV150" s="47"/>
      <c r="SW150" s="47"/>
      <c r="SX150" s="47"/>
      <c r="SY150" s="47"/>
      <c r="SZ150" s="47"/>
      <c r="TA150" s="47"/>
      <c r="TB150" s="47"/>
      <c r="TC150" s="47"/>
      <c r="TD150" s="47"/>
      <c r="TE150" s="47"/>
      <c r="TF150" s="47"/>
      <c r="TG150" s="47"/>
      <c r="TH150" s="47"/>
      <c r="TI150" s="47"/>
      <c r="TJ150" s="47"/>
      <c r="TK150" s="47"/>
      <c r="TL150" s="47"/>
      <c r="TM150" s="47"/>
      <c r="TN150" s="47"/>
      <c r="TO150" s="47"/>
      <c r="TP150" s="47"/>
      <c r="TQ150" s="47"/>
      <c r="TR150" s="47"/>
      <c r="TS150" s="47"/>
      <c r="TT150" s="47"/>
      <c r="TU150" s="47"/>
      <c r="TV150" s="47"/>
      <c r="TW150" s="47"/>
      <c r="TX150" s="47"/>
      <c r="TY150" s="47"/>
      <c r="TZ150" s="47"/>
      <c r="UA150" s="47"/>
      <c r="UB150" s="47"/>
      <c r="UC150" s="47"/>
      <c r="UD150" s="47"/>
      <c r="UE150" s="47"/>
      <c r="UF150" s="47"/>
      <c r="UG150" s="47"/>
      <c r="UH150" s="47"/>
      <c r="UI150" s="47"/>
      <c r="UJ150" s="47"/>
      <c r="UK150" s="47"/>
      <c r="UL150" s="47"/>
      <c r="UM150" s="47"/>
      <c r="UN150" s="47"/>
      <c r="UO150" s="47"/>
      <c r="UP150" s="47"/>
      <c r="UQ150" s="47"/>
      <c r="UR150" s="47"/>
      <c r="US150" s="47"/>
      <c r="UT150" s="47"/>
      <c r="UU150" s="47"/>
      <c r="UV150" s="47"/>
      <c r="UW150" s="47"/>
      <c r="UX150" s="47"/>
      <c r="UY150" s="47"/>
      <c r="UZ150" s="47"/>
      <c r="VA150" s="47"/>
      <c r="VB150" s="47"/>
      <c r="VC150" s="47"/>
      <c r="VD150" s="47"/>
      <c r="VE150" s="47"/>
      <c r="VF150" s="47"/>
    </row>
    <row r="151" spans="1:578" s="41" customFormat="1" ht="15" customHeight="1" x14ac:dyDescent="0.2">
      <c r="A151" s="39"/>
      <c r="B151" s="90"/>
      <c r="C151" s="90"/>
      <c r="D151" s="42" t="str">
        <f>'дод 3'!C92</f>
        <v>у т.ч. за рахунок субвенцій з держбюджету</v>
      </c>
      <c r="E151" s="65">
        <v>70995980</v>
      </c>
      <c r="F151" s="65"/>
      <c r="G151" s="65"/>
      <c r="H151" s="65">
        <v>15177113.26</v>
      </c>
      <c r="I151" s="65"/>
      <c r="J151" s="65"/>
      <c r="K151" s="130">
        <f t="shared" si="41"/>
        <v>21.377426243006997</v>
      </c>
      <c r="L151" s="65">
        <f t="shared" si="40"/>
        <v>0</v>
      </c>
      <c r="M151" s="65"/>
      <c r="N151" s="65"/>
      <c r="O151" s="65"/>
      <c r="P151" s="65"/>
      <c r="Q151" s="65"/>
      <c r="R151" s="65">
        <f t="shared" si="43"/>
        <v>0</v>
      </c>
      <c r="S151" s="65"/>
      <c r="T151" s="65"/>
      <c r="U151" s="65"/>
      <c r="V151" s="65"/>
      <c r="W151" s="65"/>
      <c r="X151" s="132"/>
      <c r="Y151" s="65">
        <f t="shared" si="42"/>
        <v>15177113.26</v>
      </c>
      <c r="Z151" s="203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47"/>
      <c r="KC151" s="47"/>
      <c r="KD151" s="47"/>
      <c r="KE151" s="47"/>
      <c r="KF151" s="47"/>
      <c r="KG151" s="47"/>
      <c r="KH151" s="47"/>
      <c r="KI151" s="47"/>
      <c r="KJ151" s="47"/>
      <c r="KK151" s="47"/>
      <c r="KL151" s="47"/>
      <c r="KM151" s="47"/>
      <c r="KN151" s="47"/>
      <c r="KO151" s="47"/>
      <c r="KP151" s="47"/>
      <c r="KQ151" s="47"/>
      <c r="KR151" s="47"/>
      <c r="KS151" s="47"/>
      <c r="KT151" s="47"/>
      <c r="KU151" s="47"/>
      <c r="KV151" s="47"/>
      <c r="KW151" s="47"/>
      <c r="KX151" s="47"/>
      <c r="KY151" s="47"/>
      <c r="KZ151" s="47"/>
      <c r="LA151" s="47"/>
      <c r="LB151" s="47"/>
      <c r="LC151" s="47"/>
      <c r="LD151" s="47"/>
      <c r="LE151" s="47"/>
      <c r="LF151" s="47"/>
      <c r="LG151" s="47"/>
      <c r="LH151" s="47"/>
      <c r="LI151" s="47"/>
      <c r="LJ151" s="47"/>
      <c r="LK151" s="47"/>
      <c r="LL151" s="47"/>
      <c r="LM151" s="47"/>
      <c r="LN151" s="47"/>
      <c r="LO151" s="47"/>
      <c r="LP151" s="47"/>
      <c r="LQ151" s="47"/>
      <c r="LR151" s="47"/>
      <c r="LS151" s="47"/>
      <c r="LT151" s="47"/>
      <c r="LU151" s="47"/>
      <c r="LV151" s="47"/>
      <c r="LW151" s="47"/>
      <c r="LX151" s="47"/>
      <c r="LY151" s="47"/>
      <c r="LZ151" s="47"/>
      <c r="MA151" s="47"/>
      <c r="MB151" s="47"/>
      <c r="MC151" s="47"/>
      <c r="MD151" s="47"/>
      <c r="ME151" s="47"/>
      <c r="MF151" s="47"/>
      <c r="MG151" s="47"/>
      <c r="MH151" s="47"/>
      <c r="MI151" s="47"/>
      <c r="MJ151" s="4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  <c r="NE151" s="47"/>
      <c r="NF151" s="47"/>
      <c r="NG151" s="47"/>
      <c r="NH151" s="47"/>
      <c r="NI151" s="47"/>
      <c r="NJ151" s="47"/>
      <c r="NK151" s="47"/>
      <c r="NL151" s="47"/>
      <c r="NM151" s="47"/>
      <c r="NN151" s="47"/>
      <c r="NO151" s="47"/>
      <c r="NP151" s="47"/>
      <c r="NQ151" s="47"/>
      <c r="NR151" s="47"/>
      <c r="NS151" s="47"/>
      <c r="NT151" s="47"/>
      <c r="NU151" s="47"/>
      <c r="NV151" s="47"/>
      <c r="NW151" s="47"/>
      <c r="NX151" s="47"/>
      <c r="NY151" s="47"/>
      <c r="NZ151" s="47"/>
      <c r="OA151" s="47"/>
      <c r="OB151" s="47"/>
      <c r="OC151" s="47"/>
      <c r="OD151" s="47"/>
      <c r="OE151" s="47"/>
      <c r="OF151" s="47"/>
      <c r="OG151" s="47"/>
      <c r="OH151" s="47"/>
      <c r="OI151" s="47"/>
      <c r="OJ151" s="47"/>
      <c r="OK151" s="47"/>
      <c r="OL151" s="47"/>
      <c r="OM151" s="47"/>
      <c r="ON151" s="47"/>
      <c r="OO151" s="47"/>
      <c r="OP151" s="47"/>
      <c r="OQ151" s="47"/>
      <c r="OR151" s="47"/>
      <c r="OS151" s="47"/>
      <c r="OT151" s="47"/>
      <c r="OU151" s="47"/>
      <c r="OV151" s="47"/>
      <c r="OW151" s="47"/>
      <c r="OX151" s="47"/>
      <c r="OY151" s="47"/>
      <c r="OZ151" s="47"/>
      <c r="PA151" s="47"/>
      <c r="PB151" s="47"/>
      <c r="PC151" s="47"/>
      <c r="PD151" s="47"/>
      <c r="PE151" s="47"/>
      <c r="PF151" s="47"/>
      <c r="PG151" s="47"/>
      <c r="PH151" s="47"/>
      <c r="PI151" s="47"/>
      <c r="PJ151" s="47"/>
      <c r="PK151" s="47"/>
      <c r="PL151" s="47"/>
      <c r="PM151" s="47"/>
      <c r="PN151" s="47"/>
      <c r="PO151" s="47"/>
      <c r="PP151" s="47"/>
      <c r="PQ151" s="47"/>
      <c r="PR151" s="47"/>
      <c r="PS151" s="47"/>
      <c r="PT151" s="47"/>
      <c r="PU151" s="47"/>
      <c r="PV151" s="47"/>
      <c r="PW151" s="47"/>
      <c r="PX151" s="47"/>
      <c r="PY151" s="47"/>
      <c r="PZ151" s="47"/>
      <c r="QA151" s="47"/>
      <c r="QB151" s="47"/>
      <c r="QC151" s="47"/>
      <c r="QD151" s="47"/>
      <c r="QE151" s="47"/>
      <c r="QF151" s="47"/>
      <c r="QG151" s="47"/>
      <c r="QH151" s="47"/>
      <c r="QI151" s="47"/>
      <c r="QJ151" s="47"/>
      <c r="QK151" s="47"/>
      <c r="QL151" s="47"/>
      <c r="QM151" s="47"/>
      <c r="QN151" s="47"/>
      <c r="QO151" s="47"/>
      <c r="QP151" s="47"/>
      <c r="QQ151" s="47"/>
      <c r="QR151" s="47"/>
      <c r="QS151" s="47"/>
      <c r="QT151" s="47"/>
      <c r="QU151" s="47"/>
      <c r="QV151" s="47"/>
      <c r="QW151" s="47"/>
      <c r="QX151" s="47"/>
      <c r="QY151" s="47"/>
      <c r="QZ151" s="47"/>
      <c r="RA151" s="47"/>
      <c r="RB151" s="47"/>
      <c r="RC151" s="47"/>
      <c r="RD151" s="47"/>
      <c r="RE151" s="47"/>
      <c r="RF151" s="47"/>
      <c r="RG151" s="47"/>
      <c r="RH151" s="47"/>
      <c r="RI151" s="47"/>
      <c r="RJ151" s="47"/>
      <c r="RK151" s="47"/>
      <c r="RL151" s="47"/>
      <c r="RM151" s="47"/>
      <c r="RN151" s="47"/>
      <c r="RO151" s="47"/>
      <c r="RP151" s="47"/>
      <c r="RQ151" s="47"/>
      <c r="RR151" s="47"/>
      <c r="RS151" s="47"/>
      <c r="RT151" s="47"/>
      <c r="RU151" s="47"/>
      <c r="RV151" s="47"/>
      <c r="RW151" s="47"/>
      <c r="RX151" s="47"/>
      <c r="RY151" s="47"/>
      <c r="RZ151" s="47"/>
      <c r="SA151" s="47"/>
      <c r="SB151" s="47"/>
      <c r="SC151" s="47"/>
      <c r="SD151" s="47"/>
      <c r="SE151" s="47"/>
      <c r="SF151" s="47"/>
      <c r="SG151" s="47"/>
      <c r="SH151" s="47"/>
      <c r="SI151" s="47"/>
      <c r="SJ151" s="47"/>
      <c r="SK151" s="47"/>
      <c r="SL151" s="47"/>
      <c r="SM151" s="47"/>
      <c r="SN151" s="47"/>
      <c r="SO151" s="47"/>
      <c r="SP151" s="47"/>
      <c r="SQ151" s="47"/>
      <c r="SR151" s="47"/>
      <c r="SS151" s="47"/>
      <c r="ST151" s="47"/>
      <c r="SU151" s="47"/>
      <c r="SV151" s="47"/>
      <c r="SW151" s="47"/>
      <c r="SX151" s="47"/>
      <c r="SY151" s="47"/>
      <c r="SZ151" s="47"/>
      <c r="TA151" s="47"/>
      <c r="TB151" s="47"/>
      <c r="TC151" s="47"/>
      <c r="TD151" s="47"/>
      <c r="TE151" s="47"/>
      <c r="TF151" s="47"/>
      <c r="TG151" s="47"/>
      <c r="TH151" s="47"/>
      <c r="TI151" s="47"/>
      <c r="TJ151" s="47"/>
      <c r="TK151" s="47"/>
      <c r="TL151" s="47"/>
      <c r="TM151" s="47"/>
      <c r="TN151" s="47"/>
      <c r="TO151" s="47"/>
      <c r="TP151" s="47"/>
      <c r="TQ151" s="47"/>
      <c r="TR151" s="47"/>
      <c r="TS151" s="47"/>
      <c r="TT151" s="47"/>
      <c r="TU151" s="47"/>
      <c r="TV151" s="47"/>
      <c r="TW151" s="47"/>
      <c r="TX151" s="47"/>
      <c r="TY151" s="47"/>
      <c r="TZ151" s="47"/>
      <c r="UA151" s="47"/>
      <c r="UB151" s="47"/>
      <c r="UC151" s="47"/>
      <c r="UD151" s="47"/>
      <c r="UE151" s="47"/>
      <c r="UF151" s="47"/>
      <c r="UG151" s="47"/>
      <c r="UH151" s="47"/>
      <c r="UI151" s="47"/>
      <c r="UJ151" s="47"/>
      <c r="UK151" s="47"/>
      <c r="UL151" s="47"/>
      <c r="UM151" s="47"/>
      <c r="UN151" s="47"/>
      <c r="UO151" s="47"/>
      <c r="UP151" s="47"/>
      <c r="UQ151" s="47"/>
      <c r="UR151" s="47"/>
      <c r="US151" s="47"/>
      <c r="UT151" s="47"/>
      <c r="UU151" s="47"/>
      <c r="UV151" s="47"/>
      <c r="UW151" s="47"/>
      <c r="UX151" s="47"/>
      <c r="UY151" s="47"/>
      <c r="UZ151" s="47"/>
      <c r="VA151" s="47"/>
      <c r="VB151" s="47"/>
      <c r="VC151" s="47"/>
      <c r="VD151" s="47"/>
      <c r="VE151" s="47"/>
      <c r="VF151" s="47"/>
    </row>
    <row r="152" spans="1:578" s="41" customFormat="1" ht="49.5" customHeight="1" x14ac:dyDescent="0.2">
      <c r="A152" s="39" t="s">
        <v>473</v>
      </c>
      <c r="B152" s="90" t="str">
        <f>'дод 3'!A93</f>
        <v>3082</v>
      </c>
      <c r="C152" s="90" t="str">
        <f>'дод 3'!B93</f>
        <v>1010</v>
      </c>
      <c r="D152" s="42" t="str">
        <f>'дод 3'!C93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2" s="65">
        <v>10842650</v>
      </c>
      <c r="F152" s="65"/>
      <c r="G152" s="65"/>
      <c r="H152" s="65">
        <v>2579261.2599999998</v>
      </c>
      <c r="I152" s="65"/>
      <c r="J152" s="65"/>
      <c r="K152" s="130">
        <f t="shared" si="41"/>
        <v>23.788107704297378</v>
      </c>
      <c r="L152" s="65">
        <f t="shared" si="40"/>
        <v>0</v>
      </c>
      <c r="M152" s="65"/>
      <c r="N152" s="65"/>
      <c r="O152" s="65"/>
      <c r="P152" s="65"/>
      <c r="Q152" s="65"/>
      <c r="R152" s="65">
        <f t="shared" si="43"/>
        <v>0</v>
      </c>
      <c r="S152" s="65"/>
      <c r="T152" s="65"/>
      <c r="U152" s="65"/>
      <c r="V152" s="65"/>
      <c r="W152" s="65"/>
      <c r="X152" s="132"/>
      <c r="Y152" s="65">
        <f t="shared" si="42"/>
        <v>2579261.2599999998</v>
      </c>
      <c r="Z152" s="203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47"/>
      <c r="KC152" s="47"/>
      <c r="KD152" s="47"/>
      <c r="KE152" s="47"/>
      <c r="KF152" s="47"/>
      <c r="KG152" s="47"/>
      <c r="KH152" s="47"/>
      <c r="KI152" s="47"/>
      <c r="KJ152" s="47"/>
      <c r="KK152" s="47"/>
      <c r="KL152" s="47"/>
      <c r="KM152" s="47"/>
      <c r="KN152" s="47"/>
      <c r="KO152" s="47"/>
      <c r="KP152" s="47"/>
      <c r="KQ152" s="47"/>
      <c r="KR152" s="47"/>
      <c r="KS152" s="47"/>
      <c r="KT152" s="47"/>
      <c r="KU152" s="47"/>
      <c r="KV152" s="47"/>
      <c r="KW152" s="47"/>
      <c r="KX152" s="47"/>
      <c r="KY152" s="47"/>
      <c r="KZ152" s="47"/>
      <c r="LA152" s="47"/>
      <c r="LB152" s="47"/>
      <c r="LC152" s="47"/>
      <c r="LD152" s="47"/>
      <c r="LE152" s="47"/>
      <c r="LF152" s="47"/>
      <c r="LG152" s="47"/>
      <c r="LH152" s="47"/>
      <c r="LI152" s="47"/>
      <c r="LJ152" s="47"/>
      <c r="LK152" s="47"/>
      <c r="LL152" s="47"/>
      <c r="LM152" s="47"/>
      <c r="LN152" s="47"/>
      <c r="LO152" s="47"/>
      <c r="LP152" s="47"/>
      <c r="LQ152" s="47"/>
      <c r="LR152" s="47"/>
      <c r="LS152" s="47"/>
      <c r="LT152" s="47"/>
      <c r="LU152" s="47"/>
      <c r="LV152" s="47"/>
      <c r="LW152" s="47"/>
      <c r="LX152" s="47"/>
      <c r="LY152" s="47"/>
      <c r="LZ152" s="47"/>
      <c r="MA152" s="47"/>
      <c r="MB152" s="47"/>
      <c r="MC152" s="47"/>
      <c r="MD152" s="47"/>
      <c r="ME152" s="47"/>
      <c r="MF152" s="47"/>
      <c r="MG152" s="47"/>
      <c r="MH152" s="47"/>
      <c r="MI152" s="47"/>
      <c r="MJ152" s="4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  <c r="NE152" s="47"/>
      <c r="NF152" s="47"/>
      <c r="NG152" s="47"/>
      <c r="NH152" s="47"/>
      <c r="NI152" s="47"/>
      <c r="NJ152" s="47"/>
      <c r="NK152" s="47"/>
      <c r="NL152" s="47"/>
      <c r="NM152" s="47"/>
      <c r="NN152" s="47"/>
      <c r="NO152" s="47"/>
      <c r="NP152" s="47"/>
      <c r="NQ152" s="47"/>
      <c r="NR152" s="47"/>
      <c r="NS152" s="47"/>
      <c r="NT152" s="47"/>
      <c r="NU152" s="47"/>
      <c r="NV152" s="47"/>
      <c r="NW152" s="47"/>
      <c r="NX152" s="47"/>
      <c r="NY152" s="47"/>
      <c r="NZ152" s="47"/>
      <c r="OA152" s="47"/>
      <c r="OB152" s="47"/>
      <c r="OC152" s="47"/>
      <c r="OD152" s="47"/>
      <c r="OE152" s="47"/>
      <c r="OF152" s="47"/>
      <c r="OG152" s="47"/>
      <c r="OH152" s="47"/>
      <c r="OI152" s="47"/>
      <c r="OJ152" s="47"/>
      <c r="OK152" s="47"/>
      <c r="OL152" s="47"/>
      <c r="OM152" s="47"/>
      <c r="ON152" s="47"/>
      <c r="OO152" s="47"/>
      <c r="OP152" s="47"/>
      <c r="OQ152" s="47"/>
      <c r="OR152" s="47"/>
      <c r="OS152" s="47"/>
      <c r="OT152" s="47"/>
      <c r="OU152" s="47"/>
      <c r="OV152" s="47"/>
      <c r="OW152" s="47"/>
      <c r="OX152" s="47"/>
      <c r="OY152" s="47"/>
      <c r="OZ152" s="47"/>
      <c r="PA152" s="47"/>
      <c r="PB152" s="47"/>
      <c r="PC152" s="47"/>
      <c r="PD152" s="47"/>
      <c r="PE152" s="47"/>
      <c r="PF152" s="47"/>
      <c r="PG152" s="47"/>
      <c r="PH152" s="47"/>
      <c r="PI152" s="47"/>
      <c r="PJ152" s="47"/>
      <c r="PK152" s="47"/>
      <c r="PL152" s="47"/>
      <c r="PM152" s="47"/>
      <c r="PN152" s="47"/>
      <c r="PO152" s="47"/>
      <c r="PP152" s="47"/>
      <c r="PQ152" s="47"/>
      <c r="PR152" s="47"/>
      <c r="PS152" s="47"/>
      <c r="PT152" s="47"/>
      <c r="PU152" s="47"/>
      <c r="PV152" s="47"/>
      <c r="PW152" s="47"/>
      <c r="PX152" s="47"/>
      <c r="PY152" s="47"/>
      <c r="PZ152" s="47"/>
      <c r="QA152" s="47"/>
      <c r="QB152" s="47"/>
      <c r="QC152" s="47"/>
      <c r="QD152" s="47"/>
      <c r="QE152" s="47"/>
      <c r="QF152" s="47"/>
      <c r="QG152" s="47"/>
      <c r="QH152" s="47"/>
      <c r="QI152" s="47"/>
      <c r="QJ152" s="47"/>
      <c r="QK152" s="47"/>
      <c r="QL152" s="47"/>
      <c r="QM152" s="47"/>
      <c r="QN152" s="47"/>
      <c r="QO152" s="47"/>
      <c r="QP152" s="47"/>
      <c r="QQ152" s="47"/>
      <c r="QR152" s="47"/>
      <c r="QS152" s="47"/>
      <c r="QT152" s="47"/>
      <c r="QU152" s="47"/>
      <c r="QV152" s="47"/>
      <c r="QW152" s="47"/>
      <c r="QX152" s="47"/>
      <c r="QY152" s="47"/>
      <c r="QZ152" s="47"/>
      <c r="RA152" s="47"/>
      <c r="RB152" s="47"/>
      <c r="RC152" s="47"/>
      <c r="RD152" s="47"/>
      <c r="RE152" s="47"/>
      <c r="RF152" s="47"/>
      <c r="RG152" s="47"/>
      <c r="RH152" s="47"/>
      <c r="RI152" s="47"/>
      <c r="RJ152" s="47"/>
      <c r="RK152" s="47"/>
      <c r="RL152" s="47"/>
      <c r="RM152" s="47"/>
      <c r="RN152" s="47"/>
      <c r="RO152" s="47"/>
      <c r="RP152" s="47"/>
      <c r="RQ152" s="47"/>
      <c r="RR152" s="47"/>
      <c r="RS152" s="47"/>
      <c r="RT152" s="47"/>
      <c r="RU152" s="47"/>
      <c r="RV152" s="47"/>
      <c r="RW152" s="47"/>
      <c r="RX152" s="47"/>
      <c r="RY152" s="47"/>
      <c r="RZ152" s="47"/>
      <c r="SA152" s="47"/>
      <c r="SB152" s="47"/>
      <c r="SC152" s="47"/>
      <c r="SD152" s="47"/>
      <c r="SE152" s="47"/>
      <c r="SF152" s="47"/>
      <c r="SG152" s="47"/>
      <c r="SH152" s="47"/>
      <c r="SI152" s="47"/>
      <c r="SJ152" s="47"/>
      <c r="SK152" s="47"/>
      <c r="SL152" s="47"/>
      <c r="SM152" s="47"/>
      <c r="SN152" s="47"/>
      <c r="SO152" s="47"/>
      <c r="SP152" s="47"/>
      <c r="SQ152" s="47"/>
      <c r="SR152" s="47"/>
      <c r="SS152" s="47"/>
      <c r="ST152" s="47"/>
      <c r="SU152" s="47"/>
      <c r="SV152" s="47"/>
      <c r="SW152" s="47"/>
      <c r="SX152" s="47"/>
      <c r="SY152" s="47"/>
      <c r="SZ152" s="47"/>
      <c r="TA152" s="47"/>
      <c r="TB152" s="47"/>
      <c r="TC152" s="47"/>
      <c r="TD152" s="47"/>
      <c r="TE152" s="47"/>
      <c r="TF152" s="47"/>
      <c r="TG152" s="47"/>
      <c r="TH152" s="47"/>
      <c r="TI152" s="47"/>
      <c r="TJ152" s="47"/>
      <c r="TK152" s="47"/>
      <c r="TL152" s="47"/>
      <c r="TM152" s="47"/>
      <c r="TN152" s="47"/>
      <c r="TO152" s="47"/>
      <c r="TP152" s="47"/>
      <c r="TQ152" s="47"/>
      <c r="TR152" s="47"/>
      <c r="TS152" s="47"/>
      <c r="TT152" s="47"/>
      <c r="TU152" s="47"/>
      <c r="TV152" s="47"/>
      <c r="TW152" s="47"/>
      <c r="TX152" s="47"/>
      <c r="TY152" s="47"/>
      <c r="TZ152" s="47"/>
      <c r="UA152" s="47"/>
      <c r="UB152" s="47"/>
      <c r="UC152" s="47"/>
      <c r="UD152" s="47"/>
      <c r="UE152" s="47"/>
      <c r="UF152" s="47"/>
      <c r="UG152" s="47"/>
      <c r="UH152" s="47"/>
      <c r="UI152" s="47"/>
      <c r="UJ152" s="47"/>
      <c r="UK152" s="47"/>
      <c r="UL152" s="47"/>
      <c r="UM152" s="47"/>
      <c r="UN152" s="47"/>
      <c r="UO152" s="47"/>
      <c r="UP152" s="47"/>
      <c r="UQ152" s="47"/>
      <c r="UR152" s="47"/>
      <c r="US152" s="47"/>
      <c r="UT152" s="47"/>
      <c r="UU152" s="47"/>
      <c r="UV152" s="47"/>
      <c r="UW152" s="47"/>
      <c r="UX152" s="47"/>
      <c r="UY152" s="47"/>
      <c r="UZ152" s="47"/>
      <c r="VA152" s="47"/>
      <c r="VB152" s="47"/>
      <c r="VC152" s="47"/>
      <c r="VD152" s="47"/>
      <c r="VE152" s="47"/>
      <c r="VF152" s="47"/>
    </row>
    <row r="153" spans="1:578" s="41" customFormat="1" ht="15.75" customHeight="1" x14ac:dyDescent="0.2">
      <c r="A153" s="39"/>
      <c r="B153" s="90"/>
      <c r="C153" s="90"/>
      <c r="D153" s="42" t="str">
        <f>'дод 3'!C94</f>
        <v>у т.ч. за рахунок субвенцій з держбюджету</v>
      </c>
      <c r="E153" s="65">
        <v>10842650</v>
      </c>
      <c r="F153" s="65"/>
      <c r="G153" s="65"/>
      <c r="H153" s="65">
        <v>2579261.2599999998</v>
      </c>
      <c r="I153" s="65"/>
      <c r="J153" s="65"/>
      <c r="K153" s="130">
        <f t="shared" si="41"/>
        <v>23.788107704297378</v>
      </c>
      <c r="L153" s="65">
        <f t="shared" si="40"/>
        <v>0</v>
      </c>
      <c r="M153" s="65"/>
      <c r="N153" s="65"/>
      <c r="O153" s="65"/>
      <c r="P153" s="65"/>
      <c r="Q153" s="65"/>
      <c r="R153" s="65">
        <f t="shared" si="43"/>
        <v>0</v>
      </c>
      <c r="S153" s="65"/>
      <c r="T153" s="65"/>
      <c r="U153" s="65"/>
      <c r="V153" s="65"/>
      <c r="W153" s="65"/>
      <c r="X153" s="132"/>
      <c r="Y153" s="65">
        <f t="shared" si="42"/>
        <v>2579261.2599999998</v>
      </c>
      <c r="Z153" s="203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47"/>
      <c r="KC153" s="47"/>
      <c r="KD153" s="47"/>
      <c r="KE153" s="47"/>
      <c r="KF153" s="47"/>
      <c r="KG153" s="47"/>
      <c r="KH153" s="47"/>
      <c r="KI153" s="47"/>
      <c r="KJ153" s="47"/>
      <c r="KK153" s="47"/>
      <c r="KL153" s="47"/>
      <c r="KM153" s="47"/>
      <c r="KN153" s="47"/>
      <c r="KO153" s="47"/>
      <c r="KP153" s="47"/>
      <c r="KQ153" s="47"/>
      <c r="KR153" s="47"/>
      <c r="KS153" s="47"/>
      <c r="KT153" s="47"/>
      <c r="KU153" s="47"/>
      <c r="KV153" s="47"/>
      <c r="KW153" s="47"/>
      <c r="KX153" s="47"/>
      <c r="KY153" s="47"/>
      <c r="KZ153" s="47"/>
      <c r="LA153" s="47"/>
      <c r="LB153" s="47"/>
      <c r="LC153" s="47"/>
      <c r="LD153" s="47"/>
      <c r="LE153" s="47"/>
      <c r="LF153" s="47"/>
      <c r="LG153" s="47"/>
      <c r="LH153" s="47"/>
      <c r="LI153" s="47"/>
      <c r="LJ153" s="47"/>
      <c r="LK153" s="47"/>
      <c r="LL153" s="47"/>
      <c r="LM153" s="47"/>
      <c r="LN153" s="47"/>
      <c r="LO153" s="47"/>
      <c r="LP153" s="47"/>
      <c r="LQ153" s="47"/>
      <c r="LR153" s="47"/>
      <c r="LS153" s="47"/>
      <c r="LT153" s="47"/>
      <c r="LU153" s="47"/>
      <c r="LV153" s="47"/>
      <c r="LW153" s="47"/>
      <c r="LX153" s="47"/>
      <c r="LY153" s="47"/>
      <c r="LZ153" s="47"/>
      <c r="MA153" s="47"/>
      <c r="MB153" s="47"/>
      <c r="MC153" s="47"/>
      <c r="MD153" s="47"/>
      <c r="ME153" s="47"/>
      <c r="MF153" s="47"/>
      <c r="MG153" s="47"/>
      <c r="MH153" s="47"/>
      <c r="MI153" s="47"/>
      <c r="MJ153" s="4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  <c r="NE153" s="47"/>
      <c r="NF153" s="47"/>
      <c r="NG153" s="47"/>
      <c r="NH153" s="47"/>
      <c r="NI153" s="47"/>
      <c r="NJ153" s="47"/>
      <c r="NK153" s="47"/>
      <c r="NL153" s="47"/>
      <c r="NM153" s="47"/>
      <c r="NN153" s="47"/>
      <c r="NO153" s="47"/>
      <c r="NP153" s="47"/>
      <c r="NQ153" s="47"/>
      <c r="NR153" s="47"/>
      <c r="NS153" s="47"/>
      <c r="NT153" s="47"/>
      <c r="NU153" s="47"/>
      <c r="NV153" s="47"/>
      <c r="NW153" s="47"/>
      <c r="NX153" s="47"/>
      <c r="NY153" s="47"/>
      <c r="NZ153" s="47"/>
      <c r="OA153" s="47"/>
      <c r="OB153" s="47"/>
      <c r="OC153" s="47"/>
      <c r="OD153" s="47"/>
      <c r="OE153" s="47"/>
      <c r="OF153" s="47"/>
      <c r="OG153" s="47"/>
      <c r="OH153" s="47"/>
      <c r="OI153" s="47"/>
      <c r="OJ153" s="47"/>
      <c r="OK153" s="47"/>
      <c r="OL153" s="47"/>
      <c r="OM153" s="47"/>
      <c r="ON153" s="47"/>
      <c r="OO153" s="47"/>
      <c r="OP153" s="47"/>
      <c r="OQ153" s="47"/>
      <c r="OR153" s="47"/>
      <c r="OS153" s="47"/>
      <c r="OT153" s="47"/>
      <c r="OU153" s="47"/>
      <c r="OV153" s="47"/>
      <c r="OW153" s="47"/>
      <c r="OX153" s="47"/>
      <c r="OY153" s="47"/>
      <c r="OZ153" s="47"/>
      <c r="PA153" s="47"/>
      <c r="PB153" s="47"/>
      <c r="PC153" s="47"/>
      <c r="PD153" s="47"/>
      <c r="PE153" s="47"/>
      <c r="PF153" s="47"/>
      <c r="PG153" s="47"/>
      <c r="PH153" s="47"/>
      <c r="PI153" s="47"/>
      <c r="PJ153" s="47"/>
      <c r="PK153" s="47"/>
      <c r="PL153" s="47"/>
      <c r="PM153" s="47"/>
      <c r="PN153" s="47"/>
      <c r="PO153" s="47"/>
      <c r="PP153" s="47"/>
      <c r="PQ153" s="47"/>
      <c r="PR153" s="47"/>
      <c r="PS153" s="47"/>
      <c r="PT153" s="47"/>
      <c r="PU153" s="47"/>
      <c r="PV153" s="47"/>
      <c r="PW153" s="47"/>
      <c r="PX153" s="47"/>
      <c r="PY153" s="47"/>
      <c r="PZ153" s="47"/>
      <c r="QA153" s="47"/>
      <c r="QB153" s="47"/>
      <c r="QC153" s="47"/>
      <c r="QD153" s="47"/>
      <c r="QE153" s="47"/>
      <c r="QF153" s="47"/>
      <c r="QG153" s="47"/>
      <c r="QH153" s="47"/>
      <c r="QI153" s="47"/>
      <c r="QJ153" s="47"/>
      <c r="QK153" s="47"/>
      <c r="QL153" s="47"/>
      <c r="QM153" s="47"/>
      <c r="QN153" s="47"/>
      <c r="QO153" s="47"/>
      <c r="QP153" s="47"/>
      <c r="QQ153" s="47"/>
      <c r="QR153" s="47"/>
      <c r="QS153" s="47"/>
      <c r="QT153" s="47"/>
      <c r="QU153" s="47"/>
      <c r="QV153" s="47"/>
      <c r="QW153" s="47"/>
      <c r="QX153" s="47"/>
      <c r="QY153" s="47"/>
      <c r="QZ153" s="47"/>
      <c r="RA153" s="47"/>
      <c r="RB153" s="47"/>
      <c r="RC153" s="47"/>
      <c r="RD153" s="47"/>
      <c r="RE153" s="47"/>
      <c r="RF153" s="47"/>
      <c r="RG153" s="47"/>
      <c r="RH153" s="47"/>
      <c r="RI153" s="47"/>
      <c r="RJ153" s="47"/>
      <c r="RK153" s="47"/>
      <c r="RL153" s="47"/>
      <c r="RM153" s="47"/>
      <c r="RN153" s="47"/>
      <c r="RO153" s="47"/>
      <c r="RP153" s="47"/>
      <c r="RQ153" s="47"/>
      <c r="RR153" s="47"/>
      <c r="RS153" s="47"/>
      <c r="RT153" s="47"/>
      <c r="RU153" s="47"/>
      <c r="RV153" s="47"/>
      <c r="RW153" s="47"/>
      <c r="RX153" s="47"/>
      <c r="RY153" s="47"/>
      <c r="RZ153" s="47"/>
      <c r="SA153" s="47"/>
      <c r="SB153" s="47"/>
      <c r="SC153" s="47"/>
      <c r="SD153" s="47"/>
      <c r="SE153" s="47"/>
      <c r="SF153" s="47"/>
      <c r="SG153" s="47"/>
      <c r="SH153" s="47"/>
      <c r="SI153" s="47"/>
      <c r="SJ153" s="47"/>
      <c r="SK153" s="47"/>
      <c r="SL153" s="47"/>
      <c r="SM153" s="47"/>
      <c r="SN153" s="47"/>
      <c r="SO153" s="47"/>
      <c r="SP153" s="47"/>
      <c r="SQ153" s="47"/>
      <c r="SR153" s="47"/>
      <c r="SS153" s="47"/>
      <c r="ST153" s="47"/>
      <c r="SU153" s="47"/>
      <c r="SV153" s="47"/>
      <c r="SW153" s="47"/>
      <c r="SX153" s="47"/>
      <c r="SY153" s="47"/>
      <c r="SZ153" s="47"/>
      <c r="TA153" s="47"/>
      <c r="TB153" s="47"/>
      <c r="TC153" s="47"/>
      <c r="TD153" s="47"/>
      <c r="TE153" s="47"/>
      <c r="TF153" s="47"/>
      <c r="TG153" s="47"/>
      <c r="TH153" s="47"/>
      <c r="TI153" s="47"/>
      <c r="TJ153" s="47"/>
      <c r="TK153" s="47"/>
      <c r="TL153" s="47"/>
      <c r="TM153" s="47"/>
      <c r="TN153" s="47"/>
      <c r="TO153" s="47"/>
      <c r="TP153" s="47"/>
      <c r="TQ153" s="47"/>
      <c r="TR153" s="47"/>
      <c r="TS153" s="47"/>
      <c r="TT153" s="47"/>
      <c r="TU153" s="47"/>
      <c r="TV153" s="47"/>
      <c r="TW153" s="47"/>
      <c r="TX153" s="47"/>
      <c r="TY153" s="47"/>
      <c r="TZ153" s="47"/>
      <c r="UA153" s="47"/>
      <c r="UB153" s="47"/>
      <c r="UC153" s="47"/>
      <c r="UD153" s="47"/>
      <c r="UE153" s="47"/>
      <c r="UF153" s="47"/>
      <c r="UG153" s="47"/>
      <c r="UH153" s="47"/>
      <c r="UI153" s="47"/>
      <c r="UJ153" s="47"/>
      <c r="UK153" s="47"/>
      <c r="UL153" s="47"/>
      <c r="UM153" s="47"/>
      <c r="UN153" s="47"/>
      <c r="UO153" s="47"/>
      <c r="UP153" s="47"/>
      <c r="UQ153" s="47"/>
      <c r="UR153" s="47"/>
      <c r="US153" s="47"/>
      <c r="UT153" s="47"/>
      <c r="UU153" s="47"/>
      <c r="UV153" s="47"/>
      <c r="UW153" s="47"/>
      <c r="UX153" s="47"/>
      <c r="UY153" s="47"/>
      <c r="UZ153" s="47"/>
      <c r="VA153" s="47"/>
      <c r="VB153" s="47"/>
      <c r="VC153" s="47"/>
      <c r="VD153" s="47"/>
      <c r="VE153" s="47"/>
      <c r="VF153" s="47"/>
    </row>
    <row r="154" spans="1:578" s="41" customFormat="1" ht="31.5" customHeight="1" x14ac:dyDescent="0.2">
      <c r="A154" s="39" t="s">
        <v>474</v>
      </c>
      <c r="B154" s="90" t="str">
        <f>'дод 3'!A95</f>
        <v>3083</v>
      </c>
      <c r="C154" s="90" t="str">
        <f>'дод 3'!B95</f>
        <v>1010</v>
      </c>
      <c r="D154" s="42" t="str">
        <f>'дод 3'!C95</f>
        <v>Надання допомоги по догляду за особами з інвалідністю I чи II групи внаслідок психічного розладу</v>
      </c>
      <c r="E154" s="65">
        <v>12553970</v>
      </c>
      <c r="F154" s="65"/>
      <c r="G154" s="65"/>
      <c r="H154" s="65">
        <v>2579552.15</v>
      </c>
      <c r="I154" s="65"/>
      <c r="J154" s="65"/>
      <c r="K154" s="130">
        <f t="shared" si="41"/>
        <v>20.547700448543367</v>
      </c>
      <c r="L154" s="65">
        <f t="shared" si="40"/>
        <v>0</v>
      </c>
      <c r="M154" s="65"/>
      <c r="N154" s="65"/>
      <c r="O154" s="65"/>
      <c r="P154" s="65"/>
      <c r="Q154" s="65"/>
      <c r="R154" s="65">
        <f t="shared" si="43"/>
        <v>0</v>
      </c>
      <c r="S154" s="65"/>
      <c r="T154" s="65"/>
      <c r="U154" s="65"/>
      <c r="V154" s="65"/>
      <c r="W154" s="65"/>
      <c r="X154" s="132"/>
      <c r="Y154" s="65">
        <f t="shared" si="42"/>
        <v>2579552.15</v>
      </c>
      <c r="Z154" s="203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  <c r="NE154" s="47"/>
      <c r="NF154" s="47"/>
      <c r="NG154" s="47"/>
      <c r="NH154" s="47"/>
      <c r="NI154" s="47"/>
      <c r="NJ154" s="47"/>
      <c r="NK154" s="47"/>
      <c r="NL154" s="47"/>
      <c r="NM154" s="47"/>
      <c r="NN154" s="47"/>
      <c r="NO154" s="47"/>
      <c r="NP154" s="47"/>
      <c r="NQ154" s="47"/>
      <c r="NR154" s="47"/>
      <c r="NS154" s="47"/>
      <c r="NT154" s="47"/>
      <c r="NU154" s="47"/>
      <c r="NV154" s="47"/>
      <c r="NW154" s="47"/>
      <c r="NX154" s="47"/>
      <c r="NY154" s="47"/>
      <c r="NZ154" s="47"/>
      <c r="OA154" s="47"/>
      <c r="OB154" s="47"/>
      <c r="OC154" s="47"/>
      <c r="OD154" s="47"/>
      <c r="OE154" s="47"/>
      <c r="OF154" s="47"/>
      <c r="OG154" s="47"/>
      <c r="OH154" s="47"/>
      <c r="OI154" s="47"/>
      <c r="OJ154" s="47"/>
      <c r="OK154" s="47"/>
      <c r="OL154" s="47"/>
      <c r="OM154" s="47"/>
      <c r="ON154" s="47"/>
      <c r="OO154" s="47"/>
      <c r="OP154" s="47"/>
      <c r="OQ154" s="47"/>
      <c r="OR154" s="47"/>
      <c r="OS154" s="47"/>
      <c r="OT154" s="47"/>
      <c r="OU154" s="47"/>
      <c r="OV154" s="47"/>
      <c r="OW154" s="47"/>
      <c r="OX154" s="47"/>
      <c r="OY154" s="47"/>
      <c r="OZ154" s="47"/>
      <c r="PA154" s="47"/>
      <c r="PB154" s="47"/>
      <c r="PC154" s="47"/>
      <c r="PD154" s="47"/>
      <c r="PE154" s="47"/>
      <c r="PF154" s="47"/>
      <c r="PG154" s="47"/>
      <c r="PH154" s="47"/>
      <c r="PI154" s="47"/>
      <c r="PJ154" s="47"/>
      <c r="PK154" s="47"/>
      <c r="PL154" s="47"/>
      <c r="PM154" s="47"/>
      <c r="PN154" s="47"/>
      <c r="PO154" s="47"/>
      <c r="PP154" s="47"/>
      <c r="PQ154" s="47"/>
      <c r="PR154" s="47"/>
      <c r="PS154" s="47"/>
      <c r="PT154" s="47"/>
      <c r="PU154" s="47"/>
      <c r="PV154" s="47"/>
      <c r="PW154" s="47"/>
      <c r="PX154" s="47"/>
      <c r="PY154" s="47"/>
      <c r="PZ154" s="47"/>
      <c r="QA154" s="47"/>
      <c r="QB154" s="47"/>
      <c r="QC154" s="47"/>
      <c r="QD154" s="47"/>
      <c r="QE154" s="47"/>
      <c r="QF154" s="47"/>
      <c r="QG154" s="47"/>
      <c r="QH154" s="47"/>
      <c r="QI154" s="47"/>
      <c r="QJ154" s="47"/>
      <c r="QK154" s="47"/>
      <c r="QL154" s="47"/>
      <c r="QM154" s="47"/>
      <c r="QN154" s="47"/>
      <c r="QO154" s="47"/>
      <c r="QP154" s="47"/>
      <c r="QQ154" s="47"/>
      <c r="QR154" s="47"/>
      <c r="QS154" s="47"/>
      <c r="QT154" s="47"/>
      <c r="QU154" s="47"/>
      <c r="QV154" s="47"/>
      <c r="QW154" s="47"/>
      <c r="QX154" s="47"/>
      <c r="QY154" s="47"/>
      <c r="QZ154" s="47"/>
      <c r="RA154" s="47"/>
      <c r="RB154" s="47"/>
      <c r="RC154" s="47"/>
      <c r="RD154" s="47"/>
      <c r="RE154" s="47"/>
      <c r="RF154" s="47"/>
      <c r="RG154" s="47"/>
      <c r="RH154" s="47"/>
      <c r="RI154" s="47"/>
      <c r="RJ154" s="47"/>
      <c r="RK154" s="47"/>
      <c r="RL154" s="47"/>
      <c r="RM154" s="47"/>
      <c r="RN154" s="47"/>
      <c r="RO154" s="47"/>
      <c r="RP154" s="47"/>
      <c r="RQ154" s="47"/>
      <c r="RR154" s="47"/>
      <c r="RS154" s="47"/>
      <c r="RT154" s="47"/>
      <c r="RU154" s="47"/>
      <c r="RV154" s="47"/>
      <c r="RW154" s="47"/>
      <c r="RX154" s="47"/>
      <c r="RY154" s="47"/>
      <c r="RZ154" s="47"/>
      <c r="SA154" s="47"/>
      <c r="SB154" s="47"/>
      <c r="SC154" s="47"/>
      <c r="SD154" s="47"/>
      <c r="SE154" s="47"/>
      <c r="SF154" s="47"/>
      <c r="SG154" s="47"/>
      <c r="SH154" s="47"/>
      <c r="SI154" s="47"/>
      <c r="SJ154" s="47"/>
      <c r="SK154" s="47"/>
      <c r="SL154" s="47"/>
      <c r="SM154" s="47"/>
      <c r="SN154" s="47"/>
      <c r="SO154" s="47"/>
      <c r="SP154" s="47"/>
      <c r="SQ154" s="47"/>
      <c r="SR154" s="47"/>
      <c r="SS154" s="47"/>
      <c r="ST154" s="47"/>
      <c r="SU154" s="47"/>
      <c r="SV154" s="47"/>
      <c r="SW154" s="47"/>
      <c r="SX154" s="47"/>
      <c r="SY154" s="47"/>
      <c r="SZ154" s="47"/>
      <c r="TA154" s="47"/>
      <c r="TB154" s="47"/>
      <c r="TC154" s="47"/>
      <c r="TD154" s="47"/>
      <c r="TE154" s="47"/>
      <c r="TF154" s="47"/>
      <c r="TG154" s="47"/>
      <c r="TH154" s="47"/>
      <c r="TI154" s="47"/>
      <c r="TJ154" s="47"/>
      <c r="TK154" s="47"/>
      <c r="TL154" s="47"/>
      <c r="TM154" s="47"/>
      <c r="TN154" s="47"/>
      <c r="TO154" s="47"/>
      <c r="TP154" s="47"/>
      <c r="TQ154" s="47"/>
      <c r="TR154" s="47"/>
      <c r="TS154" s="47"/>
      <c r="TT154" s="47"/>
      <c r="TU154" s="47"/>
      <c r="TV154" s="47"/>
      <c r="TW154" s="47"/>
      <c r="TX154" s="47"/>
      <c r="TY154" s="47"/>
      <c r="TZ154" s="47"/>
      <c r="UA154" s="47"/>
      <c r="UB154" s="47"/>
      <c r="UC154" s="47"/>
      <c r="UD154" s="47"/>
      <c r="UE154" s="47"/>
      <c r="UF154" s="47"/>
      <c r="UG154" s="47"/>
      <c r="UH154" s="47"/>
      <c r="UI154" s="47"/>
      <c r="UJ154" s="47"/>
      <c r="UK154" s="47"/>
      <c r="UL154" s="47"/>
      <c r="UM154" s="47"/>
      <c r="UN154" s="47"/>
      <c r="UO154" s="47"/>
      <c r="UP154" s="47"/>
      <c r="UQ154" s="47"/>
      <c r="UR154" s="47"/>
      <c r="US154" s="47"/>
      <c r="UT154" s="47"/>
      <c r="UU154" s="47"/>
      <c r="UV154" s="47"/>
      <c r="UW154" s="47"/>
      <c r="UX154" s="47"/>
      <c r="UY154" s="47"/>
      <c r="UZ154" s="47"/>
      <c r="VA154" s="47"/>
      <c r="VB154" s="47"/>
      <c r="VC154" s="47"/>
      <c r="VD154" s="47"/>
      <c r="VE154" s="47"/>
      <c r="VF154" s="47"/>
    </row>
    <row r="155" spans="1:578" s="41" customFormat="1" ht="14.25" customHeight="1" x14ac:dyDescent="0.2">
      <c r="A155" s="39"/>
      <c r="B155" s="90"/>
      <c r="C155" s="90"/>
      <c r="D155" s="42" t="str">
        <f>'дод 3'!C96</f>
        <v>у т.ч. за рахунок субвенцій з держбюджету</v>
      </c>
      <c r="E155" s="65">
        <v>12553970</v>
      </c>
      <c r="F155" s="65"/>
      <c r="G155" s="65"/>
      <c r="H155" s="65">
        <v>2579552.15</v>
      </c>
      <c r="I155" s="65"/>
      <c r="J155" s="65"/>
      <c r="K155" s="130">
        <f t="shared" si="41"/>
        <v>20.547700448543367</v>
      </c>
      <c r="L155" s="65">
        <f t="shared" si="40"/>
        <v>0</v>
      </c>
      <c r="M155" s="65"/>
      <c r="N155" s="65"/>
      <c r="O155" s="65"/>
      <c r="P155" s="65"/>
      <c r="Q155" s="65"/>
      <c r="R155" s="65">
        <f t="shared" si="43"/>
        <v>0</v>
      </c>
      <c r="S155" s="65"/>
      <c r="T155" s="65"/>
      <c r="U155" s="65"/>
      <c r="V155" s="65"/>
      <c r="W155" s="65"/>
      <c r="X155" s="132"/>
      <c r="Y155" s="65">
        <f t="shared" si="42"/>
        <v>2579552.15</v>
      </c>
      <c r="Z155" s="203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47"/>
      <c r="KC155" s="47"/>
      <c r="KD155" s="47"/>
      <c r="KE155" s="47"/>
      <c r="KF155" s="47"/>
      <c r="KG155" s="47"/>
      <c r="KH155" s="47"/>
      <c r="KI155" s="47"/>
      <c r="KJ155" s="47"/>
      <c r="KK155" s="47"/>
      <c r="KL155" s="47"/>
      <c r="KM155" s="47"/>
      <c r="KN155" s="47"/>
      <c r="KO155" s="47"/>
      <c r="KP155" s="47"/>
      <c r="KQ155" s="47"/>
      <c r="KR155" s="47"/>
      <c r="KS155" s="47"/>
      <c r="KT155" s="47"/>
      <c r="KU155" s="47"/>
      <c r="KV155" s="47"/>
      <c r="KW155" s="47"/>
      <c r="KX155" s="47"/>
      <c r="KY155" s="47"/>
      <c r="KZ155" s="47"/>
      <c r="LA155" s="47"/>
      <c r="LB155" s="47"/>
      <c r="LC155" s="47"/>
      <c r="LD155" s="47"/>
      <c r="LE155" s="47"/>
      <c r="LF155" s="47"/>
      <c r="LG155" s="47"/>
      <c r="LH155" s="47"/>
      <c r="LI155" s="47"/>
      <c r="LJ155" s="47"/>
      <c r="LK155" s="47"/>
      <c r="LL155" s="47"/>
      <c r="LM155" s="47"/>
      <c r="LN155" s="47"/>
      <c r="LO155" s="47"/>
      <c r="LP155" s="47"/>
      <c r="LQ155" s="47"/>
      <c r="LR155" s="47"/>
      <c r="LS155" s="47"/>
      <c r="LT155" s="47"/>
      <c r="LU155" s="47"/>
      <c r="LV155" s="47"/>
      <c r="LW155" s="47"/>
      <c r="LX155" s="47"/>
      <c r="LY155" s="47"/>
      <c r="LZ155" s="47"/>
      <c r="MA155" s="47"/>
      <c r="MB155" s="47"/>
      <c r="MC155" s="47"/>
      <c r="MD155" s="47"/>
      <c r="ME155" s="47"/>
      <c r="MF155" s="47"/>
      <c r="MG155" s="47"/>
      <c r="MH155" s="47"/>
      <c r="MI155" s="47"/>
      <c r="MJ155" s="4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  <c r="NE155" s="47"/>
      <c r="NF155" s="47"/>
      <c r="NG155" s="47"/>
      <c r="NH155" s="47"/>
      <c r="NI155" s="47"/>
      <c r="NJ155" s="47"/>
      <c r="NK155" s="47"/>
      <c r="NL155" s="47"/>
      <c r="NM155" s="47"/>
      <c r="NN155" s="47"/>
      <c r="NO155" s="47"/>
      <c r="NP155" s="47"/>
      <c r="NQ155" s="47"/>
      <c r="NR155" s="47"/>
      <c r="NS155" s="47"/>
      <c r="NT155" s="47"/>
      <c r="NU155" s="47"/>
      <c r="NV155" s="47"/>
      <c r="NW155" s="47"/>
      <c r="NX155" s="47"/>
      <c r="NY155" s="47"/>
      <c r="NZ155" s="47"/>
      <c r="OA155" s="47"/>
      <c r="OB155" s="47"/>
      <c r="OC155" s="47"/>
      <c r="OD155" s="47"/>
      <c r="OE155" s="47"/>
      <c r="OF155" s="47"/>
      <c r="OG155" s="47"/>
      <c r="OH155" s="47"/>
      <c r="OI155" s="47"/>
      <c r="OJ155" s="47"/>
      <c r="OK155" s="47"/>
      <c r="OL155" s="47"/>
      <c r="OM155" s="47"/>
      <c r="ON155" s="47"/>
      <c r="OO155" s="47"/>
      <c r="OP155" s="47"/>
      <c r="OQ155" s="47"/>
      <c r="OR155" s="47"/>
      <c r="OS155" s="47"/>
      <c r="OT155" s="47"/>
      <c r="OU155" s="47"/>
      <c r="OV155" s="47"/>
      <c r="OW155" s="47"/>
      <c r="OX155" s="47"/>
      <c r="OY155" s="47"/>
      <c r="OZ155" s="47"/>
      <c r="PA155" s="47"/>
      <c r="PB155" s="47"/>
      <c r="PC155" s="47"/>
      <c r="PD155" s="47"/>
      <c r="PE155" s="47"/>
      <c r="PF155" s="47"/>
      <c r="PG155" s="47"/>
      <c r="PH155" s="47"/>
      <c r="PI155" s="47"/>
      <c r="PJ155" s="47"/>
      <c r="PK155" s="47"/>
      <c r="PL155" s="47"/>
      <c r="PM155" s="47"/>
      <c r="PN155" s="47"/>
      <c r="PO155" s="47"/>
      <c r="PP155" s="47"/>
      <c r="PQ155" s="47"/>
      <c r="PR155" s="47"/>
      <c r="PS155" s="47"/>
      <c r="PT155" s="47"/>
      <c r="PU155" s="47"/>
      <c r="PV155" s="47"/>
      <c r="PW155" s="47"/>
      <c r="PX155" s="47"/>
      <c r="PY155" s="47"/>
      <c r="PZ155" s="47"/>
      <c r="QA155" s="47"/>
      <c r="QB155" s="47"/>
      <c r="QC155" s="47"/>
      <c r="QD155" s="47"/>
      <c r="QE155" s="47"/>
      <c r="QF155" s="47"/>
      <c r="QG155" s="47"/>
      <c r="QH155" s="47"/>
      <c r="QI155" s="47"/>
      <c r="QJ155" s="47"/>
      <c r="QK155" s="47"/>
      <c r="QL155" s="47"/>
      <c r="QM155" s="47"/>
      <c r="QN155" s="47"/>
      <c r="QO155" s="47"/>
      <c r="QP155" s="47"/>
      <c r="QQ155" s="47"/>
      <c r="QR155" s="47"/>
      <c r="QS155" s="47"/>
      <c r="QT155" s="47"/>
      <c r="QU155" s="47"/>
      <c r="QV155" s="47"/>
      <c r="QW155" s="47"/>
      <c r="QX155" s="47"/>
      <c r="QY155" s="47"/>
      <c r="QZ155" s="47"/>
      <c r="RA155" s="47"/>
      <c r="RB155" s="47"/>
      <c r="RC155" s="47"/>
      <c r="RD155" s="47"/>
      <c r="RE155" s="47"/>
      <c r="RF155" s="47"/>
      <c r="RG155" s="47"/>
      <c r="RH155" s="47"/>
      <c r="RI155" s="47"/>
      <c r="RJ155" s="47"/>
      <c r="RK155" s="47"/>
      <c r="RL155" s="47"/>
      <c r="RM155" s="47"/>
      <c r="RN155" s="47"/>
      <c r="RO155" s="47"/>
      <c r="RP155" s="47"/>
      <c r="RQ155" s="47"/>
      <c r="RR155" s="47"/>
      <c r="RS155" s="47"/>
      <c r="RT155" s="47"/>
      <c r="RU155" s="47"/>
      <c r="RV155" s="47"/>
      <c r="RW155" s="47"/>
      <c r="RX155" s="47"/>
      <c r="RY155" s="47"/>
      <c r="RZ155" s="47"/>
      <c r="SA155" s="47"/>
      <c r="SB155" s="47"/>
      <c r="SC155" s="47"/>
      <c r="SD155" s="47"/>
      <c r="SE155" s="47"/>
      <c r="SF155" s="47"/>
      <c r="SG155" s="47"/>
      <c r="SH155" s="47"/>
      <c r="SI155" s="47"/>
      <c r="SJ155" s="47"/>
      <c r="SK155" s="47"/>
      <c r="SL155" s="47"/>
      <c r="SM155" s="47"/>
      <c r="SN155" s="47"/>
      <c r="SO155" s="47"/>
      <c r="SP155" s="47"/>
      <c r="SQ155" s="47"/>
      <c r="SR155" s="47"/>
      <c r="SS155" s="47"/>
      <c r="ST155" s="47"/>
      <c r="SU155" s="47"/>
      <c r="SV155" s="47"/>
      <c r="SW155" s="47"/>
      <c r="SX155" s="47"/>
      <c r="SY155" s="47"/>
      <c r="SZ155" s="47"/>
      <c r="TA155" s="47"/>
      <c r="TB155" s="47"/>
      <c r="TC155" s="47"/>
      <c r="TD155" s="47"/>
      <c r="TE155" s="47"/>
      <c r="TF155" s="47"/>
      <c r="TG155" s="47"/>
      <c r="TH155" s="47"/>
      <c r="TI155" s="47"/>
      <c r="TJ155" s="47"/>
      <c r="TK155" s="47"/>
      <c r="TL155" s="47"/>
      <c r="TM155" s="47"/>
      <c r="TN155" s="47"/>
      <c r="TO155" s="47"/>
      <c r="TP155" s="47"/>
      <c r="TQ155" s="47"/>
      <c r="TR155" s="47"/>
      <c r="TS155" s="47"/>
      <c r="TT155" s="47"/>
      <c r="TU155" s="47"/>
      <c r="TV155" s="47"/>
      <c r="TW155" s="47"/>
      <c r="TX155" s="47"/>
      <c r="TY155" s="47"/>
      <c r="TZ155" s="47"/>
      <c r="UA155" s="47"/>
      <c r="UB155" s="47"/>
      <c r="UC155" s="47"/>
      <c r="UD155" s="47"/>
      <c r="UE155" s="47"/>
      <c r="UF155" s="47"/>
      <c r="UG155" s="47"/>
      <c r="UH155" s="47"/>
      <c r="UI155" s="47"/>
      <c r="UJ155" s="47"/>
      <c r="UK155" s="47"/>
      <c r="UL155" s="47"/>
      <c r="UM155" s="47"/>
      <c r="UN155" s="47"/>
      <c r="UO155" s="47"/>
      <c r="UP155" s="47"/>
      <c r="UQ155" s="47"/>
      <c r="UR155" s="47"/>
      <c r="US155" s="47"/>
      <c r="UT155" s="47"/>
      <c r="UU155" s="47"/>
      <c r="UV155" s="47"/>
      <c r="UW155" s="47"/>
      <c r="UX155" s="47"/>
      <c r="UY155" s="47"/>
      <c r="UZ155" s="47"/>
      <c r="VA155" s="47"/>
      <c r="VB155" s="47"/>
      <c r="VC155" s="47"/>
      <c r="VD155" s="47"/>
      <c r="VE155" s="47"/>
      <c r="VF155" s="47"/>
    </row>
    <row r="156" spans="1:578" s="41" customFormat="1" ht="49.5" customHeight="1" x14ac:dyDescent="0.2">
      <c r="A156" s="39" t="s">
        <v>475</v>
      </c>
      <c r="B156" s="90" t="str">
        <f>'дод 3'!A97</f>
        <v>3084</v>
      </c>
      <c r="C156" s="90" t="str">
        <f>'дод 3'!B97</f>
        <v>1040</v>
      </c>
      <c r="D156" s="42" t="str">
        <f>'дод 3'!C97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6" s="65">
        <v>1859870</v>
      </c>
      <c r="F156" s="65"/>
      <c r="G156" s="65"/>
      <c r="H156" s="65">
        <v>159338.76999999999</v>
      </c>
      <c r="I156" s="65"/>
      <c r="J156" s="65"/>
      <c r="K156" s="130">
        <f t="shared" si="41"/>
        <v>8.5671993203826062</v>
      </c>
      <c r="L156" s="65">
        <f t="shared" si="40"/>
        <v>0</v>
      </c>
      <c r="M156" s="65"/>
      <c r="N156" s="65"/>
      <c r="O156" s="65"/>
      <c r="P156" s="65"/>
      <c r="Q156" s="65"/>
      <c r="R156" s="65">
        <f t="shared" si="43"/>
        <v>0</v>
      </c>
      <c r="S156" s="65"/>
      <c r="T156" s="65"/>
      <c r="U156" s="65"/>
      <c r="V156" s="65"/>
      <c r="W156" s="65"/>
      <c r="X156" s="132"/>
      <c r="Y156" s="65">
        <f t="shared" si="42"/>
        <v>159338.76999999999</v>
      </c>
      <c r="Z156" s="203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  <c r="OB156" s="47"/>
      <c r="OC156" s="47"/>
      <c r="OD156" s="47"/>
      <c r="OE156" s="47"/>
      <c r="OF156" s="47"/>
      <c r="OG156" s="47"/>
      <c r="OH156" s="47"/>
      <c r="OI156" s="47"/>
      <c r="OJ156" s="47"/>
      <c r="OK156" s="47"/>
      <c r="OL156" s="47"/>
      <c r="OM156" s="47"/>
      <c r="ON156" s="47"/>
      <c r="OO156" s="47"/>
      <c r="OP156" s="47"/>
      <c r="OQ156" s="47"/>
      <c r="OR156" s="47"/>
      <c r="OS156" s="47"/>
      <c r="OT156" s="47"/>
      <c r="OU156" s="47"/>
      <c r="OV156" s="47"/>
      <c r="OW156" s="47"/>
      <c r="OX156" s="47"/>
      <c r="OY156" s="47"/>
      <c r="OZ156" s="47"/>
      <c r="PA156" s="47"/>
      <c r="PB156" s="47"/>
      <c r="PC156" s="47"/>
      <c r="PD156" s="47"/>
      <c r="PE156" s="47"/>
      <c r="PF156" s="47"/>
      <c r="PG156" s="47"/>
      <c r="PH156" s="47"/>
      <c r="PI156" s="47"/>
      <c r="PJ156" s="47"/>
      <c r="PK156" s="47"/>
      <c r="PL156" s="47"/>
      <c r="PM156" s="47"/>
      <c r="PN156" s="47"/>
      <c r="PO156" s="47"/>
      <c r="PP156" s="47"/>
      <c r="PQ156" s="47"/>
      <c r="PR156" s="47"/>
      <c r="PS156" s="47"/>
      <c r="PT156" s="47"/>
      <c r="PU156" s="47"/>
      <c r="PV156" s="47"/>
      <c r="PW156" s="47"/>
      <c r="PX156" s="47"/>
      <c r="PY156" s="47"/>
      <c r="PZ156" s="47"/>
      <c r="QA156" s="47"/>
      <c r="QB156" s="47"/>
      <c r="QC156" s="47"/>
      <c r="QD156" s="47"/>
      <c r="QE156" s="47"/>
      <c r="QF156" s="47"/>
      <c r="QG156" s="47"/>
      <c r="QH156" s="47"/>
      <c r="QI156" s="47"/>
      <c r="QJ156" s="47"/>
      <c r="QK156" s="47"/>
      <c r="QL156" s="47"/>
      <c r="QM156" s="47"/>
      <c r="QN156" s="47"/>
      <c r="QO156" s="47"/>
      <c r="QP156" s="47"/>
      <c r="QQ156" s="47"/>
      <c r="QR156" s="47"/>
      <c r="QS156" s="47"/>
      <c r="QT156" s="47"/>
      <c r="QU156" s="47"/>
      <c r="QV156" s="47"/>
      <c r="QW156" s="47"/>
      <c r="QX156" s="47"/>
      <c r="QY156" s="47"/>
      <c r="QZ156" s="47"/>
      <c r="RA156" s="47"/>
      <c r="RB156" s="47"/>
      <c r="RC156" s="47"/>
      <c r="RD156" s="47"/>
      <c r="RE156" s="47"/>
      <c r="RF156" s="47"/>
      <c r="RG156" s="47"/>
      <c r="RH156" s="47"/>
      <c r="RI156" s="47"/>
      <c r="RJ156" s="47"/>
      <c r="RK156" s="47"/>
      <c r="RL156" s="47"/>
      <c r="RM156" s="47"/>
      <c r="RN156" s="47"/>
      <c r="RO156" s="47"/>
      <c r="RP156" s="47"/>
      <c r="RQ156" s="47"/>
      <c r="RR156" s="47"/>
      <c r="RS156" s="47"/>
      <c r="RT156" s="47"/>
      <c r="RU156" s="47"/>
      <c r="RV156" s="47"/>
      <c r="RW156" s="47"/>
      <c r="RX156" s="47"/>
      <c r="RY156" s="47"/>
      <c r="RZ156" s="47"/>
      <c r="SA156" s="47"/>
      <c r="SB156" s="47"/>
      <c r="SC156" s="47"/>
      <c r="SD156" s="47"/>
      <c r="SE156" s="47"/>
      <c r="SF156" s="47"/>
      <c r="SG156" s="47"/>
      <c r="SH156" s="47"/>
      <c r="SI156" s="47"/>
      <c r="SJ156" s="47"/>
      <c r="SK156" s="47"/>
      <c r="SL156" s="47"/>
      <c r="SM156" s="47"/>
      <c r="SN156" s="47"/>
      <c r="SO156" s="47"/>
      <c r="SP156" s="47"/>
      <c r="SQ156" s="47"/>
      <c r="SR156" s="47"/>
      <c r="SS156" s="47"/>
      <c r="ST156" s="47"/>
      <c r="SU156" s="47"/>
      <c r="SV156" s="47"/>
      <c r="SW156" s="47"/>
      <c r="SX156" s="47"/>
      <c r="SY156" s="47"/>
      <c r="SZ156" s="47"/>
      <c r="TA156" s="47"/>
      <c r="TB156" s="47"/>
      <c r="TC156" s="47"/>
      <c r="TD156" s="47"/>
      <c r="TE156" s="47"/>
      <c r="TF156" s="47"/>
      <c r="TG156" s="47"/>
      <c r="TH156" s="47"/>
      <c r="TI156" s="47"/>
      <c r="TJ156" s="47"/>
      <c r="TK156" s="47"/>
      <c r="TL156" s="47"/>
      <c r="TM156" s="47"/>
      <c r="TN156" s="47"/>
      <c r="TO156" s="47"/>
      <c r="TP156" s="47"/>
      <c r="TQ156" s="47"/>
      <c r="TR156" s="47"/>
      <c r="TS156" s="47"/>
      <c r="TT156" s="47"/>
      <c r="TU156" s="47"/>
      <c r="TV156" s="47"/>
      <c r="TW156" s="47"/>
      <c r="TX156" s="47"/>
      <c r="TY156" s="47"/>
      <c r="TZ156" s="47"/>
      <c r="UA156" s="47"/>
      <c r="UB156" s="47"/>
      <c r="UC156" s="47"/>
      <c r="UD156" s="47"/>
      <c r="UE156" s="47"/>
      <c r="UF156" s="47"/>
      <c r="UG156" s="47"/>
      <c r="UH156" s="47"/>
      <c r="UI156" s="47"/>
      <c r="UJ156" s="47"/>
      <c r="UK156" s="47"/>
      <c r="UL156" s="47"/>
      <c r="UM156" s="47"/>
      <c r="UN156" s="47"/>
      <c r="UO156" s="47"/>
      <c r="UP156" s="47"/>
      <c r="UQ156" s="47"/>
      <c r="UR156" s="47"/>
      <c r="US156" s="47"/>
      <c r="UT156" s="47"/>
      <c r="UU156" s="47"/>
      <c r="UV156" s="47"/>
      <c r="UW156" s="47"/>
      <c r="UX156" s="47"/>
      <c r="UY156" s="47"/>
      <c r="UZ156" s="47"/>
      <c r="VA156" s="47"/>
      <c r="VB156" s="47"/>
      <c r="VC156" s="47"/>
      <c r="VD156" s="47"/>
      <c r="VE156" s="47"/>
      <c r="VF156" s="47"/>
    </row>
    <row r="157" spans="1:578" s="41" customFormat="1" ht="17.25" customHeight="1" x14ac:dyDescent="0.2">
      <c r="A157" s="39"/>
      <c r="B157" s="90"/>
      <c r="C157" s="90"/>
      <c r="D157" s="42" t="str">
        <f>'дод 3'!C98</f>
        <v>у т.ч. за рахунок субвенцій з держбюджету</v>
      </c>
      <c r="E157" s="65">
        <v>1859870</v>
      </c>
      <c r="F157" s="65"/>
      <c r="G157" s="65"/>
      <c r="H157" s="65">
        <v>159338.76999999999</v>
      </c>
      <c r="I157" s="65"/>
      <c r="J157" s="65"/>
      <c r="K157" s="130">
        <f t="shared" si="41"/>
        <v>8.5671993203826062</v>
      </c>
      <c r="L157" s="65">
        <f t="shared" si="40"/>
        <v>0</v>
      </c>
      <c r="M157" s="65"/>
      <c r="N157" s="65"/>
      <c r="O157" s="65"/>
      <c r="P157" s="65"/>
      <c r="Q157" s="65"/>
      <c r="R157" s="65">
        <f t="shared" si="43"/>
        <v>0</v>
      </c>
      <c r="S157" s="65"/>
      <c r="T157" s="65"/>
      <c r="U157" s="65"/>
      <c r="V157" s="65"/>
      <c r="W157" s="65"/>
      <c r="X157" s="132"/>
      <c r="Y157" s="65">
        <f t="shared" si="42"/>
        <v>159338.76999999999</v>
      </c>
      <c r="Z157" s="203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47"/>
      <c r="KC157" s="47"/>
      <c r="KD157" s="47"/>
      <c r="KE157" s="47"/>
      <c r="KF157" s="47"/>
      <c r="KG157" s="47"/>
      <c r="KH157" s="47"/>
      <c r="KI157" s="47"/>
      <c r="KJ157" s="47"/>
      <c r="KK157" s="47"/>
      <c r="KL157" s="47"/>
      <c r="KM157" s="47"/>
      <c r="KN157" s="47"/>
      <c r="KO157" s="47"/>
      <c r="KP157" s="47"/>
      <c r="KQ157" s="47"/>
      <c r="KR157" s="47"/>
      <c r="KS157" s="47"/>
      <c r="KT157" s="47"/>
      <c r="KU157" s="47"/>
      <c r="KV157" s="47"/>
      <c r="KW157" s="47"/>
      <c r="KX157" s="47"/>
      <c r="KY157" s="47"/>
      <c r="KZ157" s="47"/>
      <c r="LA157" s="47"/>
      <c r="LB157" s="47"/>
      <c r="LC157" s="47"/>
      <c r="LD157" s="47"/>
      <c r="LE157" s="47"/>
      <c r="LF157" s="47"/>
      <c r="LG157" s="47"/>
      <c r="LH157" s="47"/>
      <c r="LI157" s="47"/>
      <c r="LJ157" s="47"/>
      <c r="LK157" s="47"/>
      <c r="LL157" s="47"/>
      <c r="LM157" s="47"/>
      <c r="LN157" s="47"/>
      <c r="LO157" s="47"/>
      <c r="LP157" s="47"/>
      <c r="LQ157" s="47"/>
      <c r="LR157" s="47"/>
      <c r="LS157" s="47"/>
      <c r="LT157" s="47"/>
      <c r="LU157" s="47"/>
      <c r="LV157" s="47"/>
      <c r="LW157" s="47"/>
      <c r="LX157" s="47"/>
      <c r="LY157" s="47"/>
      <c r="LZ157" s="47"/>
      <c r="MA157" s="47"/>
      <c r="MB157" s="47"/>
      <c r="MC157" s="47"/>
      <c r="MD157" s="47"/>
      <c r="ME157" s="47"/>
      <c r="MF157" s="47"/>
      <c r="MG157" s="47"/>
      <c r="MH157" s="47"/>
      <c r="MI157" s="47"/>
      <c r="MJ157" s="4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  <c r="NE157" s="47"/>
      <c r="NF157" s="47"/>
      <c r="NG157" s="47"/>
      <c r="NH157" s="47"/>
      <c r="NI157" s="47"/>
      <c r="NJ157" s="47"/>
      <c r="NK157" s="47"/>
      <c r="NL157" s="47"/>
      <c r="NM157" s="47"/>
      <c r="NN157" s="47"/>
      <c r="NO157" s="47"/>
      <c r="NP157" s="47"/>
      <c r="NQ157" s="47"/>
      <c r="NR157" s="47"/>
      <c r="NS157" s="47"/>
      <c r="NT157" s="47"/>
      <c r="NU157" s="47"/>
      <c r="NV157" s="47"/>
      <c r="NW157" s="47"/>
      <c r="NX157" s="47"/>
      <c r="NY157" s="47"/>
      <c r="NZ157" s="47"/>
      <c r="OA157" s="47"/>
      <c r="OB157" s="47"/>
      <c r="OC157" s="47"/>
      <c r="OD157" s="47"/>
      <c r="OE157" s="47"/>
      <c r="OF157" s="47"/>
      <c r="OG157" s="47"/>
      <c r="OH157" s="47"/>
      <c r="OI157" s="47"/>
      <c r="OJ157" s="47"/>
      <c r="OK157" s="47"/>
      <c r="OL157" s="47"/>
      <c r="OM157" s="47"/>
      <c r="ON157" s="47"/>
      <c r="OO157" s="47"/>
      <c r="OP157" s="47"/>
      <c r="OQ157" s="47"/>
      <c r="OR157" s="47"/>
      <c r="OS157" s="47"/>
      <c r="OT157" s="47"/>
      <c r="OU157" s="47"/>
      <c r="OV157" s="47"/>
      <c r="OW157" s="47"/>
      <c r="OX157" s="47"/>
      <c r="OY157" s="47"/>
      <c r="OZ157" s="47"/>
      <c r="PA157" s="47"/>
      <c r="PB157" s="47"/>
      <c r="PC157" s="47"/>
      <c r="PD157" s="47"/>
      <c r="PE157" s="47"/>
      <c r="PF157" s="47"/>
      <c r="PG157" s="47"/>
      <c r="PH157" s="47"/>
      <c r="PI157" s="47"/>
      <c r="PJ157" s="47"/>
      <c r="PK157" s="47"/>
      <c r="PL157" s="47"/>
      <c r="PM157" s="47"/>
      <c r="PN157" s="47"/>
      <c r="PO157" s="47"/>
      <c r="PP157" s="47"/>
      <c r="PQ157" s="47"/>
      <c r="PR157" s="47"/>
      <c r="PS157" s="47"/>
      <c r="PT157" s="47"/>
      <c r="PU157" s="47"/>
      <c r="PV157" s="47"/>
      <c r="PW157" s="47"/>
      <c r="PX157" s="47"/>
      <c r="PY157" s="47"/>
      <c r="PZ157" s="47"/>
      <c r="QA157" s="47"/>
      <c r="QB157" s="47"/>
      <c r="QC157" s="47"/>
      <c r="QD157" s="47"/>
      <c r="QE157" s="47"/>
      <c r="QF157" s="47"/>
      <c r="QG157" s="47"/>
      <c r="QH157" s="47"/>
      <c r="QI157" s="47"/>
      <c r="QJ157" s="47"/>
      <c r="QK157" s="47"/>
      <c r="QL157" s="47"/>
      <c r="QM157" s="47"/>
      <c r="QN157" s="47"/>
      <c r="QO157" s="47"/>
      <c r="QP157" s="47"/>
      <c r="QQ157" s="47"/>
      <c r="QR157" s="47"/>
      <c r="QS157" s="47"/>
      <c r="QT157" s="47"/>
      <c r="QU157" s="47"/>
      <c r="QV157" s="47"/>
      <c r="QW157" s="47"/>
      <c r="QX157" s="47"/>
      <c r="QY157" s="47"/>
      <c r="QZ157" s="47"/>
      <c r="RA157" s="47"/>
      <c r="RB157" s="47"/>
      <c r="RC157" s="47"/>
      <c r="RD157" s="47"/>
      <c r="RE157" s="47"/>
      <c r="RF157" s="47"/>
      <c r="RG157" s="47"/>
      <c r="RH157" s="47"/>
      <c r="RI157" s="47"/>
      <c r="RJ157" s="47"/>
      <c r="RK157" s="47"/>
      <c r="RL157" s="47"/>
      <c r="RM157" s="47"/>
      <c r="RN157" s="47"/>
      <c r="RO157" s="47"/>
      <c r="RP157" s="47"/>
      <c r="RQ157" s="47"/>
      <c r="RR157" s="47"/>
      <c r="RS157" s="47"/>
      <c r="RT157" s="47"/>
      <c r="RU157" s="47"/>
      <c r="RV157" s="47"/>
      <c r="RW157" s="47"/>
      <c r="RX157" s="47"/>
      <c r="RY157" s="47"/>
      <c r="RZ157" s="47"/>
      <c r="SA157" s="47"/>
      <c r="SB157" s="47"/>
      <c r="SC157" s="47"/>
      <c r="SD157" s="47"/>
      <c r="SE157" s="47"/>
      <c r="SF157" s="47"/>
      <c r="SG157" s="47"/>
      <c r="SH157" s="47"/>
      <c r="SI157" s="47"/>
      <c r="SJ157" s="47"/>
      <c r="SK157" s="47"/>
      <c r="SL157" s="47"/>
      <c r="SM157" s="47"/>
      <c r="SN157" s="47"/>
      <c r="SO157" s="47"/>
      <c r="SP157" s="47"/>
      <c r="SQ157" s="47"/>
      <c r="SR157" s="47"/>
      <c r="SS157" s="47"/>
      <c r="ST157" s="47"/>
      <c r="SU157" s="47"/>
      <c r="SV157" s="47"/>
      <c r="SW157" s="47"/>
      <c r="SX157" s="47"/>
      <c r="SY157" s="47"/>
      <c r="SZ157" s="47"/>
      <c r="TA157" s="47"/>
      <c r="TB157" s="47"/>
      <c r="TC157" s="47"/>
      <c r="TD157" s="47"/>
      <c r="TE157" s="47"/>
      <c r="TF157" s="47"/>
      <c r="TG157" s="47"/>
      <c r="TH157" s="47"/>
      <c r="TI157" s="47"/>
      <c r="TJ157" s="47"/>
      <c r="TK157" s="47"/>
      <c r="TL157" s="47"/>
      <c r="TM157" s="47"/>
      <c r="TN157" s="47"/>
      <c r="TO157" s="47"/>
      <c r="TP157" s="47"/>
      <c r="TQ157" s="47"/>
      <c r="TR157" s="47"/>
      <c r="TS157" s="47"/>
      <c r="TT157" s="47"/>
      <c r="TU157" s="47"/>
      <c r="TV157" s="47"/>
      <c r="TW157" s="47"/>
      <c r="TX157" s="47"/>
      <c r="TY157" s="47"/>
      <c r="TZ157" s="47"/>
      <c r="UA157" s="47"/>
      <c r="UB157" s="47"/>
      <c r="UC157" s="47"/>
      <c r="UD157" s="47"/>
      <c r="UE157" s="47"/>
      <c r="UF157" s="47"/>
      <c r="UG157" s="47"/>
      <c r="UH157" s="47"/>
      <c r="UI157" s="47"/>
      <c r="UJ157" s="47"/>
      <c r="UK157" s="47"/>
      <c r="UL157" s="47"/>
      <c r="UM157" s="47"/>
      <c r="UN157" s="47"/>
      <c r="UO157" s="47"/>
      <c r="UP157" s="47"/>
      <c r="UQ157" s="47"/>
      <c r="UR157" s="47"/>
      <c r="US157" s="47"/>
      <c r="UT157" s="47"/>
      <c r="UU157" s="47"/>
      <c r="UV157" s="47"/>
      <c r="UW157" s="47"/>
      <c r="UX157" s="47"/>
      <c r="UY157" s="47"/>
      <c r="UZ157" s="47"/>
      <c r="VA157" s="47"/>
      <c r="VB157" s="47"/>
      <c r="VC157" s="47"/>
      <c r="VD157" s="47"/>
      <c r="VE157" s="47"/>
      <c r="VF157" s="47"/>
    </row>
    <row r="158" spans="1:578" s="41" customFormat="1" ht="42.75" customHeight="1" x14ac:dyDescent="0.2">
      <c r="A158" s="39" t="s">
        <v>476</v>
      </c>
      <c r="B158" s="90" t="str">
        <f>'дод 3'!A99</f>
        <v>3085</v>
      </c>
      <c r="C158" s="90" t="str">
        <f>'дод 3'!B99</f>
        <v>1010</v>
      </c>
      <c r="D158" s="42" t="str">
        <f>'дод 3'!C99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8" s="65">
        <v>190380</v>
      </c>
      <c r="F158" s="65"/>
      <c r="G158" s="65"/>
      <c r="H158" s="65">
        <v>47063.54</v>
      </c>
      <c r="I158" s="65"/>
      <c r="J158" s="65"/>
      <c r="K158" s="130">
        <f t="shared" si="41"/>
        <v>24.720842525475366</v>
      </c>
      <c r="L158" s="65">
        <f t="shared" si="40"/>
        <v>0</v>
      </c>
      <c r="M158" s="65"/>
      <c r="N158" s="65"/>
      <c r="O158" s="65"/>
      <c r="P158" s="65"/>
      <c r="Q158" s="65"/>
      <c r="R158" s="65">
        <f t="shared" si="43"/>
        <v>0</v>
      </c>
      <c r="S158" s="65"/>
      <c r="T158" s="65"/>
      <c r="U158" s="65"/>
      <c r="V158" s="65"/>
      <c r="W158" s="65"/>
      <c r="X158" s="132"/>
      <c r="Y158" s="65">
        <f t="shared" si="42"/>
        <v>47063.54</v>
      </c>
      <c r="Z158" s="203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47"/>
      <c r="KC158" s="47"/>
      <c r="KD158" s="47"/>
      <c r="KE158" s="47"/>
      <c r="KF158" s="47"/>
      <c r="KG158" s="47"/>
      <c r="KH158" s="47"/>
      <c r="KI158" s="47"/>
      <c r="KJ158" s="47"/>
      <c r="KK158" s="47"/>
      <c r="KL158" s="47"/>
      <c r="KM158" s="47"/>
      <c r="KN158" s="47"/>
      <c r="KO158" s="47"/>
      <c r="KP158" s="47"/>
      <c r="KQ158" s="47"/>
      <c r="KR158" s="47"/>
      <c r="KS158" s="47"/>
      <c r="KT158" s="47"/>
      <c r="KU158" s="47"/>
      <c r="KV158" s="47"/>
      <c r="KW158" s="47"/>
      <c r="KX158" s="47"/>
      <c r="KY158" s="47"/>
      <c r="KZ158" s="47"/>
      <c r="LA158" s="47"/>
      <c r="LB158" s="47"/>
      <c r="LC158" s="47"/>
      <c r="LD158" s="47"/>
      <c r="LE158" s="47"/>
      <c r="LF158" s="47"/>
      <c r="LG158" s="47"/>
      <c r="LH158" s="47"/>
      <c r="LI158" s="47"/>
      <c r="LJ158" s="47"/>
      <c r="LK158" s="47"/>
      <c r="LL158" s="47"/>
      <c r="LM158" s="47"/>
      <c r="LN158" s="47"/>
      <c r="LO158" s="47"/>
      <c r="LP158" s="47"/>
      <c r="LQ158" s="47"/>
      <c r="LR158" s="47"/>
      <c r="LS158" s="47"/>
      <c r="LT158" s="47"/>
      <c r="LU158" s="47"/>
      <c r="LV158" s="47"/>
      <c r="LW158" s="47"/>
      <c r="LX158" s="47"/>
      <c r="LY158" s="47"/>
      <c r="LZ158" s="47"/>
      <c r="MA158" s="47"/>
      <c r="MB158" s="47"/>
      <c r="MC158" s="47"/>
      <c r="MD158" s="47"/>
      <c r="ME158" s="47"/>
      <c r="MF158" s="47"/>
      <c r="MG158" s="47"/>
      <c r="MH158" s="47"/>
      <c r="MI158" s="47"/>
      <c r="MJ158" s="4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  <c r="NE158" s="47"/>
      <c r="NF158" s="47"/>
      <c r="NG158" s="47"/>
      <c r="NH158" s="47"/>
      <c r="NI158" s="47"/>
      <c r="NJ158" s="47"/>
      <c r="NK158" s="47"/>
      <c r="NL158" s="47"/>
      <c r="NM158" s="47"/>
      <c r="NN158" s="47"/>
      <c r="NO158" s="47"/>
      <c r="NP158" s="47"/>
      <c r="NQ158" s="47"/>
      <c r="NR158" s="47"/>
      <c r="NS158" s="47"/>
      <c r="NT158" s="47"/>
      <c r="NU158" s="47"/>
      <c r="NV158" s="47"/>
      <c r="NW158" s="47"/>
      <c r="NX158" s="47"/>
      <c r="NY158" s="47"/>
      <c r="NZ158" s="47"/>
      <c r="OA158" s="47"/>
      <c r="OB158" s="47"/>
      <c r="OC158" s="47"/>
      <c r="OD158" s="47"/>
      <c r="OE158" s="47"/>
      <c r="OF158" s="47"/>
      <c r="OG158" s="47"/>
      <c r="OH158" s="47"/>
      <c r="OI158" s="47"/>
      <c r="OJ158" s="47"/>
      <c r="OK158" s="47"/>
      <c r="OL158" s="47"/>
      <c r="OM158" s="47"/>
      <c r="ON158" s="47"/>
      <c r="OO158" s="47"/>
      <c r="OP158" s="47"/>
      <c r="OQ158" s="47"/>
      <c r="OR158" s="47"/>
      <c r="OS158" s="47"/>
      <c r="OT158" s="47"/>
      <c r="OU158" s="47"/>
      <c r="OV158" s="47"/>
      <c r="OW158" s="47"/>
      <c r="OX158" s="47"/>
      <c r="OY158" s="47"/>
      <c r="OZ158" s="47"/>
      <c r="PA158" s="47"/>
      <c r="PB158" s="47"/>
      <c r="PC158" s="47"/>
      <c r="PD158" s="47"/>
      <c r="PE158" s="47"/>
      <c r="PF158" s="47"/>
      <c r="PG158" s="47"/>
      <c r="PH158" s="47"/>
      <c r="PI158" s="47"/>
      <c r="PJ158" s="47"/>
      <c r="PK158" s="47"/>
      <c r="PL158" s="47"/>
      <c r="PM158" s="47"/>
      <c r="PN158" s="47"/>
      <c r="PO158" s="47"/>
      <c r="PP158" s="47"/>
      <c r="PQ158" s="47"/>
      <c r="PR158" s="47"/>
      <c r="PS158" s="47"/>
      <c r="PT158" s="47"/>
      <c r="PU158" s="47"/>
      <c r="PV158" s="47"/>
      <c r="PW158" s="47"/>
      <c r="PX158" s="47"/>
      <c r="PY158" s="47"/>
      <c r="PZ158" s="47"/>
      <c r="QA158" s="47"/>
      <c r="QB158" s="47"/>
      <c r="QC158" s="47"/>
      <c r="QD158" s="47"/>
      <c r="QE158" s="47"/>
      <c r="QF158" s="47"/>
      <c r="QG158" s="47"/>
      <c r="QH158" s="47"/>
      <c r="QI158" s="47"/>
      <c r="QJ158" s="47"/>
      <c r="QK158" s="47"/>
      <c r="QL158" s="47"/>
      <c r="QM158" s="47"/>
      <c r="QN158" s="47"/>
      <c r="QO158" s="47"/>
      <c r="QP158" s="47"/>
      <c r="QQ158" s="47"/>
      <c r="QR158" s="47"/>
      <c r="QS158" s="47"/>
      <c r="QT158" s="47"/>
      <c r="QU158" s="47"/>
      <c r="QV158" s="47"/>
      <c r="QW158" s="47"/>
      <c r="QX158" s="47"/>
      <c r="QY158" s="47"/>
      <c r="QZ158" s="47"/>
      <c r="RA158" s="47"/>
      <c r="RB158" s="47"/>
      <c r="RC158" s="47"/>
      <c r="RD158" s="47"/>
      <c r="RE158" s="47"/>
      <c r="RF158" s="47"/>
      <c r="RG158" s="47"/>
      <c r="RH158" s="47"/>
      <c r="RI158" s="47"/>
      <c r="RJ158" s="47"/>
      <c r="RK158" s="47"/>
      <c r="RL158" s="47"/>
      <c r="RM158" s="47"/>
      <c r="RN158" s="47"/>
      <c r="RO158" s="47"/>
      <c r="RP158" s="47"/>
      <c r="RQ158" s="47"/>
      <c r="RR158" s="47"/>
      <c r="RS158" s="47"/>
      <c r="RT158" s="47"/>
      <c r="RU158" s="47"/>
      <c r="RV158" s="47"/>
      <c r="RW158" s="47"/>
      <c r="RX158" s="47"/>
      <c r="RY158" s="47"/>
      <c r="RZ158" s="47"/>
      <c r="SA158" s="47"/>
      <c r="SB158" s="47"/>
      <c r="SC158" s="47"/>
      <c r="SD158" s="47"/>
      <c r="SE158" s="47"/>
      <c r="SF158" s="47"/>
      <c r="SG158" s="47"/>
      <c r="SH158" s="47"/>
      <c r="SI158" s="47"/>
      <c r="SJ158" s="47"/>
      <c r="SK158" s="47"/>
      <c r="SL158" s="47"/>
      <c r="SM158" s="47"/>
      <c r="SN158" s="47"/>
      <c r="SO158" s="47"/>
      <c r="SP158" s="47"/>
      <c r="SQ158" s="47"/>
      <c r="SR158" s="47"/>
      <c r="SS158" s="47"/>
      <c r="ST158" s="47"/>
      <c r="SU158" s="47"/>
      <c r="SV158" s="47"/>
      <c r="SW158" s="47"/>
      <c r="SX158" s="47"/>
      <c r="SY158" s="47"/>
      <c r="SZ158" s="47"/>
      <c r="TA158" s="47"/>
      <c r="TB158" s="47"/>
      <c r="TC158" s="47"/>
      <c r="TD158" s="47"/>
      <c r="TE158" s="47"/>
      <c r="TF158" s="47"/>
      <c r="TG158" s="47"/>
      <c r="TH158" s="47"/>
      <c r="TI158" s="47"/>
      <c r="TJ158" s="47"/>
      <c r="TK158" s="47"/>
      <c r="TL158" s="47"/>
      <c r="TM158" s="47"/>
      <c r="TN158" s="47"/>
      <c r="TO158" s="47"/>
      <c r="TP158" s="47"/>
      <c r="TQ158" s="47"/>
      <c r="TR158" s="47"/>
      <c r="TS158" s="47"/>
      <c r="TT158" s="47"/>
      <c r="TU158" s="47"/>
      <c r="TV158" s="47"/>
      <c r="TW158" s="47"/>
      <c r="TX158" s="47"/>
      <c r="TY158" s="47"/>
      <c r="TZ158" s="47"/>
      <c r="UA158" s="47"/>
      <c r="UB158" s="47"/>
      <c r="UC158" s="47"/>
      <c r="UD158" s="47"/>
      <c r="UE158" s="47"/>
      <c r="UF158" s="47"/>
      <c r="UG158" s="47"/>
      <c r="UH158" s="47"/>
      <c r="UI158" s="47"/>
      <c r="UJ158" s="47"/>
      <c r="UK158" s="47"/>
      <c r="UL158" s="47"/>
      <c r="UM158" s="47"/>
      <c r="UN158" s="47"/>
      <c r="UO158" s="47"/>
      <c r="UP158" s="47"/>
      <c r="UQ158" s="47"/>
      <c r="UR158" s="47"/>
      <c r="US158" s="47"/>
      <c r="UT158" s="47"/>
      <c r="UU158" s="47"/>
      <c r="UV158" s="47"/>
      <c r="UW158" s="47"/>
      <c r="UX158" s="47"/>
      <c r="UY158" s="47"/>
      <c r="UZ158" s="47"/>
      <c r="VA158" s="47"/>
      <c r="VB158" s="47"/>
      <c r="VC158" s="47"/>
      <c r="VD158" s="47"/>
      <c r="VE158" s="47"/>
      <c r="VF158" s="47"/>
    </row>
    <row r="159" spans="1:578" s="41" customFormat="1" ht="19.5" customHeight="1" x14ac:dyDescent="0.2">
      <c r="A159" s="39"/>
      <c r="B159" s="90"/>
      <c r="C159" s="90"/>
      <c r="D159" s="42" t="str">
        <f>'дод 3'!C100</f>
        <v>у т.ч. за рахунок субвенцій з держбюджету</v>
      </c>
      <c r="E159" s="65">
        <v>190380</v>
      </c>
      <c r="F159" s="65"/>
      <c r="G159" s="65"/>
      <c r="H159" s="65">
        <v>47063.54</v>
      </c>
      <c r="I159" s="65"/>
      <c r="J159" s="65"/>
      <c r="K159" s="130">
        <f t="shared" si="41"/>
        <v>24.720842525475366</v>
      </c>
      <c r="L159" s="65">
        <f t="shared" si="40"/>
        <v>0</v>
      </c>
      <c r="M159" s="65"/>
      <c r="N159" s="65"/>
      <c r="O159" s="65"/>
      <c r="P159" s="65"/>
      <c r="Q159" s="65"/>
      <c r="R159" s="65">
        <f t="shared" si="43"/>
        <v>0</v>
      </c>
      <c r="S159" s="65"/>
      <c r="T159" s="65"/>
      <c r="U159" s="65"/>
      <c r="V159" s="65"/>
      <c r="W159" s="65"/>
      <c r="X159" s="132"/>
      <c r="Y159" s="65">
        <f t="shared" si="42"/>
        <v>47063.54</v>
      </c>
      <c r="Z159" s="203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47"/>
      <c r="KC159" s="47"/>
      <c r="KD159" s="47"/>
      <c r="KE159" s="47"/>
      <c r="KF159" s="47"/>
      <c r="KG159" s="47"/>
      <c r="KH159" s="47"/>
      <c r="KI159" s="47"/>
      <c r="KJ159" s="47"/>
      <c r="KK159" s="47"/>
      <c r="KL159" s="47"/>
      <c r="KM159" s="47"/>
      <c r="KN159" s="47"/>
      <c r="KO159" s="47"/>
      <c r="KP159" s="47"/>
      <c r="KQ159" s="47"/>
      <c r="KR159" s="47"/>
      <c r="KS159" s="47"/>
      <c r="KT159" s="47"/>
      <c r="KU159" s="47"/>
      <c r="KV159" s="47"/>
      <c r="KW159" s="47"/>
      <c r="KX159" s="47"/>
      <c r="KY159" s="47"/>
      <c r="KZ159" s="47"/>
      <c r="LA159" s="47"/>
      <c r="LB159" s="47"/>
      <c r="LC159" s="47"/>
      <c r="LD159" s="47"/>
      <c r="LE159" s="47"/>
      <c r="LF159" s="47"/>
      <c r="LG159" s="47"/>
      <c r="LH159" s="47"/>
      <c r="LI159" s="47"/>
      <c r="LJ159" s="47"/>
      <c r="LK159" s="47"/>
      <c r="LL159" s="47"/>
      <c r="LM159" s="47"/>
      <c r="LN159" s="47"/>
      <c r="LO159" s="47"/>
      <c r="LP159" s="47"/>
      <c r="LQ159" s="47"/>
      <c r="LR159" s="47"/>
      <c r="LS159" s="47"/>
      <c r="LT159" s="47"/>
      <c r="LU159" s="47"/>
      <c r="LV159" s="47"/>
      <c r="LW159" s="47"/>
      <c r="LX159" s="47"/>
      <c r="LY159" s="47"/>
      <c r="LZ159" s="47"/>
      <c r="MA159" s="47"/>
      <c r="MB159" s="47"/>
      <c r="MC159" s="47"/>
      <c r="MD159" s="47"/>
      <c r="ME159" s="47"/>
      <c r="MF159" s="47"/>
      <c r="MG159" s="47"/>
      <c r="MH159" s="47"/>
      <c r="MI159" s="47"/>
      <c r="MJ159" s="4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  <c r="NE159" s="47"/>
      <c r="NF159" s="47"/>
      <c r="NG159" s="47"/>
      <c r="NH159" s="47"/>
      <c r="NI159" s="47"/>
      <c r="NJ159" s="47"/>
      <c r="NK159" s="47"/>
      <c r="NL159" s="47"/>
      <c r="NM159" s="47"/>
      <c r="NN159" s="47"/>
      <c r="NO159" s="47"/>
      <c r="NP159" s="47"/>
      <c r="NQ159" s="47"/>
      <c r="NR159" s="47"/>
      <c r="NS159" s="47"/>
      <c r="NT159" s="47"/>
      <c r="NU159" s="47"/>
      <c r="NV159" s="47"/>
      <c r="NW159" s="47"/>
      <c r="NX159" s="47"/>
      <c r="NY159" s="47"/>
      <c r="NZ159" s="47"/>
      <c r="OA159" s="47"/>
      <c r="OB159" s="47"/>
      <c r="OC159" s="47"/>
      <c r="OD159" s="47"/>
      <c r="OE159" s="47"/>
      <c r="OF159" s="47"/>
      <c r="OG159" s="47"/>
      <c r="OH159" s="47"/>
      <c r="OI159" s="47"/>
      <c r="OJ159" s="47"/>
      <c r="OK159" s="47"/>
      <c r="OL159" s="47"/>
      <c r="OM159" s="47"/>
      <c r="ON159" s="47"/>
      <c r="OO159" s="47"/>
      <c r="OP159" s="47"/>
      <c r="OQ159" s="47"/>
      <c r="OR159" s="47"/>
      <c r="OS159" s="47"/>
      <c r="OT159" s="47"/>
      <c r="OU159" s="47"/>
      <c r="OV159" s="47"/>
      <c r="OW159" s="47"/>
      <c r="OX159" s="47"/>
      <c r="OY159" s="47"/>
      <c r="OZ159" s="47"/>
      <c r="PA159" s="47"/>
      <c r="PB159" s="47"/>
      <c r="PC159" s="47"/>
      <c r="PD159" s="47"/>
      <c r="PE159" s="47"/>
      <c r="PF159" s="47"/>
      <c r="PG159" s="47"/>
      <c r="PH159" s="47"/>
      <c r="PI159" s="47"/>
      <c r="PJ159" s="47"/>
      <c r="PK159" s="47"/>
      <c r="PL159" s="47"/>
      <c r="PM159" s="47"/>
      <c r="PN159" s="47"/>
      <c r="PO159" s="47"/>
      <c r="PP159" s="47"/>
      <c r="PQ159" s="47"/>
      <c r="PR159" s="47"/>
      <c r="PS159" s="47"/>
      <c r="PT159" s="47"/>
      <c r="PU159" s="47"/>
      <c r="PV159" s="47"/>
      <c r="PW159" s="47"/>
      <c r="PX159" s="47"/>
      <c r="PY159" s="47"/>
      <c r="PZ159" s="47"/>
      <c r="QA159" s="47"/>
      <c r="QB159" s="47"/>
      <c r="QC159" s="47"/>
      <c r="QD159" s="47"/>
      <c r="QE159" s="47"/>
      <c r="QF159" s="47"/>
      <c r="QG159" s="47"/>
      <c r="QH159" s="47"/>
      <c r="QI159" s="47"/>
      <c r="QJ159" s="47"/>
      <c r="QK159" s="47"/>
      <c r="QL159" s="47"/>
      <c r="QM159" s="47"/>
      <c r="QN159" s="47"/>
      <c r="QO159" s="47"/>
      <c r="QP159" s="47"/>
      <c r="QQ159" s="47"/>
      <c r="QR159" s="47"/>
      <c r="QS159" s="47"/>
      <c r="QT159" s="47"/>
      <c r="QU159" s="47"/>
      <c r="QV159" s="47"/>
      <c r="QW159" s="47"/>
      <c r="QX159" s="47"/>
      <c r="QY159" s="47"/>
      <c r="QZ159" s="47"/>
      <c r="RA159" s="47"/>
      <c r="RB159" s="47"/>
      <c r="RC159" s="47"/>
      <c r="RD159" s="47"/>
      <c r="RE159" s="47"/>
      <c r="RF159" s="47"/>
      <c r="RG159" s="47"/>
      <c r="RH159" s="47"/>
      <c r="RI159" s="47"/>
      <c r="RJ159" s="47"/>
      <c r="RK159" s="47"/>
      <c r="RL159" s="47"/>
      <c r="RM159" s="47"/>
      <c r="RN159" s="47"/>
      <c r="RO159" s="47"/>
      <c r="RP159" s="47"/>
      <c r="RQ159" s="47"/>
      <c r="RR159" s="47"/>
      <c r="RS159" s="47"/>
      <c r="RT159" s="47"/>
      <c r="RU159" s="47"/>
      <c r="RV159" s="47"/>
      <c r="RW159" s="47"/>
      <c r="RX159" s="47"/>
      <c r="RY159" s="47"/>
      <c r="RZ159" s="47"/>
      <c r="SA159" s="47"/>
      <c r="SB159" s="47"/>
      <c r="SC159" s="47"/>
      <c r="SD159" s="47"/>
      <c r="SE159" s="47"/>
      <c r="SF159" s="47"/>
      <c r="SG159" s="47"/>
      <c r="SH159" s="47"/>
      <c r="SI159" s="47"/>
      <c r="SJ159" s="47"/>
      <c r="SK159" s="47"/>
      <c r="SL159" s="47"/>
      <c r="SM159" s="47"/>
      <c r="SN159" s="47"/>
      <c r="SO159" s="47"/>
      <c r="SP159" s="47"/>
      <c r="SQ159" s="47"/>
      <c r="SR159" s="47"/>
      <c r="SS159" s="47"/>
      <c r="ST159" s="47"/>
      <c r="SU159" s="47"/>
      <c r="SV159" s="47"/>
      <c r="SW159" s="47"/>
      <c r="SX159" s="47"/>
      <c r="SY159" s="47"/>
      <c r="SZ159" s="47"/>
      <c r="TA159" s="47"/>
      <c r="TB159" s="47"/>
      <c r="TC159" s="47"/>
      <c r="TD159" s="47"/>
      <c r="TE159" s="47"/>
      <c r="TF159" s="47"/>
      <c r="TG159" s="47"/>
      <c r="TH159" s="47"/>
      <c r="TI159" s="47"/>
      <c r="TJ159" s="47"/>
      <c r="TK159" s="47"/>
      <c r="TL159" s="47"/>
      <c r="TM159" s="47"/>
      <c r="TN159" s="47"/>
      <c r="TO159" s="47"/>
      <c r="TP159" s="47"/>
      <c r="TQ159" s="47"/>
      <c r="TR159" s="47"/>
      <c r="TS159" s="47"/>
      <c r="TT159" s="47"/>
      <c r="TU159" s="47"/>
      <c r="TV159" s="47"/>
      <c r="TW159" s="47"/>
      <c r="TX159" s="47"/>
      <c r="TY159" s="47"/>
      <c r="TZ159" s="47"/>
      <c r="UA159" s="47"/>
      <c r="UB159" s="47"/>
      <c r="UC159" s="47"/>
      <c r="UD159" s="47"/>
      <c r="UE159" s="47"/>
      <c r="UF159" s="47"/>
      <c r="UG159" s="47"/>
      <c r="UH159" s="47"/>
      <c r="UI159" s="47"/>
      <c r="UJ159" s="47"/>
      <c r="UK159" s="47"/>
      <c r="UL159" s="47"/>
      <c r="UM159" s="47"/>
      <c r="UN159" s="47"/>
      <c r="UO159" s="47"/>
      <c r="UP159" s="47"/>
      <c r="UQ159" s="47"/>
      <c r="UR159" s="47"/>
      <c r="US159" s="47"/>
      <c r="UT159" s="47"/>
      <c r="UU159" s="47"/>
      <c r="UV159" s="47"/>
      <c r="UW159" s="47"/>
      <c r="UX159" s="47"/>
      <c r="UY159" s="47"/>
      <c r="UZ159" s="47"/>
      <c r="VA159" s="47"/>
      <c r="VB159" s="47"/>
      <c r="VC159" s="47"/>
      <c r="VD159" s="47"/>
      <c r="VE159" s="47"/>
      <c r="VF159" s="47"/>
    </row>
    <row r="160" spans="1:578" s="41" customFormat="1" ht="150" x14ac:dyDescent="0.2">
      <c r="A160" s="64" t="s">
        <v>579</v>
      </c>
      <c r="B160" s="90">
        <v>3086</v>
      </c>
      <c r="C160" s="90">
        <v>1040</v>
      </c>
      <c r="D160" s="42" t="s">
        <v>585</v>
      </c>
      <c r="E160" s="65">
        <v>253550</v>
      </c>
      <c r="F160" s="65"/>
      <c r="G160" s="65"/>
      <c r="H160" s="65">
        <v>3902.89</v>
      </c>
      <c r="I160" s="65"/>
      <c r="J160" s="65"/>
      <c r="K160" s="130">
        <f t="shared" si="41"/>
        <v>1.5392979688424373</v>
      </c>
      <c r="L160" s="65">
        <f t="shared" si="40"/>
        <v>0</v>
      </c>
      <c r="M160" s="65"/>
      <c r="N160" s="65"/>
      <c r="O160" s="65"/>
      <c r="P160" s="65"/>
      <c r="Q160" s="65"/>
      <c r="R160" s="65">
        <f t="shared" si="43"/>
        <v>0</v>
      </c>
      <c r="S160" s="65"/>
      <c r="T160" s="65"/>
      <c r="U160" s="65"/>
      <c r="V160" s="65"/>
      <c r="W160" s="65"/>
      <c r="X160" s="132"/>
      <c r="Y160" s="65">
        <f t="shared" si="42"/>
        <v>3902.89</v>
      </c>
      <c r="Z160" s="203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47"/>
      <c r="KC160" s="47"/>
      <c r="KD160" s="47"/>
      <c r="KE160" s="47"/>
      <c r="KF160" s="47"/>
      <c r="KG160" s="47"/>
      <c r="KH160" s="47"/>
      <c r="KI160" s="47"/>
      <c r="KJ160" s="47"/>
      <c r="KK160" s="47"/>
      <c r="KL160" s="47"/>
      <c r="KM160" s="47"/>
      <c r="KN160" s="47"/>
      <c r="KO160" s="47"/>
      <c r="KP160" s="47"/>
      <c r="KQ160" s="47"/>
      <c r="KR160" s="47"/>
      <c r="KS160" s="47"/>
      <c r="KT160" s="47"/>
      <c r="KU160" s="47"/>
      <c r="KV160" s="47"/>
      <c r="KW160" s="47"/>
      <c r="KX160" s="47"/>
      <c r="KY160" s="47"/>
      <c r="KZ160" s="47"/>
      <c r="LA160" s="47"/>
      <c r="LB160" s="47"/>
      <c r="LC160" s="47"/>
      <c r="LD160" s="47"/>
      <c r="LE160" s="47"/>
      <c r="LF160" s="47"/>
      <c r="LG160" s="47"/>
      <c r="LH160" s="47"/>
      <c r="LI160" s="47"/>
      <c r="LJ160" s="47"/>
      <c r="LK160" s="47"/>
      <c r="LL160" s="47"/>
      <c r="LM160" s="47"/>
      <c r="LN160" s="47"/>
      <c r="LO160" s="47"/>
      <c r="LP160" s="47"/>
      <c r="LQ160" s="47"/>
      <c r="LR160" s="47"/>
      <c r="LS160" s="47"/>
      <c r="LT160" s="47"/>
      <c r="LU160" s="47"/>
      <c r="LV160" s="47"/>
      <c r="LW160" s="47"/>
      <c r="LX160" s="47"/>
      <c r="LY160" s="47"/>
      <c r="LZ160" s="47"/>
      <c r="MA160" s="47"/>
      <c r="MB160" s="47"/>
      <c r="MC160" s="47"/>
      <c r="MD160" s="47"/>
      <c r="ME160" s="47"/>
      <c r="MF160" s="47"/>
      <c r="MG160" s="47"/>
      <c r="MH160" s="47"/>
      <c r="MI160" s="47"/>
      <c r="MJ160" s="4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  <c r="NE160" s="47"/>
      <c r="NF160" s="47"/>
      <c r="NG160" s="47"/>
      <c r="NH160" s="47"/>
      <c r="NI160" s="47"/>
      <c r="NJ160" s="47"/>
      <c r="NK160" s="47"/>
      <c r="NL160" s="47"/>
      <c r="NM160" s="47"/>
      <c r="NN160" s="47"/>
      <c r="NO160" s="47"/>
      <c r="NP160" s="47"/>
      <c r="NQ160" s="47"/>
      <c r="NR160" s="47"/>
      <c r="NS160" s="47"/>
      <c r="NT160" s="47"/>
      <c r="NU160" s="47"/>
      <c r="NV160" s="47"/>
      <c r="NW160" s="47"/>
      <c r="NX160" s="47"/>
      <c r="NY160" s="47"/>
      <c r="NZ160" s="47"/>
      <c r="OA160" s="47"/>
      <c r="OB160" s="47"/>
      <c r="OC160" s="47"/>
      <c r="OD160" s="47"/>
      <c r="OE160" s="47"/>
      <c r="OF160" s="47"/>
      <c r="OG160" s="47"/>
      <c r="OH160" s="47"/>
      <c r="OI160" s="47"/>
      <c r="OJ160" s="47"/>
      <c r="OK160" s="47"/>
      <c r="OL160" s="47"/>
      <c r="OM160" s="47"/>
      <c r="ON160" s="47"/>
      <c r="OO160" s="47"/>
      <c r="OP160" s="47"/>
      <c r="OQ160" s="47"/>
      <c r="OR160" s="47"/>
      <c r="OS160" s="47"/>
      <c r="OT160" s="47"/>
      <c r="OU160" s="47"/>
      <c r="OV160" s="47"/>
      <c r="OW160" s="47"/>
      <c r="OX160" s="47"/>
      <c r="OY160" s="47"/>
      <c r="OZ160" s="47"/>
      <c r="PA160" s="47"/>
      <c r="PB160" s="47"/>
      <c r="PC160" s="47"/>
      <c r="PD160" s="47"/>
      <c r="PE160" s="47"/>
      <c r="PF160" s="47"/>
      <c r="PG160" s="47"/>
      <c r="PH160" s="47"/>
      <c r="PI160" s="47"/>
      <c r="PJ160" s="47"/>
      <c r="PK160" s="47"/>
      <c r="PL160" s="47"/>
      <c r="PM160" s="47"/>
      <c r="PN160" s="47"/>
      <c r="PO160" s="47"/>
      <c r="PP160" s="47"/>
      <c r="PQ160" s="47"/>
      <c r="PR160" s="47"/>
      <c r="PS160" s="47"/>
      <c r="PT160" s="47"/>
      <c r="PU160" s="47"/>
      <c r="PV160" s="47"/>
      <c r="PW160" s="47"/>
      <c r="PX160" s="47"/>
      <c r="PY160" s="47"/>
      <c r="PZ160" s="47"/>
      <c r="QA160" s="47"/>
      <c r="QB160" s="47"/>
      <c r="QC160" s="47"/>
      <c r="QD160" s="47"/>
      <c r="QE160" s="47"/>
      <c r="QF160" s="47"/>
      <c r="QG160" s="47"/>
      <c r="QH160" s="47"/>
      <c r="QI160" s="47"/>
      <c r="QJ160" s="47"/>
      <c r="QK160" s="47"/>
      <c r="QL160" s="47"/>
      <c r="QM160" s="47"/>
      <c r="QN160" s="47"/>
      <c r="QO160" s="47"/>
      <c r="QP160" s="47"/>
      <c r="QQ160" s="47"/>
      <c r="QR160" s="47"/>
      <c r="QS160" s="47"/>
      <c r="QT160" s="47"/>
      <c r="QU160" s="47"/>
      <c r="QV160" s="47"/>
      <c r="QW160" s="47"/>
      <c r="QX160" s="47"/>
      <c r="QY160" s="47"/>
      <c r="QZ160" s="47"/>
      <c r="RA160" s="47"/>
      <c r="RB160" s="47"/>
      <c r="RC160" s="47"/>
      <c r="RD160" s="47"/>
      <c r="RE160" s="47"/>
      <c r="RF160" s="47"/>
      <c r="RG160" s="47"/>
      <c r="RH160" s="47"/>
      <c r="RI160" s="47"/>
      <c r="RJ160" s="47"/>
      <c r="RK160" s="47"/>
      <c r="RL160" s="47"/>
      <c r="RM160" s="47"/>
      <c r="RN160" s="47"/>
      <c r="RO160" s="47"/>
      <c r="RP160" s="47"/>
      <c r="RQ160" s="47"/>
      <c r="RR160" s="47"/>
      <c r="RS160" s="47"/>
      <c r="RT160" s="47"/>
      <c r="RU160" s="47"/>
      <c r="RV160" s="47"/>
      <c r="RW160" s="47"/>
      <c r="RX160" s="47"/>
      <c r="RY160" s="47"/>
      <c r="RZ160" s="47"/>
      <c r="SA160" s="47"/>
      <c r="SB160" s="47"/>
      <c r="SC160" s="47"/>
      <c r="SD160" s="47"/>
      <c r="SE160" s="47"/>
      <c r="SF160" s="47"/>
      <c r="SG160" s="47"/>
      <c r="SH160" s="47"/>
      <c r="SI160" s="47"/>
      <c r="SJ160" s="47"/>
      <c r="SK160" s="47"/>
      <c r="SL160" s="47"/>
      <c r="SM160" s="47"/>
      <c r="SN160" s="47"/>
      <c r="SO160" s="47"/>
      <c r="SP160" s="47"/>
      <c r="SQ160" s="47"/>
      <c r="SR160" s="47"/>
      <c r="SS160" s="47"/>
      <c r="ST160" s="47"/>
      <c r="SU160" s="47"/>
      <c r="SV160" s="47"/>
      <c r="SW160" s="47"/>
      <c r="SX160" s="47"/>
      <c r="SY160" s="47"/>
      <c r="SZ160" s="47"/>
      <c r="TA160" s="47"/>
      <c r="TB160" s="47"/>
      <c r="TC160" s="47"/>
      <c r="TD160" s="47"/>
      <c r="TE160" s="47"/>
      <c r="TF160" s="47"/>
      <c r="TG160" s="47"/>
      <c r="TH160" s="47"/>
      <c r="TI160" s="47"/>
      <c r="TJ160" s="47"/>
      <c r="TK160" s="47"/>
      <c r="TL160" s="47"/>
      <c r="TM160" s="47"/>
      <c r="TN160" s="47"/>
      <c r="TO160" s="47"/>
      <c r="TP160" s="47"/>
      <c r="TQ160" s="47"/>
      <c r="TR160" s="47"/>
      <c r="TS160" s="47"/>
      <c r="TT160" s="47"/>
      <c r="TU160" s="47"/>
      <c r="TV160" s="47"/>
      <c r="TW160" s="47"/>
      <c r="TX160" s="47"/>
      <c r="TY160" s="47"/>
      <c r="TZ160" s="47"/>
      <c r="UA160" s="47"/>
      <c r="UB160" s="47"/>
      <c r="UC160" s="47"/>
      <c r="UD160" s="47"/>
      <c r="UE160" s="47"/>
      <c r="UF160" s="47"/>
      <c r="UG160" s="47"/>
      <c r="UH160" s="47"/>
      <c r="UI160" s="47"/>
      <c r="UJ160" s="47"/>
      <c r="UK160" s="47"/>
      <c r="UL160" s="47"/>
      <c r="UM160" s="47"/>
      <c r="UN160" s="47"/>
      <c r="UO160" s="47"/>
      <c r="UP160" s="47"/>
      <c r="UQ160" s="47"/>
      <c r="UR160" s="47"/>
      <c r="US160" s="47"/>
      <c r="UT160" s="47"/>
      <c r="UU160" s="47"/>
      <c r="UV160" s="47"/>
      <c r="UW160" s="47"/>
      <c r="UX160" s="47"/>
      <c r="UY160" s="47"/>
      <c r="UZ160" s="47"/>
      <c r="VA160" s="47"/>
      <c r="VB160" s="47"/>
      <c r="VC160" s="47"/>
      <c r="VD160" s="47"/>
      <c r="VE160" s="47"/>
      <c r="VF160" s="47"/>
    </row>
    <row r="161" spans="1:578" s="41" customFormat="1" ht="19.5" customHeight="1" x14ac:dyDescent="0.2">
      <c r="A161" s="39"/>
      <c r="B161" s="90"/>
      <c r="C161" s="90"/>
      <c r="D161" s="42" t="s">
        <v>344</v>
      </c>
      <c r="E161" s="65">
        <v>253550</v>
      </c>
      <c r="F161" s="65"/>
      <c r="G161" s="65"/>
      <c r="H161" s="65">
        <v>3902.89</v>
      </c>
      <c r="I161" s="65"/>
      <c r="J161" s="65"/>
      <c r="K161" s="130">
        <f t="shared" si="41"/>
        <v>1.5392979688424373</v>
      </c>
      <c r="L161" s="65">
        <f t="shared" si="40"/>
        <v>0</v>
      </c>
      <c r="M161" s="65"/>
      <c r="N161" s="65"/>
      <c r="O161" s="65"/>
      <c r="P161" s="65"/>
      <c r="Q161" s="65"/>
      <c r="R161" s="65">
        <f t="shared" si="43"/>
        <v>0</v>
      </c>
      <c r="S161" s="65"/>
      <c r="T161" s="65"/>
      <c r="U161" s="65"/>
      <c r="V161" s="65"/>
      <c r="W161" s="65"/>
      <c r="X161" s="132"/>
      <c r="Y161" s="65">
        <f t="shared" si="42"/>
        <v>3902.89</v>
      </c>
      <c r="Z161" s="203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47"/>
      <c r="KC161" s="47"/>
      <c r="KD161" s="47"/>
      <c r="KE161" s="47"/>
      <c r="KF161" s="47"/>
      <c r="KG161" s="47"/>
      <c r="KH161" s="47"/>
      <c r="KI161" s="47"/>
      <c r="KJ161" s="47"/>
      <c r="KK161" s="47"/>
      <c r="KL161" s="47"/>
      <c r="KM161" s="47"/>
      <c r="KN161" s="47"/>
      <c r="KO161" s="47"/>
      <c r="KP161" s="47"/>
      <c r="KQ161" s="47"/>
      <c r="KR161" s="47"/>
      <c r="KS161" s="47"/>
      <c r="KT161" s="47"/>
      <c r="KU161" s="47"/>
      <c r="KV161" s="47"/>
      <c r="KW161" s="47"/>
      <c r="KX161" s="47"/>
      <c r="KY161" s="47"/>
      <c r="KZ161" s="47"/>
      <c r="LA161" s="47"/>
      <c r="LB161" s="47"/>
      <c r="LC161" s="47"/>
      <c r="LD161" s="47"/>
      <c r="LE161" s="47"/>
      <c r="LF161" s="47"/>
      <c r="LG161" s="47"/>
      <c r="LH161" s="47"/>
      <c r="LI161" s="47"/>
      <c r="LJ161" s="47"/>
      <c r="LK161" s="47"/>
      <c r="LL161" s="47"/>
      <c r="LM161" s="47"/>
      <c r="LN161" s="47"/>
      <c r="LO161" s="47"/>
      <c r="LP161" s="47"/>
      <c r="LQ161" s="47"/>
      <c r="LR161" s="47"/>
      <c r="LS161" s="47"/>
      <c r="LT161" s="47"/>
      <c r="LU161" s="47"/>
      <c r="LV161" s="47"/>
      <c r="LW161" s="47"/>
      <c r="LX161" s="47"/>
      <c r="LY161" s="47"/>
      <c r="LZ161" s="47"/>
      <c r="MA161" s="47"/>
      <c r="MB161" s="47"/>
      <c r="MC161" s="47"/>
      <c r="MD161" s="47"/>
      <c r="ME161" s="47"/>
      <c r="MF161" s="47"/>
      <c r="MG161" s="47"/>
      <c r="MH161" s="47"/>
      <c r="MI161" s="47"/>
      <c r="MJ161" s="4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  <c r="NE161" s="47"/>
      <c r="NF161" s="47"/>
      <c r="NG161" s="47"/>
      <c r="NH161" s="47"/>
      <c r="NI161" s="47"/>
      <c r="NJ161" s="47"/>
      <c r="NK161" s="47"/>
      <c r="NL161" s="47"/>
      <c r="NM161" s="47"/>
      <c r="NN161" s="47"/>
      <c r="NO161" s="47"/>
      <c r="NP161" s="47"/>
      <c r="NQ161" s="47"/>
      <c r="NR161" s="47"/>
      <c r="NS161" s="47"/>
      <c r="NT161" s="47"/>
      <c r="NU161" s="47"/>
      <c r="NV161" s="47"/>
      <c r="NW161" s="47"/>
      <c r="NX161" s="47"/>
      <c r="NY161" s="47"/>
      <c r="NZ161" s="47"/>
      <c r="OA161" s="47"/>
      <c r="OB161" s="47"/>
      <c r="OC161" s="47"/>
      <c r="OD161" s="47"/>
      <c r="OE161" s="47"/>
      <c r="OF161" s="47"/>
      <c r="OG161" s="47"/>
      <c r="OH161" s="47"/>
      <c r="OI161" s="47"/>
      <c r="OJ161" s="47"/>
      <c r="OK161" s="47"/>
      <c r="OL161" s="47"/>
      <c r="OM161" s="47"/>
      <c r="ON161" s="47"/>
      <c r="OO161" s="47"/>
      <c r="OP161" s="47"/>
      <c r="OQ161" s="47"/>
      <c r="OR161" s="47"/>
      <c r="OS161" s="47"/>
      <c r="OT161" s="47"/>
      <c r="OU161" s="47"/>
      <c r="OV161" s="47"/>
      <c r="OW161" s="47"/>
      <c r="OX161" s="47"/>
      <c r="OY161" s="47"/>
      <c r="OZ161" s="47"/>
      <c r="PA161" s="47"/>
      <c r="PB161" s="47"/>
      <c r="PC161" s="47"/>
      <c r="PD161" s="47"/>
      <c r="PE161" s="47"/>
      <c r="PF161" s="47"/>
      <c r="PG161" s="47"/>
      <c r="PH161" s="47"/>
      <c r="PI161" s="47"/>
      <c r="PJ161" s="47"/>
      <c r="PK161" s="47"/>
      <c r="PL161" s="47"/>
      <c r="PM161" s="47"/>
      <c r="PN161" s="47"/>
      <c r="PO161" s="47"/>
      <c r="PP161" s="47"/>
      <c r="PQ161" s="47"/>
      <c r="PR161" s="47"/>
      <c r="PS161" s="47"/>
      <c r="PT161" s="47"/>
      <c r="PU161" s="47"/>
      <c r="PV161" s="47"/>
      <c r="PW161" s="47"/>
      <c r="PX161" s="47"/>
      <c r="PY161" s="47"/>
      <c r="PZ161" s="47"/>
      <c r="QA161" s="47"/>
      <c r="QB161" s="47"/>
      <c r="QC161" s="47"/>
      <c r="QD161" s="47"/>
      <c r="QE161" s="47"/>
      <c r="QF161" s="47"/>
      <c r="QG161" s="47"/>
      <c r="QH161" s="47"/>
      <c r="QI161" s="47"/>
      <c r="QJ161" s="47"/>
      <c r="QK161" s="47"/>
      <c r="QL161" s="47"/>
      <c r="QM161" s="47"/>
      <c r="QN161" s="47"/>
      <c r="QO161" s="47"/>
      <c r="QP161" s="47"/>
      <c r="QQ161" s="47"/>
      <c r="QR161" s="47"/>
      <c r="QS161" s="47"/>
      <c r="QT161" s="47"/>
      <c r="QU161" s="47"/>
      <c r="QV161" s="47"/>
      <c r="QW161" s="47"/>
      <c r="QX161" s="47"/>
      <c r="QY161" s="47"/>
      <c r="QZ161" s="47"/>
      <c r="RA161" s="47"/>
      <c r="RB161" s="47"/>
      <c r="RC161" s="47"/>
      <c r="RD161" s="47"/>
      <c r="RE161" s="47"/>
      <c r="RF161" s="47"/>
      <c r="RG161" s="47"/>
      <c r="RH161" s="47"/>
      <c r="RI161" s="47"/>
      <c r="RJ161" s="47"/>
      <c r="RK161" s="47"/>
      <c r="RL161" s="47"/>
      <c r="RM161" s="47"/>
      <c r="RN161" s="47"/>
      <c r="RO161" s="47"/>
      <c r="RP161" s="47"/>
      <c r="RQ161" s="47"/>
      <c r="RR161" s="47"/>
      <c r="RS161" s="47"/>
      <c r="RT161" s="47"/>
      <c r="RU161" s="47"/>
      <c r="RV161" s="47"/>
      <c r="RW161" s="47"/>
      <c r="RX161" s="47"/>
      <c r="RY161" s="47"/>
      <c r="RZ161" s="47"/>
      <c r="SA161" s="47"/>
      <c r="SB161" s="47"/>
      <c r="SC161" s="47"/>
      <c r="SD161" s="47"/>
      <c r="SE161" s="47"/>
      <c r="SF161" s="47"/>
      <c r="SG161" s="47"/>
      <c r="SH161" s="47"/>
      <c r="SI161" s="47"/>
      <c r="SJ161" s="47"/>
      <c r="SK161" s="47"/>
      <c r="SL161" s="47"/>
      <c r="SM161" s="47"/>
      <c r="SN161" s="47"/>
      <c r="SO161" s="47"/>
      <c r="SP161" s="47"/>
      <c r="SQ161" s="47"/>
      <c r="SR161" s="47"/>
      <c r="SS161" s="47"/>
      <c r="ST161" s="47"/>
      <c r="SU161" s="47"/>
      <c r="SV161" s="47"/>
      <c r="SW161" s="47"/>
      <c r="SX161" s="47"/>
      <c r="SY161" s="47"/>
      <c r="SZ161" s="47"/>
      <c r="TA161" s="47"/>
      <c r="TB161" s="47"/>
      <c r="TC161" s="47"/>
      <c r="TD161" s="47"/>
      <c r="TE161" s="47"/>
      <c r="TF161" s="47"/>
      <c r="TG161" s="47"/>
      <c r="TH161" s="47"/>
      <c r="TI161" s="47"/>
      <c r="TJ161" s="47"/>
      <c r="TK161" s="47"/>
      <c r="TL161" s="47"/>
      <c r="TM161" s="47"/>
      <c r="TN161" s="47"/>
      <c r="TO161" s="47"/>
      <c r="TP161" s="47"/>
      <c r="TQ161" s="47"/>
      <c r="TR161" s="47"/>
      <c r="TS161" s="47"/>
      <c r="TT161" s="47"/>
      <c r="TU161" s="47"/>
      <c r="TV161" s="47"/>
      <c r="TW161" s="47"/>
      <c r="TX161" s="47"/>
      <c r="TY161" s="47"/>
      <c r="TZ161" s="47"/>
      <c r="UA161" s="47"/>
      <c r="UB161" s="47"/>
      <c r="UC161" s="47"/>
      <c r="UD161" s="47"/>
      <c r="UE161" s="47"/>
      <c r="UF161" s="47"/>
      <c r="UG161" s="47"/>
      <c r="UH161" s="47"/>
      <c r="UI161" s="47"/>
      <c r="UJ161" s="47"/>
      <c r="UK161" s="47"/>
      <c r="UL161" s="47"/>
      <c r="UM161" s="47"/>
      <c r="UN161" s="47"/>
      <c r="UO161" s="47"/>
      <c r="UP161" s="47"/>
      <c r="UQ161" s="47"/>
      <c r="UR161" s="47"/>
      <c r="US161" s="47"/>
      <c r="UT161" s="47"/>
      <c r="UU161" s="47"/>
      <c r="UV161" s="47"/>
      <c r="UW161" s="47"/>
      <c r="UX161" s="47"/>
      <c r="UY161" s="47"/>
      <c r="UZ161" s="47"/>
      <c r="VA161" s="47"/>
      <c r="VB161" s="47"/>
      <c r="VC161" s="47"/>
      <c r="VD161" s="47"/>
      <c r="VE161" s="47"/>
      <c r="VF161" s="47"/>
    </row>
    <row r="162" spans="1:578" s="41" customFormat="1" ht="30.75" customHeight="1" x14ac:dyDescent="0.2">
      <c r="A162" s="39" t="s">
        <v>417</v>
      </c>
      <c r="B162" s="90" t="str">
        <f>'дод 3'!A103</f>
        <v>3090</v>
      </c>
      <c r="C162" s="90" t="str">
        <f>'дод 3'!B103</f>
        <v>1030</v>
      </c>
      <c r="D162" s="42" t="str">
        <f>'дод 3'!C103</f>
        <v>Видатки на поховання учасників бойових дій та осіб з інвалідністю внаслідок війни</v>
      </c>
      <c r="E162" s="65">
        <v>215500</v>
      </c>
      <c r="F162" s="65"/>
      <c r="G162" s="65"/>
      <c r="H162" s="65">
        <v>49240.77</v>
      </c>
      <c r="I162" s="65"/>
      <c r="J162" s="65"/>
      <c r="K162" s="130">
        <f t="shared" si="41"/>
        <v>22.849545243619488</v>
      </c>
      <c r="L162" s="65">
        <f t="shared" si="40"/>
        <v>0</v>
      </c>
      <c r="M162" s="65"/>
      <c r="N162" s="65"/>
      <c r="O162" s="65"/>
      <c r="P162" s="65"/>
      <c r="Q162" s="65"/>
      <c r="R162" s="65">
        <f t="shared" si="43"/>
        <v>0</v>
      </c>
      <c r="S162" s="65"/>
      <c r="T162" s="65"/>
      <c r="U162" s="65"/>
      <c r="V162" s="65"/>
      <c r="W162" s="65"/>
      <c r="X162" s="132"/>
      <c r="Y162" s="65">
        <f t="shared" si="42"/>
        <v>49240.77</v>
      </c>
      <c r="Z162" s="203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47"/>
      <c r="KC162" s="47"/>
      <c r="KD162" s="47"/>
      <c r="KE162" s="47"/>
      <c r="KF162" s="47"/>
      <c r="KG162" s="47"/>
      <c r="KH162" s="47"/>
      <c r="KI162" s="47"/>
      <c r="KJ162" s="47"/>
      <c r="KK162" s="47"/>
      <c r="KL162" s="47"/>
      <c r="KM162" s="47"/>
      <c r="KN162" s="47"/>
      <c r="KO162" s="47"/>
      <c r="KP162" s="47"/>
      <c r="KQ162" s="47"/>
      <c r="KR162" s="47"/>
      <c r="KS162" s="47"/>
      <c r="KT162" s="47"/>
      <c r="KU162" s="47"/>
      <c r="KV162" s="47"/>
      <c r="KW162" s="47"/>
      <c r="KX162" s="47"/>
      <c r="KY162" s="47"/>
      <c r="KZ162" s="47"/>
      <c r="LA162" s="47"/>
      <c r="LB162" s="47"/>
      <c r="LC162" s="47"/>
      <c r="LD162" s="47"/>
      <c r="LE162" s="47"/>
      <c r="LF162" s="47"/>
      <c r="LG162" s="47"/>
      <c r="LH162" s="47"/>
      <c r="LI162" s="47"/>
      <c r="LJ162" s="47"/>
      <c r="LK162" s="47"/>
      <c r="LL162" s="47"/>
      <c r="LM162" s="47"/>
      <c r="LN162" s="47"/>
      <c r="LO162" s="47"/>
      <c r="LP162" s="47"/>
      <c r="LQ162" s="47"/>
      <c r="LR162" s="47"/>
      <c r="LS162" s="47"/>
      <c r="LT162" s="47"/>
      <c r="LU162" s="47"/>
      <c r="LV162" s="47"/>
      <c r="LW162" s="47"/>
      <c r="LX162" s="47"/>
      <c r="LY162" s="47"/>
      <c r="LZ162" s="47"/>
      <c r="MA162" s="47"/>
      <c r="MB162" s="47"/>
      <c r="MC162" s="47"/>
      <c r="MD162" s="47"/>
      <c r="ME162" s="47"/>
      <c r="MF162" s="47"/>
      <c r="MG162" s="47"/>
      <c r="MH162" s="47"/>
      <c r="MI162" s="47"/>
      <c r="MJ162" s="4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  <c r="NE162" s="47"/>
      <c r="NF162" s="47"/>
      <c r="NG162" s="47"/>
      <c r="NH162" s="47"/>
      <c r="NI162" s="47"/>
      <c r="NJ162" s="47"/>
      <c r="NK162" s="47"/>
      <c r="NL162" s="47"/>
      <c r="NM162" s="47"/>
      <c r="NN162" s="47"/>
      <c r="NO162" s="47"/>
      <c r="NP162" s="47"/>
      <c r="NQ162" s="47"/>
      <c r="NR162" s="47"/>
      <c r="NS162" s="47"/>
      <c r="NT162" s="47"/>
      <c r="NU162" s="47"/>
      <c r="NV162" s="47"/>
      <c r="NW162" s="47"/>
      <c r="NX162" s="47"/>
      <c r="NY162" s="47"/>
      <c r="NZ162" s="47"/>
      <c r="OA162" s="47"/>
      <c r="OB162" s="47"/>
      <c r="OC162" s="47"/>
      <c r="OD162" s="47"/>
      <c r="OE162" s="47"/>
      <c r="OF162" s="47"/>
      <c r="OG162" s="47"/>
      <c r="OH162" s="47"/>
      <c r="OI162" s="47"/>
      <c r="OJ162" s="47"/>
      <c r="OK162" s="47"/>
      <c r="OL162" s="47"/>
      <c r="OM162" s="47"/>
      <c r="ON162" s="47"/>
      <c r="OO162" s="47"/>
      <c r="OP162" s="47"/>
      <c r="OQ162" s="47"/>
      <c r="OR162" s="47"/>
      <c r="OS162" s="47"/>
      <c r="OT162" s="47"/>
      <c r="OU162" s="47"/>
      <c r="OV162" s="47"/>
      <c r="OW162" s="47"/>
      <c r="OX162" s="47"/>
      <c r="OY162" s="47"/>
      <c r="OZ162" s="47"/>
      <c r="PA162" s="47"/>
      <c r="PB162" s="47"/>
      <c r="PC162" s="47"/>
      <c r="PD162" s="47"/>
      <c r="PE162" s="47"/>
      <c r="PF162" s="47"/>
      <c r="PG162" s="47"/>
      <c r="PH162" s="47"/>
      <c r="PI162" s="47"/>
      <c r="PJ162" s="47"/>
      <c r="PK162" s="47"/>
      <c r="PL162" s="47"/>
      <c r="PM162" s="47"/>
      <c r="PN162" s="47"/>
      <c r="PO162" s="47"/>
      <c r="PP162" s="47"/>
      <c r="PQ162" s="47"/>
      <c r="PR162" s="47"/>
      <c r="PS162" s="47"/>
      <c r="PT162" s="47"/>
      <c r="PU162" s="47"/>
      <c r="PV162" s="47"/>
      <c r="PW162" s="47"/>
      <c r="PX162" s="47"/>
      <c r="PY162" s="47"/>
      <c r="PZ162" s="47"/>
      <c r="QA162" s="47"/>
      <c r="QB162" s="47"/>
      <c r="QC162" s="47"/>
      <c r="QD162" s="47"/>
      <c r="QE162" s="47"/>
      <c r="QF162" s="47"/>
      <c r="QG162" s="47"/>
      <c r="QH162" s="47"/>
      <c r="QI162" s="47"/>
      <c r="QJ162" s="47"/>
      <c r="QK162" s="47"/>
      <c r="QL162" s="47"/>
      <c r="QM162" s="47"/>
      <c r="QN162" s="47"/>
      <c r="QO162" s="47"/>
      <c r="QP162" s="47"/>
      <c r="QQ162" s="47"/>
      <c r="QR162" s="47"/>
      <c r="QS162" s="47"/>
      <c r="QT162" s="47"/>
      <c r="QU162" s="47"/>
      <c r="QV162" s="47"/>
      <c r="QW162" s="47"/>
      <c r="QX162" s="47"/>
      <c r="QY162" s="47"/>
      <c r="QZ162" s="47"/>
      <c r="RA162" s="47"/>
      <c r="RB162" s="47"/>
      <c r="RC162" s="47"/>
      <c r="RD162" s="47"/>
      <c r="RE162" s="47"/>
      <c r="RF162" s="47"/>
      <c r="RG162" s="47"/>
      <c r="RH162" s="47"/>
      <c r="RI162" s="47"/>
      <c r="RJ162" s="47"/>
      <c r="RK162" s="47"/>
      <c r="RL162" s="47"/>
      <c r="RM162" s="47"/>
      <c r="RN162" s="47"/>
      <c r="RO162" s="47"/>
      <c r="RP162" s="47"/>
      <c r="RQ162" s="47"/>
      <c r="RR162" s="47"/>
      <c r="RS162" s="47"/>
      <c r="RT162" s="47"/>
      <c r="RU162" s="47"/>
      <c r="RV162" s="47"/>
      <c r="RW162" s="47"/>
      <c r="RX162" s="47"/>
      <c r="RY162" s="47"/>
      <c r="RZ162" s="47"/>
      <c r="SA162" s="47"/>
      <c r="SB162" s="47"/>
      <c r="SC162" s="47"/>
      <c r="SD162" s="47"/>
      <c r="SE162" s="47"/>
      <c r="SF162" s="47"/>
      <c r="SG162" s="47"/>
      <c r="SH162" s="47"/>
      <c r="SI162" s="47"/>
      <c r="SJ162" s="47"/>
      <c r="SK162" s="47"/>
      <c r="SL162" s="47"/>
      <c r="SM162" s="47"/>
      <c r="SN162" s="47"/>
      <c r="SO162" s="47"/>
      <c r="SP162" s="47"/>
      <c r="SQ162" s="47"/>
      <c r="SR162" s="47"/>
      <c r="SS162" s="47"/>
      <c r="ST162" s="47"/>
      <c r="SU162" s="47"/>
      <c r="SV162" s="47"/>
      <c r="SW162" s="47"/>
      <c r="SX162" s="47"/>
      <c r="SY162" s="47"/>
      <c r="SZ162" s="47"/>
      <c r="TA162" s="47"/>
      <c r="TB162" s="47"/>
      <c r="TC162" s="47"/>
      <c r="TD162" s="47"/>
      <c r="TE162" s="47"/>
      <c r="TF162" s="47"/>
      <c r="TG162" s="47"/>
      <c r="TH162" s="47"/>
      <c r="TI162" s="47"/>
      <c r="TJ162" s="47"/>
      <c r="TK162" s="47"/>
      <c r="TL162" s="47"/>
      <c r="TM162" s="47"/>
      <c r="TN162" s="47"/>
      <c r="TO162" s="47"/>
      <c r="TP162" s="47"/>
      <c r="TQ162" s="47"/>
      <c r="TR162" s="47"/>
      <c r="TS162" s="47"/>
      <c r="TT162" s="47"/>
      <c r="TU162" s="47"/>
      <c r="TV162" s="47"/>
      <c r="TW162" s="47"/>
      <c r="TX162" s="47"/>
      <c r="TY162" s="47"/>
      <c r="TZ162" s="47"/>
      <c r="UA162" s="47"/>
      <c r="UB162" s="47"/>
      <c r="UC162" s="47"/>
      <c r="UD162" s="47"/>
      <c r="UE162" s="47"/>
      <c r="UF162" s="47"/>
      <c r="UG162" s="47"/>
      <c r="UH162" s="47"/>
      <c r="UI162" s="47"/>
      <c r="UJ162" s="47"/>
      <c r="UK162" s="47"/>
      <c r="UL162" s="47"/>
      <c r="UM162" s="47"/>
      <c r="UN162" s="47"/>
      <c r="UO162" s="47"/>
      <c r="UP162" s="47"/>
      <c r="UQ162" s="47"/>
      <c r="UR162" s="47"/>
      <c r="US162" s="47"/>
      <c r="UT162" s="47"/>
      <c r="UU162" s="47"/>
      <c r="UV162" s="47"/>
      <c r="UW162" s="47"/>
      <c r="UX162" s="47"/>
      <c r="UY162" s="47"/>
      <c r="UZ162" s="47"/>
      <c r="VA162" s="47"/>
      <c r="VB162" s="47"/>
      <c r="VC162" s="47"/>
      <c r="VD162" s="47"/>
      <c r="VE162" s="47"/>
      <c r="VF162" s="47"/>
    </row>
    <row r="163" spans="1:578" s="41" customFormat="1" ht="44.25" customHeight="1" x14ac:dyDescent="0.2">
      <c r="A163" s="39" t="s">
        <v>249</v>
      </c>
      <c r="B163" s="90" t="str">
        <f>'дод 3'!A104</f>
        <v>3104</v>
      </c>
      <c r="C163" s="90" t="str">
        <f>'дод 3'!B104</f>
        <v>1020</v>
      </c>
      <c r="D163" s="42" t="str">
        <f>'дод 3'!C104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65">
        <v>11556600</v>
      </c>
      <c r="F163" s="65">
        <v>8737044</v>
      </c>
      <c r="G163" s="65">
        <f>251038+3576</f>
        <v>254614</v>
      </c>
      <c r="H163" s="65">
        <v>2662798.94</v>
      </c>
      <c r="I163" s="65">
        <v>2021258.92</v>
      </c>
      <c r="J163" s="65">
        <v>91273.8</v>
      </c>
      <c r="K163" s="130">
        <f t="shared" si="41"/>
        <v>23.041369780039112</v>
      </c>
      <c r="L163" s="65">
        <f t="shared" si="40"/>
        <v>105530</v>
      </c>
      <c r="M163" s="65">
        <v>10000</v>
      </c>
      <c r="N163" s="65">
        <v>95530</v>
      </c>
      <c r="O163" s="65">
        <v>75100</v>
      </c>
      <c r="P163" s="65"/>
      <c r="Q163" s="65">
        <f>10000</f>
        <v>10000</v>
      </c>
      <c r="R163" s="65">
        <f t="shared" si="43"/>
        <v>23030.27</v>
      </c>
      <c r="S163" s="65"/>
      <c r="T163" s="65">
        <v>23030.27</v>
      </c>
      <c r="U163" s="65">
        <v>14501.36</v>
      </c>
      <c r="V163" s="65"/>
      <c r="W163" s="65"/>
      <c r="X163" s="132">
        <f t="shared" ref="X163:X207" si="44">SUM(R163/L163)*100</f>
        <v>21.823434094570267</v>
      </c>
      <c r="Y163" s="65">
        <f t="shared" si="42"/>
        <v>2685829.21</v>
      </c>
      <c r="Z163" s="203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47"/>
      <c r="KC163" s="47"/>
      <c r="KD163" s="47"/>
      <c r="KE163" s="47"/>
      <c r="KF163" s="47"/>
      <c r="KG163" s="47"/>
      <c r="KH163" s="47"/>
      <c r="KI163" s="47"/>
      <c r="KJ163" s="47"/>
      <c r="KK163" s="47"/>
      <c r="KL163" s="47"/>
      <c r="KM163" s="47"/>
      <c r="KN163" s="47"/>
      <c r="KO163" s="47"/>
      <c r="KP163" s="47"/>
      <c r="KQ163" s="47"/>
      <c r="KR163" s="47"/>
      <c r="KS163" s="47"/>
      <c r="KT163" s="47"/>
      <c r="KU163" s="47"/>
      <c r="KV163" s="47"/>
      <c r="KW163" s="47"/>
      <c r="KX163" s="47"/>
      <c r="KY163" s="47"/>
      <c r="KZ163" s="47"/>
      <c r="LA163" s="47"/>
      <c r="LB163" s="47"/>
      <c r="LC163" s="47"/>
      <c r="LD163" s="47"/>
      <c r="LE163" s="47"/>
      <c r="LF163" s="47"/>
      <c r="LG163" s="47"/>
      <c r="LH163" s="47"/>
      <c r="LI163" s="47"/>
      <c r="LJ163" s="47"/>
      <c r="LK163" s="47"/>
      <c r="LL163" s="47"/>
      <c r="LM163" s="47"/>
      <c r="LN163" s="47"/>
      <c r="LO163" s="47"/>
      <c r="LP163" s="47"/>
      <c r="LQ163" s="47"/>
      <c r="LR163" s="47"/>
      <c r="LS163" s="47"/>
      <c r="LT163" s="47"/>
      <c r="LU163" s="47"/>
      <c r="LV163" s="47"/>
      <c r="LW163" s="47"/>
      <c r="LX163" s="47"/>
      <c r="LY163" s="47"/>
      <c r="LZ163" s="47"/>
      <c r="MA163" s="47"/>
      <c r="MB163" s="47"/>
      <c r="MC163" s="47"/>
      <c r="MD163" s="47"/>
      <c r="ME163" s="47"/>
      <c r="MF163" s="47"/>
      <c r="MG163" s="47"/>
      <c r="MH163" s="47"/>
      <c r="MI163" s="47"/>
      <c r="MJ163" s="4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  <c r="NE163" s="47"/>
      <c r="NF163" s="47"/>
      <c r="NG163" s="47"/>
      <c r="NH163" s="47"/>
      <c r="NI163" s="47"/>
      <c r="NJ163" s="47"/>
      <c r="NK163" s="47"/>
      <c r="NL163" s="47"/>
      <c r="NM163" s="47"/>
      <c r="NN163" s="47"/>
      <c r="NO163" s="47"/>
      <c r="NP163" s="47"/>
      <c r="NQ163" s="47"/>
      <c r="NR163" s="47"/>
      <c r="NS163" s="47"/>
      <c r="NT163" s="47"/>
      <c r="NU163" s="47"/>
      <c r="NV163" s="47"/>
      <c r="NW163" s="47"/>
      <c r="NX163" s="47"/>
      <c r="NY163" s="47"/>
      <c r="NZ163" s="47"/>
      <c r="OA163" s="47"/>
      <c r="OB163" s="47"/>
      <c r="OC163" s="47"/>
      <c r="OD163" s="47"/>
      <c r="OE163" s="47"/>
      <c r="OF163" s="47"/>
      <c r="OG163" s="47"/>
      <c r="OH163" s="47"/>
      <c r="OI163" s="47"/>
      <c r="OJ163" s="47"/>
      <c r="OK163" s="47"/>
      <c r="OL163" s="47"/>
      <c r="OM163" s="47"/>
      <c r="ON163" s="47"/>
      <c r="OO163" s="47"/>
      <c r="OP163" s="47"/>
      <c r="OQ163" s="47"/>
      <c r="OR163" s="47"/>
      <c r="OS163" s="47"/>
      <c r="OT163" s="47"/>
      <c r="OU163" s="47"/>
      <c r="OV163" s="47"/>
      <c r="OW163" s="47"/>
      <c r="OX163" s="47"/>
      <c r="OY163" s="47"/>
      <c r="OZ163" s="47"/>
      <c r="PA163" s="47"/>
      <c r="PB163" s="47"/>
      <c r="PC163" s="47"/>
      <c r="PD163" s="47"/>
      <c r="PE163" s="47"/>
      <c r="PF163" s="47"/>
      <c r="PG163" s="47"/>
      <c r="PH163" s="47"/>
      <c r="PI163" s="47"/>
      <c r="PJ163" s="47"/>
      <c r="PK163" s="47"/>
      <c r="PL163" s="47"/>
      <c r="PM163" s="47"/>
      <c r="PN163" s="47"/>
      <c r="PO163" s="47"/>
      <c r="PP163" s="47"/>
      <c r="PQ163" s="47"/>
      <c r="PR163" s="47"/>
      <c r="PS163" s="47"/>
      <c r="PT163" s="47"/>
      <c r="PU163" s="47"/>
      <c r="PV163" s="47"/>
      <c r="PW163" s="47"/>
      <c r="PX163" s="47"/>
      <c r="PY163" s="47"/>
      <c r="PZ163" s="47"/>
      <c r="QA163" s="47"/>
      <c r="QB163" s="47"/>
      <c r="QC163" s="47"/>
      <c r="QD163" s="47"/>
      <c r="QE163" s="47"/>
      <c r="QF163" s="47"/>
      <c r="QG163" s="47"/>
      <c r="QH163" s="47"/>
      <c r="QI163" s="47"/>
      <c r="QJ163" s="47"/>
      <c r="QK163" s="47"/>
      <c r="QL163" s="47"/>
      <c r="QM163" s="47"/>
      <c r="QN163" s="47"/>
      <c r="QO163" s="47"/>
      <c r="QP163" s="47"/>
      <c r="QQ163" s="47"/>
      <c r="QR163" s="47"/>
      <c r="QS163" s="47"/>
      <c r="QT163" s="47"/>
      <c r="QU163" s="47"/>
      <c r="QV163" s="47"/>
      <c r="QW163" s="47"/>
      <c r="QX163" s="47"/>
      <c r="QY163" s="47"/>
      <c r="QZ163" s="47"/>
      <c r="RA163" s="47"/>
      <c r="RB163" s="47"/>
      <c r="RC163" s="47"/>
      <c r="RD163" s="47"/>
      <c r="RE163" s="47"/>
      <c r="RF163" s="47"/>
      <c r="RG163" s="47"/>
      <c r="RH163" s="47"/>
      <c r="RI163" s="47"/>
      <c r="RJ163" s="47"/>
      <c r="RK163" s="47"/>
      <c r="RL163" s="47"/>
      <c r="RM163" s="47"/>
      <c r="RN163" s="47"/>
      <c r="RO163" s="47"/>
      <c r="RP163" s="47"/>
      <c r="RQ163" s="47"/>
      <c r="RR163" s="47"/>
      <c r="RS163" s="47"/>
      <c r="RT163" s="47"/>
      <c r="RU163" s="47"/>
      <c r="RV163" s="47"/>
      <c r="RW163" s="47"/>
      <c r="RX163" s="47"/>
      <c r="RY163" s="47"/>
      <c r="RZ163" s="47"/>
      <c r="SA163" s="47"/>
      <c r="SB163" s="47"/>
      <c r="SC163" s="47"/>
      <c r="SD163" s="47"/>
      <c r="SE163" s="47"/>
      <c r="SF163" s="47"/>
      <c r="SG163" s="47"/>
      <c r="SH163" s="47"/>
      <c r="SI163" s="47"/>
      <c r="SJ163" s="47"/>
      <c r="SK163" s="47"/>
      <c r="SL163" s="47"/>
      <c r="SM163" s="47"/>
      <c r="SN163" s="47"/>
      <c r="SO163" s="47"/>
      <c r="SP163" s="47"/>
      <c r="SQ163" s="47"/>
      <c r="SR163" s="47"/>
      <c r="SS163" s="47"/>
      <c r="ST163" s="47"/>
      <c r="SU163" s="47"/>
      <c r="SV163" s="47"/>
      <c r="SW163" s="47"/>
      <c r="SX163" s="47"/>
      <c r="SY163" s="47"/>
      <c r="SZ163" s="47"/>
      <c r="TA163" s="47"/>
      <c r="TB163" s="47"/>
      <c r="TC163" s="47"/>
      <c r="TD163" s="47"/>
      <c r="TE163" s="47"/>
      <c r="TF163" s="47"/>
      <c r="TG163" s="47"/>
      <c r="TH163" s="47"/>
      <c r="TI163" s="47"/>
      <c r="TJ163" s="47"/>
      <c r="TK163" s="47"/>
      <c r="TL163" s="47"/>
      <c r="TM163" s="47"/>
      <c r="TN163" s="47"/>
      <c r="TO163" s="47"/>
      <c r="TP163" s="47"/>
      <c r="TQ163" s="47"/>
      <c r="TR163" s="47"/>
      <c r="TS163" s="47"/>
      <c r="TT163" s="47"/>
      <c r="TU163" s="47"/>
      <c r="TV163" s="47"/>
      <c r="TW163" s="47"/>
      <c r="TX163" s="47"/>
      <c r="TY163" s="47"/>
      <c r="TZ163" s="47"/>
      <c r="UA163" s="47"/>
      <c r="UB163" s="47"/>
      <c r="UC163" s="47"/>
      <c r="UD163" s="47"/>
      <c r="UE163" s="47"/>
      <c r="UF163" s="47"/>
      <c r="UG163" s="47"/>
      <c r="UH163" s="47"/>
      <c r="UI163" s="47"/>
      <c r="UJ163" s="47"/>
      <c r="UK163" s="47"/>
      <c r="UL163" s="47"/>
      <c r="UM163" s="47"/>
      <c r="UN163" s="47"/>
      <c r="UO163" s="47"/>
      <c r="UP163" s="47"/>
      <c r="UQ163" s="47"/>
      <c r="UR163" s="47"/>
      <c r="US163" s="47"/>
      <c r="UT163" s="47"/>
      <c r="UU163" s="47"/>
      <c r="UV163" s="47"/>
      <c r="UW163" s="47"/>
      <c r="UX163" s="47"/>
      <c r="UY163" s="47"/>
      <c r="UZ163" s="47"/>
      <c r="VA163" s="47"/>
      <c r="VB163" s="47"/>
      <c r="VC163" s="47"/>
      <c r="VD163" s="47"/>
      <c r="VE163" s="47"/>
      <c r="VF163" s="47"/>
    </row>
    <row r="164" spans="1:578" s="41" customFormat="1" ht="69.75" customHeight="1" x14ac:dyDescent="0.2">
      <c r="A164" s="39" t="s">
        <v>250</v>
      </c>
      <c r="B164" s="90" t="str">
        <f>'дод 3'!A110</f>
        <v>3160</v>
      </c>
      <c r="C164" s="90">
        <f>'дод 3'!B110</f>
        <v>1010</v>
      </c>
      <c r="D164" s="42" t="str">
        <f>'дод 3'!C110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65">
        <v>1812956</v>
      </c>
      <c r="F164" s="65"/>
      <c r="G164" s="65"/>
      <c r="H164" s="65">
        <v>281083.59999999998</v>
      </c>
      <c r="I164" s="65"/>
      <c r="J164" s="65"/>
      <c r="K164" s="130">
        <f t="shared" si="41"/>
        <v>15.504160056835357</v>
      </c>
      <c r="L164" s="65">
        <f t="shared" si="40"/>
        <v>0</v>
      </c>
      <c r="M164" s="65"/>
      <c r="N164" s="65"/>
      <c r="O164" s="65"/>
      <c r="P164" s="65"/>
      <c r="Q164" s="65"/>
      <c r="R164" s="65">
        <f t="shared" si="43"/>
        <v>0</v>
      </c>
      <c r="S164" s="65"/>
      <c r="T164" s="65"/>
      <c r="U164" s="65"/>
      <c r="V164" s="65"/>
      <c r="W164" s="65"/>
      <c r="X164" s="132"/>
      <c r="Y164" s="65">
        <f t="shared" si="42"/>
        <v>281083.59999999998</v>
      </c>
      <c r="Z164" s="203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47"/>
      <c r="KC164" s="47"/>
      <c r="KD164" s="47"/>
      <c r="KE164" s="47"/>
      <c r="KF164" s="47"/>
      <c r="KG164" s="47"/>
      <c r="KH164" s="47"/>
      <c r="KI164" s="47"/>
      <c r="KJ164" s="47"/>
      <c r="KK164" s="47"/>
      <c r="KL164" s="47"/>
      <c r="KM164" s="47"/>
      <c r="KN164" s="47"/>
      <c r="KO164" s="47"/>
      <c r="KP164" s="47"/>
      <c r="KQ164" s="47"/>
      <c r="KR164" s="47"/>
      <c r="KS164" s="47"/>
      <c r="KT164" s="47"/>
      <c r="KU164" s="47"/>
      <c r="KV164" s="47"/>
      <c r="KW164" s="47"/>
      <c r="KX164" s="47"/>
      <c r="KY164" s="47"/>
      <c r="KZ164" s="47"/>
      <c r="LA164" s="47"/>
      <c r="LB164" s="47"/>
      <c r="LC164" s="47"/>
      <c r="LD164" s="47"/>
      <c r="LE164" s="47"/>
      <c r="LF164" s="47"/>
      <c r="LG164" s="47"/>
      <c r="LH164" s="47"/>
      <c r="LI164" s="47"/>
      <c r="LJ164" s="47"/>
      <c r="LK164" s="47"/>
      <c r="LL164" s="47"/>
      <c r="LM164" s="47"/>
      <c r="LN164" s="47"/>
      <c r="LO164" s="47"/>
      <c r="LP164" s="47"/>
      <c r="LQ164" s="47"/>
      <c r="LR164" s="47"/>
      <c r="LS164" s="47"/>
      <c r="LT164" s="47"/>
      <c r="LU164" s="47"/>
      <c r="LV164" s="47"/>
      <c r="LW164" s="47"/>
      <c r="LX164" s="47"/>
      <c r="LY164" s="47"/>
      <c r="LZ164" s="47"/>
      <c r="MA164" s="47"/>
      <c r="MB164" s="47"/>
      <c r="MC164" s="47"/>
      <c r="MD164" s="47"/>
      <c r="ME164" s="47"/>
      <c r="MF164" s="47"/>
      <c r="MG164" s="47"/>
      <c r="MH164" s="47"/>
      <c r="MI164" s="47"/>
      <c r="MJ164" s="4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  <c r="NE164" s="47"/>
      <c r="NF164" s="47"/>
      <c r="NG164" s="47"/>
      <c r="NH164" s="47"/>
      <c r="NI164" s="47"/>
      <c r="NJ164" s="47"/>
      <c r="NK164" s="47"/>
      <c r="NL164" s="47"/>
      <c r="NM164" s="47"/>
      <c r="NN164" s="47"/>
      <c r="NO164" s="47"/>
      <c r="NP164" s="47"/>
      <c r="NQ164" s="47"/>
      <c r="NR164" s="47"/>
      <c r="NS164" s="47"/>
      <c r="NT164" s="47"/>
      <c r="NU164" s="47"/>
      <c r="NV164" s="47"/>
      <c r="NW164" s="47"/>
      <c r="NX164" s="47"/>
      <c r="NY164" s="47"/>
      <c r="NZ164" s="47"/>
      <c r="OA164" s="47"/>
      <c r="OB164" s="47"/>
      <c r="OC164" s="47"/>
      <c r="OD164" s="47"/>
      <c r="OE164" s="47"/>
      <c r="OF164" s="47"/>
      <c r="OG164" s="47"/>
      <c r="OH164" s="47"/>
      <c r="OI164" s="47"/>
      <c r="OJ164" s="47"/>
      <c r="OK164" s="47"/>
      <c r="OL164" s="47"/>
      <c r="OM164" s="47"/>
      <c r="ON164" s="47"/>
      <c r="OO164" s="47"/>
      <c r="OP164" s="47"/>
      <c r="OQ164" s="47"/>
      <c r="OR164" s="47"/>
      <c r="OS164" s="47"/>
      <c r="OT164" s="47"/>
      <c r="OU164" s="47"/>
      <c r="OV164" s="47"/>
      <c r="OW164" s="47"/>
      <c r="OX164" s="47"/>
      <c r="OY164" s="47"/>
      <c r="OZ164" s="47"/>
      <c r="PA164" s="47"/>
      <c r="PB164" s="47"/>
      <c r="PC164" s="47"/>
      <c r="PD164" s="47"/>
      <c r="PE164" s="47"/>
      <c r="PF164" s="47"/>
      <c r="PG164" s="47"/>
      <c r="PH164" s="47"/>
      <c r="PI164" s="47"/>
      <c r="PJ164" s="47"/>
      <c r="PK164" s="47"/>
      <c r="PL164" s="47"/>
      <c r="PM164" s="47"/>
      <c r="PN164" s="47"/>
      <c r="PO164" s="47"/>
      <c r="PP164" s="47"/>
      <c r="PQ164" s="47"/>
      <c r="PR164" s="47"/>
      <c r="PS164" s="47"/>
      <c r="PT164" s="47"/>
      <c r="PU164" s="47"/>
      <c r="PV164" s="47"/>
      <c r="PW164" s="47"/>
      <c r="PX164" s="47"/>
      <c r="PY164" s="47"/>
      <c r="PZ164" s="47"/>
      <c r="QA164" s="47"/>
      <c r="QB164" s="47"/>
      <c r="QC164" s="47"/>
      <c r="QD164" s="47"/>
      <c r="QE164" s="47"/>
      <c r="QF164" s="47"/>
      <c r="QG164" s="47"/>
      <c r="QH164" s="47"/>
      <c r="QI164" s="47"/>
      <c r="QJ164" s="47"/>
      <c r="QK164" s="47"/>
      <c r="QL164" s="47"/>
      <c r="QM164" s="47"/>
      <c r="QN164" s="47"/>
      <c r="QO164" s="47"/>
      <c r="QP164" s="47"/>
      <c r="QQ164" s="47"/>
      <c r="QR164" s="47"/>
      <c r="QS164" s="47"/>
      <c r="QT164" s="47"/>
      <c r="QU164" s="47"/>
      <c r="QV164" s="47"/>
      <c r="QW164" s="47"/>
      <c r="QX164" s="47"/>
      <c r="QY164" s="47"/>
      <c r="QZ164" s="47"/>
      <c r="RA164" s="47"/>
      <c r="RB164" s="47"/>
      <c r="RC164" s="47"/>
      <c r="RD164" s="47"/>
      <c r="RE164" s="47"/>
      <c r="RF164" s="47"/>
      <c r="RG164" s="47"/>
      <c r="RH164" s="47"/>
      <c r="RI164" s="47"/>
      <c r="RJ164" s="47"/>
      <c r="RK164" s="47"/>
      <c r="RL164" s="47"/>
      <c r="RM164" s="47"/>
      <c r="RN164" s="47"/>
      <c r="RO164" s="47"/>
      <c r="RP164" s="47"/>
      <c r="RQ164" s="47"/>
      <c r="RR164" s="47"/>
      <c r="RS164" s="47"/>
      <c r="RT164" s="47"/>
      <c r="RU164" s="47"/>
      <c r="RV164" s="47"/>
      <c r="RW164" s="47"/>
      <c r="RX164" s="47"/>
      <c r="RY164" s="47"/>
      <c r="RZ164" s="47"/>
      <c r="SA164" s="47"/>
      <c r="SB164" s="47"/>
      <c r="SC164" s="47"/>
      <c r="SD164" s="47"/>
      <c r="SE164" s="47"/>
      <c r="SF164" s="47"/>
      <c r="SG164" s="47"/>
      <c r="SH164" s="47"/>
      <c r="SI164" s="47"/>
      <c r="SJ164" s="47"/>
      <c r="SK164" s="47"/>
      <c r="SL164" s="47"/>
      <c r="SM164" s="47"/>
      <c r="SN164" s="47"/>
      <c r="SO164" s="47"/>
      <c r="SP164" s="47"/>
      <c r="SQ164" s="47"/>
      <c r="SR164" s="47"/>
      <c r="SS164" s="47"/>
      <c r="ST164" s="47"/>
      <c r="SU164" s="47"/>
      <c r="SV164" s="47"/>
      <c r="SW164" s="47"/>
      <c r="SX164" s="47"/>
      <c r="SY164" s="47"/>
      <c r="SZ164" s="47"/>
      <c r="TA164" s="47"/>
      <c r="TB164" s="47"/>
      <c r="TC164" s="47"/>
      <c r="TD164" s="47"/>
      <c r="TE164" s="47"/>
      <c r="TF164" s="47"/>
      <c r="TG164" s="47"/>
      <c r="TH164" s="47"/>
      <c r="TI164" s="47"/>
      <c r="TJ164" s="47"/>
      <c r="TK164" s="47"/>
      <c r="TL164" s="47"/>
      <c r="TM164" s="47"/>
      <c r="TN164" s="47"/>
      <c r="TO164" s="47"/>
      <c r="TP164" s="47"/>
      <c r="TQ164" s="47"/>
      <c r="TR164" s="47"/>
      <c r="TS164" s="47"/>
      <c r="TT164" s="47"/>
      <c r="TU164" s="47"/>
      <c r="TV164" s="47"/>
      <c r="TW164" s="47"/>
      <c r="TX164" s="47"/>
      <c r="TY164" s="47"/>
      <c r="TZ164" s="47"/>
      <c r="UA164" s="47"/>
      <c r="UB164" s="47"/>
      <c r="UC164" s="47"/>
      <c r="UD164" s="47"/>
      <c r="UE164" s="47"/>
      <c r="UF164" s="47"/>
      <c r="UG164" s="47"/>
      <c r="UH164" s="47"/>
      <c r="UI164" s="47"/>
      <c r="UJ164" s="47"/>
      <c r="UK164" s="47"/>
      <c r="UL164" s="47"/>
      <c r="UM164" s="47"/>
      <c r="UN164" s="47"/>
      <c r="UO164" s="47"/>
      <c r="UP164" s="47"/>
      <c r="UQ164" s="47"/>
      <c r="UR164" s="47"/>
      <c r="US164" s="47"/>
      <c r="UT164" s="47"/>
      <c r="UU164" s="47"/>
      <c r="UV164" s="47"/>
      <c r="UW164" s="47"/>
      <c r="UX164" s="47"/>
      <c r="UY164" s="47"/>
      <c r="UZ164" s="47"/>
      <c r="VA164" s="47"/>
      <c r="VB164" s="47"/>
      <c r="VC164" s="47"/>
      <c r="VD164" s="47"/>
      <c r="VE164" s="47"/>
      <c r="VF164" s="47"/>
    </row>
    <row r="165" spans="1:578" s="41" customFormat="1" ht="48.75" customHeight="1" x14ac:dyDescent="0.2">
      <c r="A165" s="39" t="s">
        <v>424</v>
      </c>
      <c r="B165" s="90" t="str">
        <f>'дод 3'!A111</f>
        <v>3171</v>
      </c>
      <c r="C165" s="90">
        <f>'дод 3'!B111</f>
        <v>1010</v>
      </c>
      <c r="D165" s="42" t="str">
        <f>'дод 3'!C111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65">
        <v>205040</v>
      </c>
      <c r="F165" s="65"/>
      <c r="G165" s="65"/>
      <c r="H165" s="65">
        <v>77285.77</v>
      </c>
      <c r="I165" s="65"/>
      <c r="J165" s="65"/>
      <c r="K165" s="130">
        <f t="shared" si="41"/>
        <v>37.693020873975811</v>
      </c>
      <c r="L165" s="65">
        <f t="shared" si="40"/>
        <v>0</v>
      </c>
      <c r="M165" s="65"/>
      <c r="N165" s="65"/>
      <c r="O165" s="65"/>
      <c r="P165" s="65"/>
      <c r="Q165" s="65"/>
      <c r="R165" s="65">
        <f t="shared" si="43"/>
        <v>0</v>
      </c>
      <c r="S165" s="65"/>
      <c r="T165" s="65"/>
      <c r="U165" s="65"/>
      <c r="V165" s="65"/>
      <c r="W165" s="65"/>
      <c r="X165" s="132"/>
      <c r="Y165" s="65">
        <f t="shared" si="42"/>
        <v>77285.77</v>
      </c>
      <c r="Z165" s="203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47"/>
      <c r="KC165" s="47"/>
      <c r="KD165" s="47"/>
      <c r="KE165" s="47"/>
      <c r="KF165" s="47"/>
      <c r="KG165" s="47"/>
      <c r="KH165" s="47"/>
      <c r="KI165" s="47"/>
      <c r="KJ165" s="47"/>
      <c r="KK165" s="47"/>
      <c r="KL165" s="47"/>
      <c r="KM165" s="47"/>
      <c r="KN165" s="47"/>
      <c r="KO165" s="47"/>
      <c r="KP165" s="47"/>
      <c r="KQ165" s="47"/>
      <c r="KR165" s="47"/>
      <c r="KS165" s="47"/>
      <c r="KT165" s="47"/>
      <c r="KU165" s="47"/>
      <c r="KV165" s="47"/>
      <c r="KW165" s="47"/>
      <c r="KX165" s="47"/>
      <c r="KY165" s="47"/>
      <c r="KZ165" s="47"/>
      <c r="LA165" s="47"/>
      <c r="LB165" s="47"/>
      <c r="LC165" s="47"/>
      <c r="LD165" s="47"/>
      <c r="LE165" s="47"/>
      <c r="LF165" s="47"/>
      <c r="LG165" s="47"/>
      <c r="LH165" s="47"/>
      <c r="LI165" s="47"/>
      <c r="LJ165" s="47"/>
      <c r="LK165" s="47"/>
      <c r="LL165" s="47"/>
      <c r="LM165" s="47"/>
      <c r="LN165" s="47"/>
      <c r="LO165" s="47"/>
      <c r="LP165" s="47"/>
      <c r="LQ165" s="47"/>
      <c r="LR165" s="47"/>
      <c r="LS165" s="47"/>
      <c r="LT165" s="47"/>
      <c r="LU165" s="47"/>
      <c r="LV165" s="47"/>
      <c r="LW165" s="47"/>
      <c r="LX165" s="47"/>
      <c r="LY165" s="47"/>
      <c r="LZ165" s="47"/>
      <c r="MA165" s="47"/>
      <c r="MB165" s="47"/>
      <c r="MC165" s="47"/>
      <c r="MD165" s="47"/>
      <c r="ME165" s="47"/>
      <c r="MF165" s="47"/>
      <c r="MG165" s="47"/>
      <c r="MH165" s="47"/>
      <c r="MI165" s="47"/>
      <c r="MJ165" s="4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  <c r="NE165" s="47"/>
      <c r="NF165" s="47"/>
      <c r="NG165" s="47"/>
      <c r="NH165" s="47"/>
      <c r="NI165" s="47"/>
      <c r="NJ165" s="47"/>
      <c r="NK165" s="47"/>
      <c r="NL165" s="47"/>
      <c r="NM165" s="47"/>
      <c r="NN165" s="47"/>
      <c r="NO165" s="47"/>
      <c r="NP165" s="47"/>
      <c r="NQ165" s="47"/>
      <c r="NR165" s="47"/>
      <c r="NS165" s="47"/>
      <c r="NT165" s="47"/>
      <c r="NU165" s="47"/>
      <c r="NV165" s="47"/>
      <c r="NW165" s="47"/>
      <c r="NX165" s="47"/>
      <c r="NY165" s="47"/>
      <c r="NZ165" s="47"/>
      <c r="OA165" s="47"/>
      <c r="OB165" s="47"/>
      <c r="OC165" s="47"/>
      <c r="OD165" s="47"/>
      <c r="OE165" s="47"/>
      <c r="OF165" s="47"/>
      <c r="OG165" s="47"/>
      <c r="OH165" s="47"/>
      <c r="OI165" s="47"/>
      <c r="OJ165" s="47"/>
      <c r="OK165" s="47"/>
      <c r="OL165" s="47"/>
      <c r="OM165" s="47"/>
      <c r="ON165" s="47"/>
      <c r="OO165" s="47"/>
      <c r="OP165" s="47"/>
      <c r="OQ165" s="47"/>
      <c r="OR165" s="47"/>
      <c r="OS165" s="47"/>
      <c r="OT165" s="47"/>
      <c r="OU165" s="47"/>
      <c r="OV165" s="47"/>
      <c r="OW165" s="47"/>
      <c r="OX165" s="47"/>
      <c r="OY165" s="47"/>
      <c r="OZ165" s="47"/>
      <c r="PA165" s="47"/>
      <c r="PB165" s="47"/>
      <c r="PC165" s="47"/>
      <c r="PD165" s="47"/>
      <c r="PE165" s="47"/>
      <c r="PF165" s="47"/>
      <c r="PG165" s="47"/>
      <c r="PH165" s="47"/>
      <c r="PI165" s="47"/>
      <c r="PJ165" s="47"/>
      <c r="PK165" s="47"/>
      <c r="PL165" s="47"/>
      <c r="PM165" s="47"/>
      <c r="PN165" s="47"/>
      <c r="PO165" s="47"/>
      <c r="PP165" s="47"/>
      <c r="PQ165" s="47"/>
      <c r="PR165" s="47"/>
      <c r="PS165" s="47"/>
      <c r="PT165" s="47"/>
      <c r="PU165" s="47"/>
      <c r="PV165" s="47"/>
      <c r="PW165" s="47"/>
      <c r="PX165" s="47"/>
      <c r="PY165" s="47"/>
      <c r="PZ165" s="47"/>
      <c r="QA165" s="47"/>
      <c r="QB165" s="47"/>
      <c r="QC165" s="47"/>
      <c r="QD165" s="47"/>
      <c r="QE165" s="47"/>
      <c r="QF165" s="47"/>
      <c r="QG165" s="47"/>
      <c r="QH165" s="47"/>
      <c r="QI165" s="47"/>
      <c r="QJ165" s="47"/>
      <c r="QK165" s="47"/>
      <c r="QL165" s="47"/>
      <c r="QM165" s="47"/>
      <c r="QN165" s="47"/>
      <c r="QO165" s="47"/>
      <c r="QP165" s="47"/>
      <c r="QQ165" s="47"/>
      <c r="QR165" s="47"/>
      <c r="QS165" s="47"/>
      <c r="QT165" s="47"/>
      <c r="QU165" s="47"/>
      <c r="QV165" s="47"/>
      <c r="QW165" s="47"/>
      <c r="QX165" s="47"/>
      <c r="QY165" s="47"/>
      <c r="QZ165" s="47"/>
      <c r="RA165" s="47"/>
      <c r="RB165" s="47"/>
      <c r="RC165" s="47"/>
      <c r="RD165" s="47"/>
      <c r="RE165" s="47"/>
      <c r="RF165" s="47"/>
      <c r="RG165" s="47"/>
      <c r="RH165" s="47"/>
      <c r="RI165" s="47"/>
      <c r="RJ165" s="47"/>
      <c r="RK165" s="47"/>
      <c r="RL165" s="47"/>
      <c r="RM165" s="47"/>
      <c r="RN165" s="47"/>
      <c r="RO165" s="47"/>
      <c r="RP165" s="47"/>
      <c r="RQ165" s="47"/>
      <c r="RR165" s="47"/>
      <c r="RS165" s="47"/>
      <c r="RT165" s="47"/>
      <c r="RU165" s="47"/>
      <c r="RV165" s="47"/>
      <c r="RW165" s="47"/>
      <c r="RX165" s="47"/>
      <c r="RY165" s="47"/>
      <c r="RZ165" s="47"/>
      <c r="SA165" s="47"/>
      <c r="SB165" s="47"/>
      <c r="SC165" s="47"/>
      <c r="SD165" s="47"/>
      <c r="SE165" s="47"/>
      <c r="SF165" s="47"/>
      <c r="SG165" s="47"/>
      <c r="SH165" s="47"/>
      <c r="SI165" s="47"/>
      <c r="SJ165" s="47"/>
      <c r="SK165" s="47"/>
      <c r="SL165" s="47"/>
      <c r="SM165" s="47"/>
      <c r="SN165" s="47"/>
      <c r="SO165" s="47"/>
      <c r="SP165" s="47"/>
      <c r="SQ165" s="47"/>
      <c r="SR165" s="47"/>
      <c r="SS165" s="47"/>
      <c r="ST165" s="47"/>
      <c r="SU165" s="47"/>
      <c r="SV165" s="47"/>
      <c r="SW165" s="47"/>
      <c r="SX165" s="47"/>
      <c r="SY165" s="47"/>
      <c r="SZ165" s="47"/>
      <c r="TA165" s="47"/>
      <c r="TB165" s="47"/>
      <c r="TC165" s="47"/>
      <c r="TD165" s="47"/>
      <c r="TE165" s="47"/>
      <c r="TF165" s="47"/>
      <c r="TG165" s="47"/>
      <c r="TH165" s="47"/>
      <c r="TI165" s="47"/>
      <c r="TJ165" s="47"/>
      <c r="TK165" s="47"/>
      <c r="TL165" s="47"/>
      <c r="TM165" s="47"/>
      <c r="TN165" s="47"/>
      <c r="TO165" s="47"/>
      <c r="TP165" s="47"/>
      <c r="TQ165" s="47"/>
      <c r="TR165" s="47"/>
      <c r="TS165" s="47"/>
      <c r="TT165" s="47"/>
      <c r="TU165" s="47"/>
      <c r="TV165" s="47"/>
      <c r="TW165" s="47"/>
      <c r="TX165" s="47"/>
      <c r="TY165" s="47"/>
      <c r="TZ165" s="47"/>
      <c r="UA165" s="47"/>
      <c r="UB165" s="47"/>
      <c r="UC165" s="47"/>
      <c r="UD165" s="47"/>
      <c r="UE165" s="47"/>
      <c r="UF165" s="47"/>
      <c r="UG165" s="47"/>
      <c r="UH165" s="47"/>
      <c r="UI165" s="47"/>
      <c r="UJ165" s="47"/>
      <c r="UK165" s="47"/>
      <c r="UL165" s="47"/>
      <c r="UM165" s="47"/>
      <c r="UN165" s="47"/>
      <c r="UO165" s="47"/>
      <c r="UP165" s="47"/>
      <c r="UQ165" s="47"/>
      <c r="UR165" s="47"/>
      <c r="US165" s="47"/>
      <c r="UT165" s="47"/>
      <c r="UU165" s="47"/>
      <c r="UV165" s="47"/>
      <c r="UW165" s="47"/>
      <c r="UX165" s="47"/>
      <c r="UY165" s="47"/>
      <c r="UZ165" s="47"/>
      <c r="VA165" s="47"/>
      <c r="VB165" s="47"/>
      <c r="VC165" s="47"/>
      <c r="VD165" s="47"/>
      <c r="VE165" s="47"/>
      <c r="VF165" s="47"/>
    </row>
    <row r="166" spans="1:578" s="41" customFormat="1" ht="24.75" customHeight="1" x14ac:dyDescent="0.2">
      <c r="A166" s="39" t="s">
        <v>425</v>
      </c>
      <c r="B166" s="90" t="str">
        <f>'дод 3'!A112</f>
        <v>3172</v>
      </c>
      <c r="C166" s="90">
        <f>'дод 3'!B112</f>
        <v>1010</v>
      </c>
      <c r="D166" s="42" t="str">
        <f>'дод 3'!C112</f>
        <v>Встановлення телефонів особам з інвалідністю I і II груп</v>
      </c>
      <c r="E166" s="65">
        <v>680</v>
      </c>
      <c r="F166" s="65"/>
      <c r="G166" s="65"/>
      <c r="H166" s="65"/>
      <c r="I166" s="65"/>
      <c r="J166" s="65"/>
      <c r="K166" s="130">
        <f t="shared" si="41"/>
        <v>0</v>
      </c>
      <c r="L166" s="65">
        <f t="shared" si="40"/>
        <v>0</v>
      </c>
      <c r="M166" s="65"/>
      <c r="N166" s="65"/>
      <c r="O166" s="65"/>
      <c r="P166" s="65"/>
      <c r="Q166" s="65"/>
      <c r="R166" s="65">
        <f t="shared" si="43"/>
        <v>0</v>
      </c>
      <c r="S166" s="65"/>
      <c r="T166" s="65"/>
      <c r="U166" s="65"/>
      <c r="V166" s="65"/>
      <c r="W166" s="65"/>
      <c r="X166" s="132"/>
      <c r="Y166" s="65">
        <f t="shared" si="42"/>
        <v>0</v>
      </c>
      <c r="Z166" s="203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47"/>
      <c r="KC166" s="47"/>
      <c r="KD166" s="47"/>
      <c r="KE166" s="47"/>
      <c r="KF166" s="47"/>
      <c r="KG166" s="47"/>
      <c r="KH166" s="47"/>
      <c r="KI166" s="47"/>
      <c r="KJ166" s="47"/>
      <c r="KK166" s="47"/>
      <c r="KL166" s="47"/>
      <c r="KM166" s="47"/>
      <c r="KN166" s="47"/>
      <c r="KO166" s="47"/>
      <c r="KP166" s="47"/>
      <c r="KQ166" s="47"/>
      <c r="KR166" s="47"/>
      <c r="KS166" s="47"/>
      <c r="KT166" s="47"/>
      <c r="KU166" s="47"/>
      <c r="KV166" s="47"/>
      <c r="KW166" s="47"/>
      <c r="KX166" s="47"/>
      <c r="KY166" s="47"/>
      <c r="KZ166" s="47"/>
      <c r="LA166" s="47"/>
      <c r="LB166" s="47"/>
      <c r="LC166" s="47"/>
      <c r="LD166" s="47"/>
      <c r="LE166" s="47"/>
      <c r="LF166" s="47"/>
      <c r="LG166" s="47"/>
      <c r="LH166" s="47"/>
      <c r="LI166" s="47"/>
      <c r="LJ166" s="47"/>
      <c r="LK166" s="47"/>
      <c r="LL166" s="47"/>
      <c r="LM166" s="47"/>
      <c r="LN166" s="47"/>
      <c r="LO166" s="47"/>
      <c r="LP166" s="47"/>
      <c r="LQ166" s="47"/>
      <c r="LR166" s="47"/>
      <c r="LS166" s="47"/>
      <c r="LT166" s="47"/>
      <c r="LU166" s="47"/>
      <c r="LV166" s="47"/>
      <c r="LW166" s="47"/>
      <c r="LX166" s="47"/>
      <c r="LY166" s="47"/>
      <c r="LZ166" s="47"/>
      <c r="MA166" s="47"/>
      <c r="MB166" s="47"/>
      <c r="MC166" s="47"/>
      <c r="MD166" s="47"/>
      <c r="ME166" s="47"/>
      <c r="MF166" s="47"/>
      <c r="MG166" s="47"/>
      <c r="MH166" s="47"/>
      <c r="MI166" s="47"/>
      <c r="MJ166" s="4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  <c r="NE166" s="47"/>
      <c r="NF166" s="47"/>
      <c r="NG166" s="47"/>
      <c r="NH166" s="47"/>
      <c r="NI166" s="47"/>
      <c r="NJ166" s="47"/>
      <c r="NK166" s="47"/>
      <c r="NL166" s="47"/>
      <c r="NM166" s="47"/>
      <c r="NN166" s="47"/>
      <c r="NO166" s="47"/>
      <c r="NP166" s="47"/>
      <c r="NQ166" s="47"/>
      <c r="NR166" s="47"/>
      <c r="NS166" s="47"/>
      <c r="NT166" s="47"/>
      <c r="NU166" s="47"/>
      <c r="NV166" s="47"/>
      <c r="NW166" s="47"/>
      <c r="NX166" s="47"/>
      <c r="NY166" s="47"/>
      <c r="NZ166" s="47"/>
      <c r="OA166" s="47"/>
      <c r="OB166" s="47"/>
      <c r="OC166" s="47"/>
      <c r="OD166" s="47"/>
      <c r="OE166" s="47"/>
      <c r="OF166" s="47"/>
      <c r="OG166" s="47"/>
      <c r="OH166" s="47"/>
      <c r="OI166" s="47"/>
      <c r="OJ166" s="47"/>
      <c r="OK166" s="47"/>
      <c r="OL166" s="47"/>
      <c r="OM166" s="47"/>
      <c r="ON166" s="47"/>
      <c r="OO166" s="47"/>
      <c r="OP166" s="47"/>
      <c r="OQ166" s="47"/>
      <c r="OR166" s="47"/>
      <c r="OS166" s="47"/>
      <c r="OT166" s="47"/>
      <c r="OU166" s="47"/>
      <c r="OV166" s="47"/>
      <c r="OW166" s="47"/>
      <c r="OX166" s="47"/>
      <c r="OY166" s="47"/>
      <c r="OZ166" s="47"/>
      <c r="PA166" s="47"/>
      <c r="PB166" s="47"/>
      <c r="PC166" s="47"/>
      <c r="PD166" s="47"/>
      <c r="PE166" s="47"/>
      <c r="PF166" s="47"/>
      <c r="PG166" s="47"/>
      <c r="PH166" s="47"/>
      <c r="PI166" s="47"/>
      <c r="PJ166" s="47"/>
      <c r="PK166" s="47"/>
      <c r="PL166" s="47"/>
      <c r="PM166" s="47"/>
      <c r="PN166" s="47"/>
      <c r="PO166" s="47"/>
      <c r="PP166" s="47"/>
      <c r="PQ166" s="47"/>
      <c r="PR166" s="47"/>
      <c r="PS166" s="47"/>
      <c r="PT166" s="47"/>
      <c r="PU166" s="47"/>
      <c r="PV166" s="47"/>
      <c r="PW166" s="47"/>
      <c r="PX166" s="47"/>
      <c r="PY166" s="47"/>
      <c r="PZ166" s="47"/>
      <c r="QA166" s="47"/>
      <c r="QB166" s="47"/>
      <c r="QC166" s="47"/>
      <c r="QD166" s="47"/>
      <c r="QE166" s="47"/>
      <c r="QF166" s="47"/>
      <c r="QG166" s="47"/>
      <c r="QH166" s="47"/>
      <c r="QI166" s="47"/>
      <c r="QJ166" s="47"/>
      <c r="QK166" s="47"/>
      <c r="QL166" s="47"/>
      <c r="QM166" s="47"/>
      <c r="QN166" s="47"/>
      <c r="QO166" s="47"/>
      <c r="QP166" s="47"/>
      <c r="QQ166" s="47"/>
      <c r="QR166" s="47"/>
      <c r="QS166" s="47"/>
      <c r="QT166" s="47"/>
      <c r="QU166" s="47"/>
      <c r="QV166" s="47"/>
      <c r="QW166" s="47"/>
      <c r="QX166" s="47"/>
      <c r="QY166" s="47"/>
      <c r="QZ166" s="47"/>
      <c r="RA166" s="47"/>
      <c r="RB166" s="47"/>
      <c r="RC166" s="47"/>
      <c r="RD166" s="47"/>
      <c r="RE166" s="47"/>
      <c r="RF166" s="47"/>
      <c r="RG166" s="47"/>
      <c r="RH166" s="47"/>
      <c r="RI166" s="47"/>
      <c r="RJ166" s="47"/>
      <c r="RK166" s="47"/>
      <c r="RL166" s="47"/>
      <c r="RM166" s="47"/>
      <c r="RN166" s="47"/>
      <c r="RO166" s="47"/>
      <c r="RP166" s="47"/>
      <c r="RQ166" s="47"/>
      <c r="RR166" s="47"/>
      <c r="RS166" s="47"/>
      <c r="RT166" s="47"/>
      <c r="RU166" s="47"/>
      <c r="RV166" s="47"/>
      <c r="RW166" s="47"/>
      <c r="RX166" s="47"/>
      <c r="RY166" s="47"/>
      <c r="RZ166" s="47"/>
      <c r="SA166" s="47"/>
      <c r="SB166" s="47"/>
      <c r="SC166" s="47"/>
      <c r="SD166" s="47"/>
      <c r="SE166" s="47"/>
      <c r="SF166" s="47"/>
      <c r="SG166" s="47"/>
      <c r="SH166" s="47"/>
      <c r="SI166" s="47"/>
      <c r="SJ166" s="47"/>
      <c r="SK166" s="47"/>
      <c r="SL166" s="47"/>
      <c r="SM166" s="47"/>
      <c r="SN166" s="47"/>
      <c r="SO166" s="47"/>
      <c r="SP166" s="47"/>
      <c r="SQ166" s="47"/>
      <c r="SR166" s="47"/>
      <c r="SS166" s="47"/>
      <c r="ST166" s="47"/>
      <c r="SU166" s="47"/>
      <c r="SV166" s="47"/>
      <c r="SW166" s="47"/>
      <c r="SX166" s="47"/>
      <c r="SY166" s="47"/>
      <c r="SZ166" s="47"/>
      <c r="TA166" s="47"/>
      <c r="TB166" s="47"/>
      <c r="TC166" s="47"/>
      <c r="TD166" s="47"/>
      <c r="TE166" s="47"/>
      <c r="TF166" s="47"/>
      <c r="TG166" s="47"/>
      <c r="TH166" s="47"/>
      <c r="TI166" s="47"/>
      <c r="TJ166" s="47"/>
      <c r="TK166" s="47"/>
      <c r="TL166" s="47"/>
      <c r="TM166" s="47"/>
      <c r="TN166" s="47"/>
      <c r="TO166" s="47"/>
      <c r="TP166" s="47"/>
      <c r="TQ166" s="47"/>
      <c r="TR166" s="47"/>
      <c r="TS166" s="47"/>
      <c r="TT166" s="47"/>
      <c r="TU166" s="47"/>
      <c r="TV166" s="47"/>
      <c r="TW166" s="47"/>
      <c r="TX166" s="47"/>
      <c r="TY166" s="47"/>
      <c r="TZ166" s="47"/>
      <c r="UA166" s="47"/>
      <c r="UB166" s="47"/>
      <c r="UC166" s="47"/>
      <c r="UD166" s="47"/>
      <c r="UE166" s="47"/>
      <c r="UF166" s="47"/>
      <c r="UG166" s="47"/>
      <c r="UH166" s="47"/>
      <c r="UI166" s="47"/>
      <c r="UJ166" s="47"/>
      <c r="UK166" s="47"/>
      <c r="UL166" s="47"/>
      <c r="UM166" s="47"/>
      <c r="UN166" s="47"/>
      <c r="UO166" s="47"/>
      <c r="UP166" s="47"/>
      <c r="UQ166" s="47"/>
      <c r="UR166" s="47"/>
      <c r="US166" s="47"/>
      <c r="UT166" s="47"/>
      <c r="UU166" s="47"/>
      <c r="UV166" s="47"/>
      <c r="UW166" s="47"/>
      <c r="UX166" s="47"/>
      <c r="UY166" s="47"/>
      <c r="UZ166" s="47"/>
      <c r="VA166" s="47"/>
      <c r="VB166" s="47"/>
      <c r="VC166" s="47"/>
      <c r="VD166" s="47"/>
      <c r="VE166" s="47"/>
      <c r="VF166" s="47"/>
    </row>
    <row r="167" spans="1:578" s="41" customFormat="1" ht="68.25" customHeight="1" x14ac:dyDescent="0.2">
      <c r="A167" s="39" t="s">
        <v>251</v>
      </c>
      <c r="B167" s="90" t="str">
        <f>'дод 3'!A113</f>
        <v>3180</v>
      </c>
      <c r="C167" s="90" t="str">
        <f>'дод 3'!B113</f>
        <v>1060</v>
      </c>
      <c r="D167" s="42" t="str">
        <f>'дод 3'!C113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65">
        <v>1866099</v>
      </c>
      <c r="F167" s="65"/>
      <c r="G167" s="65"/>
      <c r="H167" s="65">
        <v>540954.93000000005</v>
      </c>
      <c r="I167" s="65"/>
      <c r="J167" s="65"/>
      <c r="K167" s="130">
        <f t="shared" si="41"/>
        <v>28.98854401615349</v>
      </c>
      <c r="L167" s="65">
        <f t="shared" si="40"/>
        <v>0</v>
      </c>
      <c r="M167" s="65"/>
      <c r="N167" s="65"/>
      <c r="O167" s="65"/>
      <c r="P167" s="65"/>
      <c r="Q167" s="65"/>
      <c r="R167" s="65">
        <f t="shared" si="43"/>
        <v>0</v>
      </c>
      <c r="S167" s="65"/>
      <c r="T167" s="65"/>
      <c r="U167" s="65"/>
      <c r="V167" s="65"/>
      <c r="W167" s="65"/>
      <c r="X167" s="132"/>
      <c r="Y167" s="65">
        <f t="shared" si="42"/>
        <v>540954.93000000005</v>
      </c>
      <c r="Z167" s="203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47"/>
      <c r="KC167" s="47"/>
      <c r="KD167" s="47"/>
      <c r="KE167" s="47"/>
      <c r="KF167" s="47"/>
      <c r="KG167" s="47"/>
      <c r="KH167" s="47"/>
      <c r="KI167" s="47"/>
      <c r="KJ167" s="47"/>
      <c r="KK167" s="47"/>
      <c r="KL167" s="47"/>
      <c r="KM167" s="47"/>
      <c r="KN167" s="47"/>
      <c r="KO167" s="47"/>
      <c r="KP167" s="47"/>
      <c r="KQ167" s="47"/>
      <c r="KR167" s="47"/>
      <c r="KS167" s="47"/>
      <c r="KT167" s="47"/>
      <c r="KU167" s="47"/>
      <c r="KV167" s="47"/>
      <c r="KW167" s="47"/>
      <c r="KX167" s="47"/>
      <c r="KY167" s="47"/>
      <c r="KZ167" s="47"/>
      <c r="LA167" s="47"/>
      <c r="LB167" s="47"/>
      <c r="LC167" s="47"/>
      <c r="LD167" s="47"/>
      <c r="LE167" s="47"/>
      <c r="LF167" s="47"/>
      <c r="LG167" s="47"/>
      <c r="LH167" s="47"/>
      <c r="LI167" s="47"/>
      <c r="LJ167" s="47"/>
      <c r="LK167" s="47"/>
      <c r="LL167" s="47"/>
      <c r="LM167" s="47"/>
      <c r="LN167" s="47"/>
      <c r="LO167" s="47"/>
      <c r="LP167" s="47"/>
      <c r="LQ167" s="47"/>
      <c r="LR167" s="47"/>
      <c r="LS167" s="47"/>
      <c r="LT167" s="47"/>
      <c r="LU167" s="47"/>
      <c r="LV167" s="47"/>
      <c r="LW167" s="47"/>
      <c r="LX167" s="47"/>
      <c r="LY167" s="47"/>
      <c r="LZ167" s="47"/>
      <c r="MA167" s="47"/>
      <c r="MB167" s="47"/>
      <c r="MC167" s="47"/>
      <c r="MD167" s="47"/>
      <c r="ME167" s="47"/>
      <c r="MF167" s="47"/>
      <c r="MG167" s="47"/>
      <c r="MH167" s="47"/>
      <c r="MI167" s="47"/>
      <c r="MJ167" s="4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  <c r="NE167" s="47"/>
      <c r="NF167" s="47"/>
      <c r="NG167" s="47"/>
      <c r="NH167" s="47"/>
      <c r="NI167" s="47"/>
      <c r="NJ167" s="47"/>
      <c r="NK167" s="47"/>
      <c r="NL167" s="47"/>
      <c r="NM167" s="47"/>
      <c r="NN167" s="47"/>
      <c r="NO167" s="47"/>
      <c r="NP167" s="47"/>
      <c r="NQ167" s="47"/>
      <c r="NR167" s="47"/>
      <c r="NS167" s="47"/>
      <c r="NT167" s="47"/>
      <c r="NU167" s="47"/>
      <c r="NV167" s="47"/>
      <c r="NW167" s="47"/>
      <c r="NX167" s="47"/>
      <c r="NY167" s="47"/>
      <c r="NZ167" s="47"/>
      <c r="OA167" s="47"/>
      <c r="OB167" s="47"/>
      <c r="OC167" s="47"/>
      <c r="OD167" s="47"/>
      <c r="OE167" s="47"/>
      <c r="OF167" s="47"/>
      <c r="OG167" s="47"/>
      <c r="OH167" s="47"/>
      <c r="OI167" s="47"/>
      <c r="OJ167" s="47"/>
      <c r="OK167" s="47"/>
      <c r="OL167" s="47"/>
      <c r="OM167" s="47"/>
      <c r="ON167" s="47"/>
      <c r="OO167" s="47"/>
      <c r="OP167" s="47"/>
      <c r="OQ167" s="47"/>
      <c r="OR167" s="47"/>
      <c r="OS167" s="47"/>
      <c r="OT167" s="47"/>
      <c r="OU167" s="47"/>
      <c r="OV167" s="47"/>
      <c r="OW167" s="47"/>
      <c r="OX167" s="47"/>
      <c r="OY167" s="47"/>
      <c r="OZ167" s="47"/>
      <c r="PA167" s="47"/>
      <c r="PB167" s="47"/>
      <c r="PC167" s="47"/>
      <c r="PD167" s="47"/>
      <c r="PE167" s="47"/>
      <c r="PF167" s="47"/>
      <c r="PG167" s="47"/>
      <c r="PH167" s="47"/>
      <c r="PI167" s="47"/>
      <c r="PJ167" s="47"/>
      <c r="PK167" s="47"/>
      <c r="PL167" s="47"/>
      <c r="PM167" s="47"/>
      <c r="PN167" s="47"/>
      <c r="PO167" s="47"/>
      <c r="PP167" s="47"/>
      <c r="PQ167" s="47"/>
      <c r="PR167" s="47"/>
      <c r="PS167" s="47"/>
      <c r="PT167" s="47"/>
      <c r="PU167" s="47"/>
      <c r="PV167" s="47"/>
      <c r="PW167" s="47"/>
      <c r="PX167" s="47"/>
      <c r="PY167" s="47"/>
      <c r="PZ167" s="47"/>
      <c r="QA167" s="47"/>
      <c r="QB167" s="47"/>
      <c r="QC167" s="47"/>
      <c r="QD167" s="47"/>
      <c r="QE167" s="47"/>
      <c r="QF167" s="47"/>
      <c r="QG167" s="47"/>
      <c r="QH167" s="47"/>
      <c r="QI167" s="47"/>
      <c r="QJ167" s="47"/>
      <c r="QK167" s="47"/>
      <c r="QL167" s="47"/>
      <c r="QM167" s="47"/>
      <c r="QN167" s="47"/>
      <c r="QO167" s="47"/>
      <c r="QP167" s="47"/>
      <c r="QQ167" s="47"/>
      <c r="QR167" s="47"/>
      <c r="QS167" s="47"/>
      <c r="QT167" s="47"/>
      <c r="QU167" s="47"/>
      <c r="QV167" s="47"/>
      <c r="QW167" s="47"/>
      <c r="QX167" s="47"/>
      <c r="QY167" s="47"/>
      <c r="QZ167" s="47"/>
      <c r="RA167" s="47"/>
      <c r="RB167" s="47"/>
      <c r="RC167" s="47"/>
      <c r="RD167" s="47"/>
      <c r="RE167" s="47"/>
      <c r="RF167" s="47"/>
      <c r="RG167" s="47"/>
      <c r="RH167" s="47"/>
      <c r="RI167" s="47"/>
      <c r="RJ167" s="47"/>
      <c r="RK167" s="47"/>
      <c r="RL167" s="47"/>
      <c r="RM167" s="47"/>
      <c r="RN167" s="47"/>
      <c r="RO167" s="47"/>
      <c r="RP167" s="47"/>
      <c r="RQ167" s="47"/>
      <c r="RR167" s="47"/>
      <c r="RS167" s="47"/>
      <c r="RT167" s="47"/>
      <c r="RU167" s="47"/>
      <c r="RV167" s="47"/>
      <c r="RW167" s="47"/>
      <c r="RX167" s="47"/>
      <c r="RY167" s="47"/>
      <c r="RZ167" s="47"/>
      <c r="SA167" s="47"/>
      <c r="SB167" s="47"/>
      <c r="SC167" s="47"/>
      <c r="SD167" s="47"/>
      <c r="SE167" s="47"/>
      <c r="SF167" s="47"/>
      <c r="SG167" s="47"/>
      <c r="SH167" s="47"/>
      <c r="SI167" s="47"/>
      <c r="SJ167" s="47"/>
      <c r="SK167" s="47"/>
      <c r="SL167" s="47"/>
      <c r="SM167" s="47"/>
      <c r="SN167" s="47"/>
      <c r="SO167" s="47"/>
      <c r="SP167" s="47"/>
      <c r="SQ167" s="47"/>
      <c r="SR167" s="47"/>
      <c r="SS167" s="47"/>
      <c r="ST167" s="47"/>
      <c r="SU167" s="47"/>
      <c r="SV167" s="47"/>
      <c r="SW167" s="47"/>
      <c r="SX167" s="47"/>
      <c r="SY167" s="47"/>
      <c r="SZ167" s="47"/>
      <c r="TA167" s="47"/>
      <c r="TB167" s="47"/>
      <c r="TC167" s="47"/>
      <c r="TD167" s="47"/>
      <c r="TE167" s="47"/>
      <c r="TF167" s="47"/>
      <c r="TG167" s="47"/>
      <c r="TH167" s="47"/>
      <c r="TI167" s="47"/>
      <c r="TJ167" s="47"/>
      <c r="TK167" s="47"/>
      <c r="TL167" s="47"/>
      <c r="TM167" s="47"/>
      <c r="TN167" s="47"/>
      <c r="TO167" s="47"/>
      <c r="TP167" s="47"/>
      <c r="TQ167" s="47"/>
      <c r="TR167" s="47"/>
      <c r="TS167" s="47"/>
      <c r="TT167" s="47"/>
      <c r="TU167" s="47"/>
      <c r="TV167" s="47"/>
      <c r="TW167" s="47"/>
      <c r="TX167" s="47"/>
      <c r="TY167" s="47"/>
      <c r="TZ167" s="47"/>
      <c r="UA167" s="47"/>
      <c r="UB167" s="47"/>
      <c r="UC167" s="47"/>
      <c r="UD167" s="47"/>
      <c r="UE167" s="47"/>
      <c r="UF167" s="47"/>
      <c r="UG167" s="47"/>
      <c r="UH167" s="47"/>
      <c r="UI167" s="47"/>
      <c r="UJ167" s="47"/>
      <c r="UK167" s="47"/>
      <c r="UL167" s="47"/>
      <c r="UM167" s="47"/>
      <c r="UN167" s="47"/>
      <c r="UO167" s="47"/>
      <c r="UP167" s="47"/>
      <c r="UQ167" s="47"/>
      <c r="UR167" s="47"/>
      <c r="US167" s="47"/>
      <c r="UT167" s="47"/>
      <c r="UU167" s="47"/>
      <c r="UV167" s="47"/>
      <c r="UW167" s="47"/>
      <c r="UX167" s="47"/>
      <c r="UY167" s="47"/>
      <c r="UZ167" s="47"/>
      <c r="VA167" s="47"/>
      <c r="VB167" s="47"/>
      <c r="VC167" s="47"/>
      <c r="VD167" s="47"/>
      <c r="VE167" s="47"/>
      <c r="VF167" s="47"/>
    </row>
    <row r="168" spans="1:578" s="41" customFormat="1" ht="29.25" customHeight="1" x14ac:dyDescent="0.2">
      <c r="A168" s="39" t="s">
        <v>403</v>
      </c>
      <c r="B168" s="90" t="str">
        <f>'дод 3'!A114</f>
        <v>3191</v>
      </c>
      <c r="C168" s="90" t="str">
        <f>'дод 3'!B114</f>
        <v>1030</v>
      </c>
      <c r="D168" s="42" t="str">
        <f>'дод 3'!C114</f>
        <v>Інші видатки на соціальний захист ветеранів війни та праці</v>
      </c>
      <c r="E168" s="65">
        <v>2385619</v>
      </c>
      <c r="F168" s="65"/>
      <c r="G168" s="65"/>
      <c r="H168" s="65">
        <v>531955.79</v>
      </c>
      <c r="I168" s="65"/>
      <c r="J168" s="65"/>
      <c r="K168" s="130">
        <f t="shared" si="41"/>
        <v>22.298438686143935</v>
      </c>
      <c r="L168" s="65">
        <f t="shared" si="40"/>
        <v>0</v>
      </c>
      <c r="M168" s="65"/>
      <c r="N168" s="65"/>
      <c r="O168" s="65"/>
      <c r="P168" s="65"/>
      <c r="Q168" s="65"/>
      <c r="R168" s="65">
        <f t="shared" si="43"/>
        <v>0</v>
      </c>
      <c r="S168" s="65"/>
      <c r="T168" s="65"/>
      <c r="U168" s="65"/>
      <c r="V168" s="65"/>
      <c r="W168" s="65"/>
      <c r="X168" s="132"/>
      <c r="Y168" s="65">
        <f t="shared" si="42"/>
        <v>531955.79</v>
      </c>
      <c r="Z168" s="203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47"/>
      <c r="KC168" s="47"/>
      <c r="KD168" s="47"/>
      <c r="KE168" s="47"/>
      <c r="KF168" s="47"/>
      <c r="KG168" s="47"/>
      <c r="KH168" s="47"/>
      <c r="KI168" s="47"/>
      <c r="KJ168" s="47"/>
      <c r="KK168" s="47"/>
      <c r="KL168" s="47"/>
      <c r="KM168" s="47"/>
      <c r="KN168" s="47"/>
      <c r="KO168" s="47"/>
      <c r="KP168" s="47"/>
      <c r="KQ168" s="47"/>
      <c r="KR168" s="47"/>
      <c r="KS168" s="47"/>
      <c r="KT168" s="47"/>
      <c r="KU168" s="47"/>
      <c r="KV168" s="47"/>
      <c r="KW168" s="47"/>
      <c r="KX168" s="47"/>
      <c r="KY168" s="47"/>
      <c r="KZ168" s="47"/>
      <c r="LA168" s="47"/>
      <c r="LB168" s="47"/>
      <c r="LC168" s="47"/>
      <c r="LD168" s="47"/>
      <c r="LE168" s="47"/>
      <c r="LF168" s="47"/>
      <c r="LG168" s="47"/>
      <c r="LH168" s="47"/>
      <c r="LI168" s="47"/>
      <c r="LJ168" s="47"/>
      <c r="LK168" s="47"/>
      <c r="LL168" s="47"/>
      <c r="LM168" s="47"/>
      <c r="LN168" s="47"/>
      <c r="LO168" s="47"/>
      <c r="LP168" s="47"/>
      <c r="LQ168" s="47"/>
      <c r="LR168" s="47"/>
      <c r="LS168" s="47"/>
      <c r="LT168" s="47"/>
      <c r="LU168" s="47"/>
      <c r="LV168" s="47"/>
      <c r="LW168" s="47"/>
      <c r="LX168" s="47"/>
      <c r="LY168" s="47"/>
      <c r="LZ168" s="47"/>
      <c r="MA168" s="47"/>
      <c r="MB168" s="47"/>
      <c r="MC168" s="47"/>
      <c r="MD168" s="47"/>
      <c r="ME168" s="47"/>
      <c r="MF168" s="47"/>
      <c r="MG168" s="47"/>
      <c r="MH168" s="47"/>
      <c r="MI168" s="47"/>
      <c r="MJ168" s="4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  <c r="NE168" s="47"/>
      <c r="NF168" s="47"/>
      <c r="NG168" s="47"/>
      <c r="NH168" s="47"/>
      <c r="NI168" s="47"/>
      <c r="NJ168" s="47"/>
      <c r="NK168" s="47"/>
      <c r="NL168" s="47"/>
      <c r="NM168" s="47"/>
      <c r="NN168" s="47"/>
      <c r="NO168" s="47"/>
      <c r="NP168" s="47"/>
      <c r="NQ168" s="47"/>
      <c r="NR168" s="47"/>
      <c r="NS168" s="47"/>
      <c r="NT168" s="47"/>
      <c r="NU168" s="47"/>
      <c r="NV168" s="47"/>
      <c r="NW168" s="47"/>
      <c r="NX168" s="47"/>
      <c r="NY168" s="47"/>
      <c r="NZ168" s="47"/>
      <c r="OA168" s="47"/>
      <c r="OB168" s="47"/>
      <c r="OC168" s="47"/>
      <c r="OD168" s="47"/>
      <c r="OE168" s="47"/>
      <c r="OF168" s="47"/>
      <c r="OG168" s="47"/>
      <c r="OH168" s="47"/>
      <c r="OI168" s="47"/>
      <c r="OJ168" s="47"/>
      <c r="OK168" s="47"/>
      <c r="OL168" s="47"/>
      <c r="OM168" s="47"/>
      <c r="ON168" s="47"/>
      <c r="OO168" s="47"/>
      <c r="OP168" s="47"/>
      <c r="OQ168" s="47"/>
      <c r="OR168" s="47"/>
      <c r="OS168" s="47"/>
      <c r="OT168" s="47"/>
      <c r="OU168" s="47"/>
      <c r="OV168" s="47"/>
      <c r="OW168" s="47"/>
      <c r="OX168" s="47"/>
      <c r="OY168" s="47"/>
      <c r="OZ168" s="47"/>
      <c r="PA168" s="47"/>
      <c r="PB168" s="47"/>
      <c r="PC168" s="47"/>
      <c r="PD168" s="47"/>
      <c r="PE168" s="47"/>
      <c r="PF168" s="47"/>
      <c r="PG168" s="47"/>
      <c r="PH168" s="47"/>
      <c r="PI168" s="47"/>
      <c r="PJ168" s="47"/>
      <c r="PK168" s="47"/>
      <c r="PL168" s="47"/>
      <c r="PM168" s="47"/>
      <c r="PN168" s="47"/>
      <c r="PO168" s="47"/>
      <c r="PP168" s="47"/>
      <c r="PQ168" s="47"/>
      <c r="PR168" s="47"/>
      <c r="PS168" s="47"/>
      <c r="PT168" s="47"/>
      <c r="PU168" s="47"/>
      <c r="PV168" s="47"/>
      <c r="PW168" s="47"/>
      <c r="PX168" s="47"/>
      <c r="PY168" s="47"/>
      <c r="PZ168" s="47"/>
      <c r="QA168" s="47"/>
      <c r="QB168" s="47"/>
      <c r="QC168" s="47"/>
      <c r="QD168" s="47"/>
      <c r="QE168" s="47"/>
      <c r="QF168" s="47"/>
      <c r="QG168" s="47"/>
      <c r="QH168" s="47"/>
      <c r="QI168" s="47"/>
      <c r="QJ168" s="47"/>
      <c r="QK168" s="47"/>
      <c r="QL168" s="47"/>
      <c r="QM168" s="47"/>
      <c r="QN168" s="47"/>
      <c r="QO168" s="47"/>
      <c r="QP168" s="47"/>
      <c r="QQ168" s="47"/>
      <c r="QR168" s="47"/>
      <c r="QS168" s="47"/>
      <c r="QT168" s="47"/>
      <c r="QU168" s="47"/>
      <c r="QV168" s="47"/>
      <c r="QW168" s="47"/>
      <c r="QX168" s="47"/>
      <c r="QY168" s="47"/>
      <c r="QZ168" s="47"/>
      <c r="RA168" s="47"/>
      <c r="RB168" s="47"/>
      <c r="RC168" s="47"/>
      <c r="RD168" s="47"/>
      <c r="RE168" s="47"/>
      <c r="RF168" s="47"/>
      <c r="RG168" s="47"/>
      <c r="RH168" s="47"/>
      <c r="RI168" s="47"/>
      <c r="RJ168" s="47"/>
      <c r="RK168" s="47"/>
      <c r="RL168" s="47"/>
      <c r="RM168" s="47"/>
      <c r="RN168" s="47"/>
      <c r="RO168" s="47"/>
      <c r="RP168" s="47"/>
      <c r="RQ168" s="47"/>
      <c r="RR168" s="47"/>
      <c r="RS168" s="47"/>
      <c r="RT168" s="47"/>
      <c r="RU168" s="47"/>
      <c r="RV168" s="47"/>
      <c r="RW168" s="47"/>
      <c r="RX168" s="47"/>
      <c r="RY168" s="47"/>
      <c r="RZ168" s="47"/>
      <c r="SA168" s="47"/>
      <c r="SB168" s="47"/>
      <c r="SC168" s="47"/>
      <c r="SD168" s="47"/>
      <c r="SE168" s="47"/>
      <c r="SF168" s="47"/>
      <c r="SG168" s="47"/>
      <c r="SH168" s="47"/>
      <c r="SI168" s="47"/>
      <c r="SJ168" s="47"/>
      <c r="SK168" s="47"/>
      <c r="SL168" s="47"/>
      <c r="SM168" s="47"/>
      <c r="SN168" s="47"/>
      <c r="SO168" s="47"/>
      <c r="SP168" s="47"/>
      <c r="SQ168" s="47"/>
      <c r="SR168" s="47"/>
      <c r="SS168" s="47"/>
      <c r="ST168" s="47"/>
      <c r="SU168" s="47"/>
      <c r="SV168" s="47"/>
      <c r="SW168" s="47"/>
      <c r="SX168" s="47"/>
      <c r="SY168" s="47"/>
      <c r="SZ168" s="47"/>
      <c r="TA168" s="47"/>
      <c r="TB168" s="47"/>
      <c r="TC168" s="47"/>
      <c r="TD168" s="47"/>
      <c r="TE168" s="47"/>
      <c r="TF168" s="47"/>
      <c r="TG168" s="47"/>
      <c r="TH168" s="47"/>
      <c r="TI168" s="47"/>
      <c r="TJ168" s="47"/>
      <c r="TK168" s="47"/>
      <c r="TL168" s="47"/>
      <c r="TM168" s="47"/>
      <c r="TN168" s="47"/>
      <c r="TO168" s="47"/>
      <c r="TP168" s="47"/>
      <c r="TQ168" s="47"/>
      <c r="TR168" s="47"/>
      <c r="TS168" s="47"/>
      <c r="TT168" s="47"/>
      <c r="TU168" s="47"/>
      <c r="TV168" s="47"/>
      <c r="TW168" s="47"/>
      <c r="TX168" s="47"/>
      <c r="TY168" s="47"/>
      <c r="TZ168" s="47"/>
      <c r="UA168" s="47"/>
      <c r="UB168" s="47"/>
      <c r="UC168" s="47"/>
      <c r="UD168" s="47"/>
      <c r="UE168" s="47"/>
      <c r="UF168" s="47"/>
      <c r="UG168" s="47"/>
      <c r="UH168" s="47"/>
      <c r="UI168" s="47"/>
      <c r="UJ168" s="47"/>
      <c r="UK168" s="47"/>
      <c r="UL168" s="47"/>
      <c r="UM168" s="47"/>
      <c r="UN168" s="47"/>
      <c r="UO168" s="47"/>
      <c r="UP168" s="47"/>
      <c r="UQ168" s="47"/>
      <c r="UR168" s="47"/>
      <c r="US168" s="47"/>
      <c r="UT168" s="47"/>
      <c r="UU168" s="47"/>
      <c r="UV168" s="47"/>
      <c r="UW168" s="47"/>
      <c r="UX168" s="47"/>
      <c r="UY168" s="47"/>
      <c r="UZ168" s="47"/>
      <c r="VA168" s="47"/>
      <c r="VB168" s="47"/>
      <c r="VC168" s="47"/>
      <c r="VD168" s="47"/>
      <c r="VE168" s="47"/>
      <c r="VF168" s="47"/>
    </row>
    <row r="169" spans="1:578" s="41" customFormat="1" ht="45" x14ac:dyDescent="0.2">
      <c r="A169" s="39" t="s">
        <v>404</v>
      </c>
      <c r="B169" s="90" t="str">
        <f>'дод 3'!A115</f>
        <v>3192</v>
      </c>
      <c r="C169" s="90" t="str">
        <f>'дод 3'!B115</f>
        <v>1030</v>
      </c>
      <c r="D169" s="42" t="str">
        <f>'дод 3'!C115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65">
        <v>1385920</v>
      </c>
      <c r="F169" s="65"/>
      <c r="G169" s="65"/>
      <c r="H169" s="65">
        <v>268158.8</v>
      </c>
      <c r="I169" s="65"/>
      <c r="J169" s="65"/>
      <c r="K169" s="130">
        <f t="shared" si="41"/>
        <v>19.348793581159086</v>
      </c>
      <c r="L169" s="65">
        <f t="shared" si="40"/>
        <v>0</v>
      </c>
      <c r="M169" s="65"/>
      <c r="N169" s="65"/>
      <c r="O169" s="65"/>
      <c r="P169" s="65"/>
      <c r="Q169" s="65"/>
      <c r="R169" s="65">
        <f t="shared" si="43"/>
        <v>0</v>
      </c>
      <c r="S169" s="65"/>
      <c r="T169" s="65"/>
      <c r="U169" s="65"/>
      <c r="V169" s="65"/>
      <c r="W169" s="65"/>
      <c r="X169" s="132"/>
      <c r="Y169" s="65">
        <f t="shared" si="42"/>
        <v>268158.8</v>
      </c>
      <c r="Z169" s="203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  <c r="NE169" s="47"/>
      <c r="NF169" s="47"/>
      <c r="NG169" s="47"/>
      <c r="NH169" s="47"/>
      <c r="NI169" s="47"/>
      <c r="NJ169" s="47"/>
      <c r="NK169" s="47"/>
      <c r="NL169" s="47"/>
      <c r="NM169" s="47"/>
      <c r="NN169" s="47"/>
      <c r="NO169" s="47"/>
      <c r="NP169" s="47"/>
      <c r="NQ169" s="47"/>
      <c r="NR169" s="47"/>
      <c r="NS169" s="47"/>
      <c r="NT169" s="47"/>
      <c r="NU169" s="47"/>
      <c r="NV169" s="47"/>
      <c r="NW169" s="47"/>
      <c r="NX169" s="47"/>
      <c r="NY169" s="47"/>
      <c r="NZ169" s="47"/>
      <c r="OA169" s="47"/>
      <c r="OB169" s="47"/>
      <c r="OC169" s="47"/>
      <c r="OD169" s="47"/>
      <c r="OE169" s="47"/>
      <c r="OF169" s="47"/>
      <c r="OG169" s="47"/>
      <c r="OH169" s="47"/>
      <c r="OI169" s="47"/>
      <c r="OJ169" s="47"/>
      <c r="OK169" s="47"/>
      <c r="OL169" s="47"/>
      <c r="OM169" s="47"/>
      <c r="ON169" s="47"/>
      <c r="OO169" s="47"/>
      <c r="OP169" s="47"/>
      <c r="OQ169" s="47"/>
      <c r="OR169" s="47"/>
      <c r="OS169" s="47"/>
      <c r="OT169" s="47"/>
      <c r="OU169" s="47"/>
      <c r="OV169" s="47"/>
      <c r="OW169" s="47"/>
      <c r="OX169" s="47"/>
      <c r="OY169" s="47"/>
      <c r="OZ169" s="47"/>
      <c r="PA169" s="47"/>
      <c r="PB169" s="47"/>
      <c r="PC169" s="47"/>
      <c r="PD169" s="47"/>
      <c r="PE169" s="47"/>
      <c r="PF169" s="47"/>
      <c r="PG169" s="47"/>
      <c r="PH169" s="47"/>
      <c r="PI169" s="47"/>
      <c r="PJ169" s="47"/>
      <c r="PK169" s="47"/>
      <c r="PL169" s="47"/>
      <c r="PM169" s="47"/>
      <c r="PN169" s="47"/>
      <c r="PO169" s="47"/>
      <c r="PP169" s="47"/>
      <c r="PQ169" s="47"/>
      <c r="PR169" s="47"/>
      <c r="PS169" s="47"/>
      <c r="PT169" s="47"/>
      <c r="PU169" s="47"/>
      <c r="PV169" s="47"/>
      <c r="PW169" s="47"/>
      <c r="PX169" s="47"/>
      <c r="PY169" s="47"/>
      <c r="PZ169" s="47"/>
      <c r="QA169" s="47"/>
      <c r="QB169" s="47"/>
      <c r="QC169" s="47"/>
      <c r="QD169" s="47"/>
      <c r="QE169" s="47"/>
      <c r="QF169" s="47"/>
      <c r="QG169" s="47"/>
      <c r="QH169" s="47"/>
      <c r="QI169" s="47"/>
      <c r="QJ169" s="47"/>
      <c r="QK169" s="47"/>
      <c r="QL169" s="47"/>
      <c r="QM169" s="47"/>
      <c r="QN169" s="47"/>
      <c r="QO169" s="47"/>
      <c r="QP169" s="47"/>
      <c r="QQ169" s="47"/>
      <c r="QR169" s="47"/>
      <c r="QS169" s="47"/>
      <c r="QT169" s="47"/>
      <c r="QU169" s="47"/>
      <c r="QV169" s="47"/>
      <c r="QW169" s="47"/>
      <c r="QX169" s="47"/>
      <c r="QY169" s="47"/>
      <c r="QZ169" s="47"/>
      <c r="RA169" s="47"/>
      <c r="RB169" s="47"/>
      <c r="RC169" s="47"/>
      <c r="RD169" s="47"/>
      <c r="RE169" s="47"/>
      <c r="RF169" s="47"/>
      <c r="RG169" s="47"/>
      <c r="RH169" s="47"/>
      <c r="RI169" s="47"/>
      <c r="RJ169" s="47"/>
      <c r="RK169" s="47"/>
      <c r="RL169" s="47"/>
      <c r="RM169" s="47"/>
      <c r="RN169" s="47"/>
      <c r="RO169" s="47"/>
      <c r="RP169" s="47"/>
      <c r="RQ169" s="47"/>
      <c r="RR169" s="47"/>
      <c r="RS169" s="47"/>
      <c r="RT169" s="47"/>
      <c r="RU169" s="47"/>
      <c r="RV169" s="47"/>
      <c r="RW169" s="47"/>
      <c r="RX169" s="47"/>
      <c r="RY169" s="47"/>
      <c r="RZ169" s="47"/>
      <c r="SA169" s="47"/>
      <c r="SB169" s="47"/>
      <c r="SC169" s="47"/>
      <c r="SD169" s="47"/>
      <c r="SE169" s="47"/>
      <c r="SF169" s="47"/>
      <c r="SG169" s="47"/>
      <c r="SH169" s="47"/>
      <c r="SI169" s="47"/>
      <c r="SJ169" s="47"/>
      <c r="SK169" s="47"/>
      <c r="SL169" s="47"/>
      <c r="SM169" s="47"/>
      <c r="SN169" s="47"/>
      <c r="SO169" s="47"/>
      <c r="SP169" s="47"/>
      <c r="SQ169" s="47"/>
      <c r="SR169" s="47"/>
      <c r="SS169" s="47"/>
      <c r="ST169" s="47"/>
      <c r="SU169" s="47"/>
      <c r="SV169" s="47"/>
      <c r="SW169" s="47"/>
      <c r="SX169" s="47"/>
      <c r="SY169" s="47"/>
      <c r="SZ169" s="47"/>
      <c r="TA169" s="47"/>
      <c r="TB169" s="47"/>
      <c r="TC169" s="47"/>
      <c r="TD169" s="47"/>
      <c r="TE169" s="47"/>
      <c r="TF169" s="47"/>
      <c r="TG169" s="47"/>
      <c r="TH169" s="47"/>
      <c r="TI169" s="47"/>
      <c r="TJ169" s="47"/>
      <c r="TK169" s="47"/>
      <c r="TL169" s="47"/>
      <c r="TM169" s="47"/>
      <c r="TN169" s="47"/>
      <c r="TO169" s="47"/>
      <c r="TP169" s="47"/>
      <c r="TQ169" s="47"/>
      <c r="TR169" s="47"/>
      <c r="TS169" s="47"/>
      <c r="TT169" s="47"/>
      <c r="TU169" s="47"/>
      <c r="TV169" s="47"/>
      <c r="TW169" s="47"/>
      <c r="TX169" s="47"/>
      <c r="TY169" s="47"/>
      <c r="TZ169" s="47"/>
      <c r="UA169" s="47"/>
      <c r="UB169" s="47"/>
      <c r="UC169" s="47"/>
      <c r="UD169" s="47"/>
      <c r="UE169" s="47"/>
      <c r="UF169" s="47"/>
      <c r="UG169" s="47"/>
      <c r="UH169" s="47"/>
      <c r="UI169" s="47"/>
      <c r="UJ169" s="47"/>
      <c r="UK169" s="47"/>
      <c r="UL169" s="47"/>
      <c r="UM169" s="47"/>
      <c r="UN169" s="47"/>
      <c r="UO169" s="47"/>
      <c r="UP169" s="47"/>
      <c r="UQ169" s="47"/>
      <c r="UR169" s="47"/>
      <c r="US169" s="47"/>
      <c r="UT169" s="47"/>
      <c r="UU169" s="47"/>
      <c r="UV169" s="47"/>
      <c r="UW169" s="47"/>
      <c r="UX169" s="47"/>
      <c r="UY169" s="47"/>
      <c r="UZ169" s="47"/>
      <c r="VA169" s="47"/>
      <c r="VB169" s="47"/>
      <c r="VC169" s="47"/>
      <c r="VD169" s="47"/>
      <c r="VE169" s="47"/>
      <c r="VF169" s="47"/>
    </row>
    <row r="170" spans="1:578" s="41" customFormat="1" ht="41.25" customHeight="1" x14ac:dyDescent="0.2">
      <c r="A170" s="39" t="s">
        <v>252</v>
      </c>
      <c r="B170" s="90" t="str">
        <f>'дод 3'!A116</f>
        <v>3200</v>
      </c>
      <c r="C170" s="90" t="str">
        <f>'дод 3'!B116</f>
        <v>1090</v>
      </c>
      <c r="D170" s="42" t="str">
        <f>'дод 3'!C116</f>
        <v xml:space="preserve">Забезпечення обробки інформації з нарахування та виплати допомог і компенсацій </v>
      </c>
      <c r="E170" s="65">
        <v>81525</v>
      </c>
      <c r="F170" s="65"/>
      <c r="G170" s="65"/>
      <c r="H170" s="65">
        <v>10000</v>
      </c>
      <c r="I170" s="65"/>
      <c r="J170" s="65"/>
      <c r="K170" s="130">
        <f t="shared" si="41"/>
        <v>12.266176019625881</v>
      </c>
      <c r="L170" s="65">
        <f t="shared" si="40"/>
        <v>0</v>
      </c>
      <c r="M170" s="65"/>
      <c r="N170" s="65"/>
      <c r="O170" s="65"/>
      <c r="P170" s="65"/>
      <c r="Q170" s="65"/>
      <c r="R170" s="65">
        <f t="shared" si="43"/>
        <v>0</v>
      </c>
      <c r="S170" s="65"/>
      <c r="T170" s="65"/>
      <c r="U170" s="65"/>
      <c r="V170" s="65"/>
      <c r="W170" s="65"/>
      <c r="X170" s="132"/>
      <c r="Y170" s="65">
        <f t="shared" si="42"/>
        <v>10000</v>
      </c>
      <c r="Z170" s="203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47"/>
      <c r="KC170" s="47"/>
      <c r="KD170" s="47"/>
      <c r="KE170" s="47"/>
      <c r="KF170" s="47"/>
      <c r="KG170" s="47"/>
      <c r="KH170" s="47"/>
      <c r="KI170" s="47"/>
      <c r="KJ170" s="47"/>
      <c r="KK170" s="47"/>
      <c r="KL170" s="47"/>
      <c r="KM170" s="47"/>
      <c r="KN170" s="47"/>
      <c r="KO170" s="47"/>
      <c r="KP170" s="47"/>
      <c r="KQ170" s="47"/>
      <c r="KR170" s="47"/>
      <c r="KS170" s="47"/>
      <c r="KT170" s="47"/>
      <c r="KU170" s="47"/>
      <c r="KV170" s="47"/>
      <c r="KW170" s="47"/>
      <c r="KX170" s="47"/>
      <c r="KY170" s="47"/>
      <c r="KZ170" s="47"/>
      <c r="LA170" s="47"/>
      <c r="LB170" s="47"/>
      <c r="LC170" s="47"/>
      <c r="LD170" s="47"/>
      <c r="LE170" s="47"/>
      <c r="LF170" s="47"/>
      <c r="LG170" s="47"/>
      <c r="LH170" s="47"/>
      <c r="LI170" s="47"/>
      <c r="LJ170" s="47"/>
      <c r="LK170" s="47"/>
      <c r="LL170" s="47"/>
      <c r="LM170" s="47"/>
      <c r="LN170" s="47"/>
      <c r="LO170" s="47"/>
      <c r="LP170" s="47"/>
      <c r="LQ170" s="47"/>
      <c r="LR170" s="47"/>
      <c r="LS170" s="47"/>
      <c r="LT170" s="47"/>
      <c r="LU170" s="47"/>
      <c r="LV170" s="47"/>
      <c r="LW170" s="47"/>
      <c r="LX170" s="47"/>
      <c r="LY170" s="47"/>
      <c r="LZ170" s="47"/>
      <c r="MA170" s="47"/>
      <c r="MB170" s="47"/>
      <c r="MC170" s="47"/>
      <c r="MD170" s="47"/>
      <c r="ME170" s="47"/>
      <c r="MF170" s="47"/>
      <c r="MG170" s="47"/>
      <c r="MH170" s="47"/>
      <c r="MI170" s="47"/>
      <c r="MJ170" s="4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  <c r="NE170" s="47"/>
      <c r="NF170" s="47"/>
      <c r="NG170" s="47"/>
      <c r="NH170" s="47"/>
      <c r="NI170" s="47"/>
      <c r="NJ170" s="47"/>
      <c r="NK170" s="47"/>
      <c r="NL170" s="47"/>
      <c r="NM170" s="47"/>
      <c r="NN170" s="47"/>
      <c r="NO170" s="47"/>
      <c r="NP170" s="47"/>
      <c r="NQ170" s="47"/>
      <c r="NR170" s="47"/>
      <c r="NS170" s="47"/>
      <c r="NT170" s="47"/>
      <c r="NU170" s="47"/>
      <c r="NV170" s="47"/>
      <c r="NW170" s="47"/>
      <c r="NX170" s="47"/>
      <c r="NY170" s="47"/>
      <c r="NZ170" s="47"/>
      <c r="OA170" s="47"/>
      <c r="OB170" s="47"/>
      <c r="OC170" s="47"/>
      <c r="OD170" s="47"/>
      <c r="OE170" s="47"/>
      <c r="OF170" s="47"/>
      <c r="OG170" s="47"/>
      <c r="OH170" s="47"/>
      <c r="OI170" s="47"/>
      <c r="OJ170" s="47"/>
      <c r="OK170" s="47"/>
      <c r="OL170" s="47"/>
      <c r="OM170" s="47"/>
      <c r="ON170" s="47"/>
      <c r="OO170" s="47"/>
      <c r="OP170" s="47"/>
      <c r="OQ170" s="47"/>
      <c r="OR170" s="47"/>
      <c r="OS170" s="47"/>
      <c r="OT170" s="47"/>
      <c r="OU170" s="47"/>
      <c r="OV170" s="47"/>
      <c r="OW170" s="47"/>
      <c r="OX170" s="47"/>
      <c r="OY170" s="47"/>
      <c r="OZ170" s="47"/>
      <c r="PA170" s="47"/>
      <c r="PB170" s="47"/>
      <c r="PC170" s="47"/>
      <c r="PD170" s="47"/>
      <c r="PE170" s="47"/>
      <c r="PF170" s="47"/>
      <c r="PG170" s="47"/>
      <c r="PH170" s="47"/>
      <c r="PI170" s="47"/>
      <c r="PJ170" s="47"/>
      <c r="PK170" s="47"/>
      <c r="PL170" s="47"/>
      <c r="PM170" s="47"/>
      <c r="PN170" s="47"/>
      <c r="PO170" s="47"/>
      <c r="PP170" s="47"/>
      <c r="PQ170" s="47"/>
      <c r="PR170" s="47"/>
      <c r="PS170" s="47"/>
      <c r="PT170" s="47"/>
      <c r="PU170" s="47"/>
      <c r="PV170" s="47"/>
      <c r="PW170" s="47"/>
      <c r="PX170" s="47"/>
      <c r="PY170" s="47"/>
      <c r="PZ170" s="47"/>
      <c r="QA170" s="47"/>
      <c r="QB170" s="47"/>
      <c r="QC170" s="47"/>
      <c r="QD170" s="47"/>
      <c r="QE170" s="47"/>
      <c r="QF170" s="47"/>
      <c r="QG170" s="47"/>
      <c r="QH170" s="47"/>
      <c r="QI170" s="47"/>
      <c r="QJ170" s="47"/>
      <c r="QK170" s="47"/>
      <c r="QL170" s="47"/>
      <c r="QM170" s="47"/>
      <c r="QN170" s="47"/>
      <c r="QO170" s="47"/>
      <c r="QP170" s="47"/>
      <c r="QQ170" s="47"/>
      <c r="QR170" s="47"/>
      <c r="QS170" s="47"/>
      <c r="QT170" s="47"/>
      <c r="QU170" s="47"/>
      <c r="QV170" s="47"/>
      <c r="QW170" s="47"/>
      <c r="QX170" s="47"/>
      <c r="QY170" s="47"/>
      <c r="QZ170" s="47"/>
      <c r="RA170" s="47"/>
      <c r="RB170" s="47"/>
      <c r="RC170" s="47"/>
      <c r="RD170" s="47"/>
      <c r="RE170" s="47"/>
      <c r="RF170" s="47"/>
      <c r="RG170" s="47"/>
      <c r="RH170" s="47"/>
      <c r="RI170" s="47"/>
      <c r="RJ170" s="47"/>
      <c r="RK170" s="47"/>
      <c r="RL170" s="47"/>
      <c r="RM170" s="47"/>
      <c r="RN170" s="47"/>
      <c r="RO170" s="47"/>
      <c r="RP170" s="47"/>
      <c r="RQ170" s="47"/>
      <c r="RR170" s="47"/>
      <c r="RS170" s="47"/>
      <c r="RT170" s="47"/>
      <c r="RU170" s="47"/>
      <c r="RV170" s="47"/>
      <c r="RW170" s="47"/>
      <c r="RX170" s="47"/>
      <c r="RY170" s="47"/>
      <c r="RZ170" s="47"/>
      <c r="SA170" s="47"/>
      <c r="SB170" s="47"/>
      <c r="SC170" s="47"/>
      <c r="SD170" s="47"/>
      <c r="SE170" s="47"/>
      <c r="SF170" s="47"/>
      <c r="SG170" s="47"/>
      <c r="SH170" s="47"/>
      <c r="SI170" s="47"/>
      <c r="SJ170" s="47"/>
      <c r="SK170" s="47"/>
      <c r="SL170" s="47"/>
      <c r="SM170" s="47"/>
      <c r="SN170" s="47"/>
      <c r="SO170" s="47"/>
      <c r="SP170" s="47"/>
      <c r="SQ170" s="47"/>
      <c r="SR170" s="47"/>
      <c r="SS170" s="47"/>
      <c r="ST170" s="47"/>
      <c r="SU170" s="47"/>
      <c r="SV170" s="47"/>
      <c r="SW170" s="47"/>
      <c r="SX170" s="47"/>
      <c r="SY170" s="47"/>
      <c r="SZ170" s="47"/>
      <c r="TA170" s="47"/>
      <c r="TB170" s="47"/>
      <c r="TC170" s="47"/>
      <c r="TD170" s="47"/>
      <c r="TE170" s="47"/>
      <c r="TF170" s="47"/>
      <c r="TG170" s="47"/>
      <c r="TH170" s="47"/>
      <c r="TI170" s="47"/>
      <c r="TJ170" s="47"/>
      <c r="TK170" s="47"/>
      <c r="TL170" s="47"/>
      <c r="TM170" s="47"/>
      <c r="TN170" s="47"/>
      <c r="TO170" s="47"/>
      <c r="TP170" s="47"/>
      <c r="TQ170" s="47"/>
      <c r="TR170" s="47"/>
      <c r="TS170" s="47"/>
      <c r="TT170" s="47"/>
      <c r="TU170" s="47"/>
      <c r="TV170" s="47"/>
      <c r="TW170" s="47"/>
      <c r="TX170" s="47"/>
      <c r="TY170" s="47"/>
      <c r="TZ170" s="47"/>
      <c r="UA170" s="47"/>
      <c r="UB170" s="47"/>
      <c r="UC170" s="47"/>
      <c r="UD170" s="47"/>
      <c r="UE170" s="47"/>
      <c r="UF170" s="47"/>
      <c r="UG170" s="47"/>
      <c r="UH170" s="47"/>
      <c r="UI170" s="47"/>
      <c r="UJ170" s="47"/>
      <c r="UK170" s="47"/>
      <c r="UL170" s="47"/>
      <c r="UM170" s="47"/>
      <c r="UN170" s="47"/>
      <c r="UO170" s="47"/>
      <c r="UP170" s="47"/>
      <c r="UQ170" s="47"/>
      <c r="UR170" s="47"/>
      <c r="US170" s="47"/>
      <c r="UT170" s="47"/>
      <c r="UU170" s="47"/>
      <c r="UV170" s="47"/>
      <c r="UW170" s="47"/>
      <c r="UX170" s="47"/>
      <c r="UY170" s="47"/>
      <c r="UZ170" s="47"/>
      <c r="VA170" s="47"/>
      <c r="VB170" s="47"/>
      <c r="VC170" s="47"/>
      <c r="VD170" s="47"/>
      <c r="VE170" s="47"/>
      <c r="VF170" s="47"/>
    </row>
    <row r="171" spans="1:578" s="41" customFormat="1" ht="19.5" customHeight="1" x14ac:dyDescent="0.2">
      <c r="A171" s="43" t="s">
        <v>405</v>
      </c>
      <c r="B171" s="95" t="str">
        <f>'дод 3'!A117</f>
        <v>3210</v>
      </c>
      <c r="C171" s="95" t="str">
        <f>'дод 3'!B117</f>
        <v>1050</v>
      </c>
      <c r="D171" s="40" t="str">
        <f>'дод 3'!C117</f>
        <v>Організація та проведення громадських робіт</v>
      </c>
      <c r="E171" s="65">
        <v>300000</v>
      </c>
      <c r="F171" s="65">
        <v>245900</v>
      </c>
      <c r="G171" s="65"/>
      <c r="H171" s="65">
        <v>78686.42</v>
      </c>
      <c r="I171" s="65">
        <v>65206.73</v>
      </c>
      <c r="J171" s="65"/>
      <c r="K171" s="130">
        <f t="shared" si="41"/>
        <v>26.228806666666664</v>
      </c>
      <c r="L171" s="65">
        <f t="shared" si="40"/>
        <v>0</v>
      </c>
      <c r="M171" s="65"/>
      <c r="N171" s="65"/>
      <c r="O171" s="65"/>
      <c r="P171" s="65"/>
      <c r="Q171" s="65"/>
      <c r="R171" s="65">
        <f t="shared" si="43"/>
        <v>0</v>
      </c>
      <c r="S171" s="65"/>
      <c r="T171" s="65"/>
      <c r="U171" s="65"/>
      <c r="V171" s="65"/>
      <c r="W171" s="65"/>
      <c r="X171" s="132"/>
      <c r="Y171" s="65">
        <f t="shared" si="42"/>
        <v>78686.42</v>
      </c>
      <c r="Z171" s="203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47"/>
      <c r="KC171" s="47"/>
      <c r="KD171" s="47"/>
      <c r="KE171" s="47"/>
      <c r="KF171" s="47"/>
      <c r="KG171" s="47"/>
      <c r="KH171" s="47"/>
      <c r="KI171" s="47"/>
      <c r="KJ171" s="47"/>
      <c r="KK171" s="47"/>
      <c r="KL171" s="47"/>
      <c r="KM171" s="47"/>
      <c r="KN171" s="47"/>
      <c r="KO171" s="47"/>
      <c r="KP171" s="47"/>
      <c r="KQ171" s="47"/>
      <c r="KR171" s="47"/>
      <c r="KS171" s="47"/>
      <c r="KT171" s="47"/>
      <c r="KU171" s="47"/>
      <c r="KV171" s="47"/>
      <c r="KW171" s="47"/>
      <c r="KX171" s="47"/>
      <c r="KY171" s="47"/>
      <c r="KZ171" s="47"/>
      <c r="LA171" s="47"/>
      <c r="LB171" s="47"/>
      <c r="LC171" s="47"/>
      <c r="LD171" s="47"/>
      <c r="LE171" s="47"/>
      <c r="LF171" s="47"/>
      <c r="LG171" s="47"/>
      <c r="LH171" s="47"/>
      <c r="LI171" s="47"/>
      <c r="LJ171" s="47"/>
      <c r="LK171" s="47"/>
      <c r="LL171" s="47"/>
      <c r="LM171" s="47"/>
      <c r="LN171" s="47"/>
      <c r="LO171" s="47"/>
      <c r="LP171" s="47"/>
      <c r="LQ171" s="47"/>
      <c r="LR171" s="47"/>
      <c r="LS171" s="47"/>
      <c r="LT171" s="47"/>
      <c r="LU171" s="47"/>
      <c r="LV171" s="47"/>
      <c r="LW171" s="47"/>
      <c r="LX171" s="47"/>
      <c r="LY171" s="47"/>
      <c r="LZ171" s="47"/>
      <c r="MA171" s="47"/>
      <c r="MB171" s="47"/>
      <c r="MC171" s="47"/>
      <c r="MD171" s="47"/>
      <c r="ME171" s="47"/>
      <c r="MF171" s="47"/>
      <c r="MG171" s="47"/>
      <c r="MH171" s="47"/>
      <c r="MI171" s="47"/>
      <c r="MJ171" s="4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  <c r="NE171" s="47"/>
      <c r="NF171" s="47"/>
      <c r="NG171" s="47"/>
      <c r="NH171" s="47"/>
      <c r="NI171" s="47"/>
      <c r="NJ171" s="47"/>
      <c r="NK171" s="47"/>
      <c r="NL171" s="47"/>
      <c r="NM171" s="47"/>
      <c r="NN171" s="47"/>
      <c r="NO171" s="47"/>
      <c r="NP171" s="47"/>
      <c r="NQ171" s="47"/>
      <c r="NR171" s="47"/>
      <c r="NS171" s="47"/>
      <c r="NT171" s="47"/>
      <c r="NU171" s="47"/>
      <c r="NV171" s="47"/>
      <c r="NW171" s="47"/>
      <c r="NX171" s="47"/>
      <c r="NY171" s="47"/>
      <c r="NZ171" s="47"/>
      <c r="OA171" s="47"/>
      <c r="OB171" s="47"/>
      <c r="OC171" s="47"/>
      <c r="OD171" s="47"/>
      <c r="OE171" s="47"/>
      <c r="OF171" s="47"/>
      <c r="OG171" s="47"/>
      <c r="OH171" s="47"/>
      <c r="OI171" s="47"/>
      <c r="OJ171" s="47"/>
      <c r="OK171" s="47"/>
      <c r="OL171" s="47"/>
      <c r="OM171" s="47"/>
      <c r="ON171" s="47"/>
      <c r="OO171" s="47"/>
      <c r="OP171" s="47"/>
      <c r="OQ171" s="47"/>
      <c r="OR171" s="47"/>
      <c r="OS171" s="47"/>
      <c r="OT171" s="47"/>
      <c r="OU171" s="47"/>
      <c r="OV171" s="47"/>
      <c r="OW171" s="47"/>
      <c r="OX171" s="47"/>
      <c r="OY171" s="47"/>
      <c r="OZ171" s="47"/>
      <c r="PA171" s="47"/>
      <c r="PB171" s="47"/>
      <c r="PC171" s="47"/>
      <c r="PD171" s="47"/>
      <c r="PE171" s="47"/>
      <c r="PF171" s="47"/>
      <c r="PG171" s="47"/>
      <c r="PH171" s="47"/>
      <c r="PI171" s="47"/>
      <c r="PJ171" s="47"/>
      <c r="PK171" s="47"/>
      <c r="PL171" s="47"/>
      <c r="PM171" s="47"/>
      <c r="PN171" s="47"/>
      <c r="PO171" s="47"/>
      <c r="PP171" s="47"/>
      <c r="PQ171" s="47"/>
      <c r="PR171" s="47"/>
      <c r="PS171" s="47"/>
      <c r="PT171" s="47"/>
      <c r="PU171" s="47"/>
      <c r="PV171" s="47"/>
      <c r="PW171" s="47"/>
      <c r="PX171" s="47"/>
      <c r="PY171" s="47"/>
      <c r="PZ171" s="47"/>
      <c r="QA171" s="47"/>
      <c r="QB171" s="47"/>
      <c r="QC171" s="47"/>
      <c r="QD171" s="47"/>
      <c r="QE171" s="47"/>
      <c r="QF171" s="47"/>
      <c r="QG171" s="47"/>
      <c r="QH171" s="47"/>
      <c r="QI171" s="47"/>
      <c r="QJ171" s="47"/>
      <c r="QK171" s="47"/>
      <c r="QL171" s="47"/>
      <c r="QM171" s="47"/>
      <c r="QN171" s="47"/>
      <c r="QO171" s="47"/>
      <c r="QP171" s="47"/>
      <c r="QQ171" s="47"/>
      <c r="QR171" s="47"/>
      <c r="QS171" s="47"/>
      <c r="QT171" s="47"/>
      <c r="QU171" s="47"/>
      <c r="QV171" s="47"/>
      <c r="QW171" s="47"/>
      <c r="QX171" s="47"/>
      <c r="QY171" s="47"/>
      <c r="QZ171" s="47"/>
      <c r="RA171" s="47"/>
      <c r="RB171" s="47"/>
      <c r="RC171" s="47"/>
      <c r="RD171" s="47"/>
      <c r="RE171" s="47"/>
      <c r="RF171" s="47"/>
      <c r="RG171" s="47"/>
      <c r="RH171" s="47"/>
      <c r="RI171" s="47"/>
      <c r="RJ171" s="47"/>
      <c r="RK171" s="47"/>
      <c r="RL171" s="47"/>
      <c r="RM171" s="47"/>
      <c r="RN171" s="47"/>
      <c r="RO171" s="47"/>
      <c r="RP171" s="47"/>
      <c r="RQ171" s="47"/>
      <c r="RR171" s="47"/>
      <c r="RS171" s="47"/>
      <c r="RT171" s="47"/>
      <c r="RU171" s="47"/>
      <c r="RV171" s="47"/>
      <c r="RW171" s="47"/>
      <c r="RX171" s="47"/>
      <c r="RY171" s="47"/>
      <c r="RZ171" s="47"/>
      <c r="SA171" s="47"/>
      <c r="SB171" s="47"/>
      <c r="SC171" s="47"/>
      <c r="SD171" s="47"/>
      <c r="SE171" s="47"/>
      <c r="SF171" s="47"/>
      <c r="SG171" s="47"/>
      <c r="SH171" s="47"/>
      <c r="SI171" s="47"/>
      <c r="SJ171" s="47"/>
      <c r="SK171" s="47"/>
      <c r="SL171" s="47"/>
      <c r="SM171" s="47"/>
      <c r="SN171" s="47"/>
      <c r="SO171" s="47"/>
      <c r="SP171" s="47"/>
      <c r="SQ171" s="47"/>
      <c r="SR171" s="47"/>
      <c r="SS171" s="47"/>
      <c r="ST171" s="47"/>
      <c r="SU171" s="47"/>
      <c r="SV171" s="47"/>
      <c r="SW171" s="47"/>
      <c r="SX171" s="47"/>
      <c r="SY171" s="47"/>
      <c r="SZ171" s="47"/>
      <c r="TA171" s="47"/>
      <c r="TB171" s="47"/>
      <c r="TC171" s="47"/>
      <c r="TD171" s="47"/>
      <c r="TE171" s="47"/>
      <c r="TF171" s="47"/>
      <c r="TG171" s="47"/>
      <c r="TH171" s="47"/>
      <c r="TI171" s="47"/>
      <c r="TJ171" s="47"/>
      <c r="TK171" s="47"/>
      <c r="TL171" s="47"/>
      <c r="TM171" s="47"/>
      <c r="TN171" s="47"/>
      <c r="TO171" s="47"/>
      <c r="TP171" s="47"/>
      <c r="TQ171" s="47"/>
      <c r="TR171" s="47"/>
      <c r="TS171" s="47"/>
      <c r="TT171" s="47"/>
      <c r="TU171" s="47"/>
      <c r="TV171" s="47"/>
      <c r="TW171" s="47"/>
      <c r="TX171" s="47"/>
      <c r="TY171" s="47"/>
      <c r="TZ171" s="47"/>
      <c r="UA171" s="47"/>
      <c r="UB171" s="47"/>
      <c r="UC171" s="47"/>
      <c r="UD171" s="47"/>
      <c r="UE171" s="47"/>
      <c r="UF171" s="47"/>
      <c r="UG171" s="47"/>
      <c r="UH171" s="47"/>
      <c r="UI171" s="47"/>
      <c r="UJ171" s="47"/>
      <c r="UK171" s="47"/>
      <c r="UL171" s="47"/>
      <c r="UM171" s="47"/>
      <c r="UN171" s="47"/>
      <c r="UO171" s="47"/>
      <c r="UP171" s="47"/>
      <c r="UQ171" s="47"/>
      <c r="UR171" s="47"/>
      <c r="US171" s="47"/>
      <c r="UT171" s="47"/>
      <c r="UU171" s="47"/>
      <c r="UV171" s="47"/>
      <c r="UW171" s="47"/>
      <c r="UX171" s="47"/>
      <c r="UY171" s="47"/>
      <c r="UZ171" s="47"/>
      <c r="VA171" s="47"/>
      <c r="VB171" s="47"/>
      <c r="VC171" s="47"/>
      <c r="VD171" s="47"/>
      <c r="VE171" s="47"/>
      <c r="VF171" s="47"/>
    </row>
    <row r="172" spans="1:578" s="41" customFormat="1" ht="195" hidden="1" customHeight="1" x14ac:dyDescent="0.2">
      <c r="A172" s="43" t="s">
        <v>539</v>
      </c>
      <c r="B172" s="95" t="s">
        <v>537</v>
      </c>
      <c r="C172" s="95" t="s">
        <v>78</v>
      </c>
      <c r="D172" s="48" t="s">
        <v>538</v>
      </c>
      <c r="E172" s="65">
        <v>0</v>
      </c>
      <c r="F172" s="65"/>
      <c r="G172" s="65"/>
      <c r="H172" s="65"/>
      <c r="I172" s="65"/>
      <c r="J172" s="65"/>
      <c r="K172" s="130" t="e">
        <f t="shared" si="41"/>
        <v>#DIV/0!</v>
      </c>
      <c r="L172" s="65">
        <f t="shared" si="40"/>
        <v>0</v>
      </c>
      <c r="M172" s="65"/>
      <c r="N172" s="65"/>
      <c r="O172" s="65"/>
      <c r="P172" s="65"/>
      <c r="Q172" s="65"/>
      <c r="R172" s="65">
        <f t="shared" si="43"/>
        <v>0</v>
      </c>
      <c r="S172" s="65"/>
      <c r="T172" s="65"/>
      <c r="U172" s="65"/>
      <c r="V172" s="65"/>
      <c r="W172" s="65"/>
      <c r="X172" s="132" t="e">
        <f t="shared" si="44"/>
        <v>#DIV/0!</v>
      </c>
      <c r="Y172" s="65">
        <f t="shared" si="42"/>
        <v>0</v>
      </c>
      <c r="Z172" s="203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47"/>
      <c r="KC172" s="47"/>
      <c r="KD172" s="47"/>
      <c r="KE172" s="47"/>
      <c r="KF172" s="47"/>
      <c r="KG172" s="47"/>
      <c r="KH172" s="47"/>
      <c r="KI172" s="47"/>
      <c r="KJ172" s="47"/>
      <c r="KK172" s="47"/>
      <c r="KL172" s="47"/>
      <c r="KM172" s="47"/>
      <c r="KN172" s="47"/>
      <c r="KO172" s="47"/>
      <c r="KP172" s="47"/>
      <c r="KQ172" s="47"/>
      <c r="KR172" s="47"/>
      <c r="KS172" s="47"/>
      <c r="KT172" s="47"/>
      <c r="KU172" s="47"/>
      <c r="KV172" s="47"/>
      <c r="KW172" s="47"/>
      <c r="KX172" s="47"/>
      <c r="KY172" s="47"/>
      <c r="KZ172" s="47"/>
      <c r="LA172" s="47"/>
      <c r="LB172" s="47"/>
      <c r="LC172" s="47"/>
      <c r="LD172" s="47"/>
      <c r="LE172" s="47"/>
      <c r="LF172" s="47"/>
      <c r="LG172" s="47"/>
      <c r="LH172" s="47"/>
      <c r="LI172" s="47"/>
      <c r="LJ172" s="47"/>
      <c r="LK172" s="47"/>
      <c r="LL172" s="47"/>
      <c r="LM172" s="47"/>
      <c r="LN172" s="47"/>
      <c r="LO172" s="47"/>
      <c r="LP172" s="47"/>
      <c r="LQ172" s="47"/>
      <c r="LR172" s="47"/>
      <c r="LS172" s="47"/>
      <c r="LT172" s="47"/>
      <c r="LU172" s="47"/>
      <c r="LV172" s="47"/>
      <c r="LW172" s="47"/>
      <c r="LX172" s="47"/>
      <c r="LY172" s="47"/>
      <c r="LZ172" s="47"/>
      <c r="MA172" s="47"/>
      <c r="MB172" s="47"/>
      <c r="MC172" s="47"/>
      <c r="MD172" s="47"/>
      <c r="ME172" s="47"/>
      <c r="MF172" s="47"/>
      <c r="MG172" s="47"/>
      <c r="MH172" s="47"/>
      <c r="MI172" s="47"/>
      <c r="MJ172" s="4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  <c r="NE172" s="47"/>
      <c r="NF172" s="47"/>
      <c r="NG172" s="47"/>
      <c r="NH172" s="47"/>
      <c r="NI172" s="47"/>
      <c r="NJ172" s="47"/>
      <c r="NK172" s="47"/>
      <c r="NL172" s="47"/>
      <c r="NM172" s="47"/>
      <c r="NN172" s="47"/>
      <c r="NO172" s="47"/>
      <c r="NP172" s="47"/>
      <c r="NQ172" s="47"/>
      <c r="NR172" s="47"/>
      <c r="NS172" s="47"/>
      <c r="NT172" s="47"/>
      <c r="NU172" s="47"/>
      <c r="NV172" s="47"/>
      <c r="NW172" s="47"/>
      <c r="NX172" s="47"/>
      <c r="NY172" s="47"/>
      <c r="NZ172" s="47"/>
      <c r="OA172" s="47"/>
      <c r="OB172" s="47"/>
      <c r="OC172" s="47"/>
      <c r="OD172" s="47"/>
      <c r="OE172" s="47"/>
      <c r="OF172" s="47"/>
      <c r="OG172" s="47"/>
      <c r="OH172" s="47"/>
      <c r="OI172" s="47"/>
      <c r="OJ172" s="47"/>
      <c r="OK172" s="47"/>
      <c r="OL172" s="47"/>
      <c r="OM172" s="47"/>
      <c r="ON172" s="47"/>
      <c r="OO172" s="47"/>
      <c r="OP172" s="47"/>
      <c r="OQ172" s="47"/>
      <c r="OR172" s="47"/>
      <c r="OS172" s="47"/>
      <c r="OT172" s="47"/>
      <c r="OU172" s="47"/>
      <c r="OV172" s="47"/>
      <c r="OW172" s="47"/>
      <c r="OX172" s="47"/>
      <c r="OY172" s="47"/>
      <c r="OZ172" s="47"/>
      <c r="PA172" s="47"/>
      <c r="PB172" s="47"/>
      <c r="PC172" s="47"/>
      <c r="PD172" s="47"/>
      <c r="PE172" s="47"/>
      <c r="PF172" s="47"/>
      <c r="PG172" s="47"/>
      <c r="PH172" s="47"/>
      <c r="PI172" s="47"/>
      <c r="PJ172" s="47"/>
      <c r="PK172" s="47"/>
      <c r="PL172" s="47"/>
      <c r="PM172" s="47"/>
      <c r="PN172" s="47"/>
      <c r="PO172" s="47"/>
      <c r="PP172" s="47"/>
      <c r="PQ172" s="47"/>
      <c r="PR172" s="47"/>
      <c r="PS172" s="47"/>
      <c r="PT172" s="47"/>
      <c r="PU172" s="47"/>
      <c r="PV172" s="47"/>
      <c r="PW172" s="47"/>
      <c r="PX172" s="47"/>
      <c r="PY172" s="47"/>
      <c r="PZ172" s="47"/>
      <c r="QA172" s="47"/>
      <c r="QB172" s="47"/>
      <c r="QC172" s="47"/>
      <c r="QD172" s="47"/>
      <c r="QE172" s="47"/>
      <c r="QF172" s="47"/>
      <c r="QG172" s="47"/>
      <c r="QH172" s="47"/>
      <c r="QI172" s="47"/>
      <c r="QJ172" s="47"/>
      <c r="QK172" s="47"/>
      <c r="QL172" s="47"/>
      <c r="QM172" s="47"/>
      <c r="QN172" s="47"/>
      <c r="QO172" s="47"/>
      <c r="QP172" s="47"/>
      <c r="QQ172" s="47"/>
      <c r="QR172" s="47"/>
      <c r="QS172" s="47"/>
      <c r="QT172" s="47"/>
      <c r="QU172" s="47"/>
      <c r="QV172" s="47"/>
      <c r="QW172" s="47"/>
      <c r="QX172" s="47"/>
      <c r="QY172" s="47"/>
      <c r="QZ172" s="47"/>
      <c r="RA172" s="47"/>
      <c r="RB172" s="47"/>
      <c r="RC172" s="47"/>
      <c r="RD172" s="47"/>
      <c r="RE172" s="47"/>
      <c r="RF172" s="47"/>
      <c r="RG172" s="47"/>
      <c r="RH172" s="47"/>
      <c r="RI172" s="47"/>
      <c r="RJ172" s="47"/>
      <c r="RK172" s="47"/>
      <c r="RL172" s="47"/>
      <c r="RM172" s="47"/>
      <c r="RN172" s="47"/>
      <c r="RO172" s="47"/>
      <c r="RP172" s="47"/>
      <c r="RQ172" s="47"/>
      <c r="RR172" s="47"/>
      <c r="RS172" s="47"/>
      <c r="RT172" s="47"/>
      <c r="RU172" s="47"/>
      <c r="RV172" s="47"/>
      <c r="RW172" s="47"/>
      <c r="RX172" s="47"/>
      <c r="RY172" s="47"/>
      <c r="RZ172" s="47"/>
      <c r="SA172" s="47"/>
      <c r="SB172" s="47"/>
      <c r="SC172" s="47"/>
      <c r="SD172" s="47"/>
      <c r="SE172" s="47"/>
      <c r="SF172" s="47"/>
      <c r="SG172" s="47"/>
      <c r="SH172" s="47"/>
      <c r="SI172" s="47"/>
      <c r="SJ172" s="47"/>
      <c r="SK172" s="47"/>
      <c r="SL172" s="47"/>
      <c r="SM172" s="47"/>
      <c r="SN172" s="47"/>
      <c r="SO172" s="47"/>
      <c r="SP172" s="47"/>
      <c r="SQ172" s="47"/>
      <c r="SR172" s="47"/>
      <c r="SS172" s="47"/>
      <c r="ST172" s="47"/>
      <c r="SU172" s="47"/>
      <c r="SV172" s="47"/>
      <c r="SW172" s="47"/>
      <c r="SX172" s="47"/>
      <c r="SY172" s="47"/>
      <c r="SZ172" s="47"/>
      <c r="TA172" s="47"/>
      <c r="TB172" s="47"/>
      <c r="TC172" s="47"/>
      <c r="TD172" s="47"/>
      <c r="TE172" s="47"/>
      <c r="TF172" s="47"/>
      <c r="TG172" s="47"/>
      <c r="TH172" s="47"/>
      <c r="TI172" s="47"/>
      <c r="TJ172" s="47"/>
      <c r="TK172" s="47"/>
      <c r="TL172" s="47"/>
      <c r="TM172" s="47"/>
      <c r="TN172" s="47"/>
      <c r="TO172" s="47"/>
      <c r="TP172" s="47"/>
      <c r="TQ172" s="47"/>
      <c r="TR172" s="47"/>
      <c r="TS172" s="47"/>
      <c r="TT172" s="47"/>
      <c r="TU172" s="47"/>
      <c r="TV172" s="47"/>
      <c r="TW172" s="47"/>
      <c r="TX172" s="47"/>
      <c r="TY172" s="47"/>
      <c r="TZ172" s="47"/>
      <c r="UA172" s="47"/>
      <c r="UB172" s="47"/>
      <c r="UC172" s="47"/>
      <c r="UD172" s="47"/>
      <c r="UE172" s="47"/>
      <c r="UF172" s="47"/>
      <c r="UG172" s="47"/>
      <c r="UH172" s="47"/>
      <c r="UI172" s="47"/>
      <c r="UJ172" s="47"/>
      <c r="UK172" s="47"/>
      <c r="UL172" s="47"/>
      <c r="UM172" s="47"/>
      <c r="UN172" s="47"/>
      <c r="UO172" s="47"/>
      <c r="UP172" s="47"/>
      <c r="UQ172" s="47"/>
      <c r="UR172" s="47"/>
      <c r="US172" s="47"/>
      <c r="UT172" s="47"/>
      <c r="UU172" s="47"/>
      <c r="UV172" s="47"/>
      <c r="UW172" s="47"/>
      <c r="UX172" s="47"/>
      <c r="UY172" s="47"/>
      <c r="UZ172" s="47"/>
      <c r="VA172" s="47"/>
      <c r="VB172" s="47"/>
      <c r="VC172" s="47"/>
      <c r="VD172" s="47"/>
      <c r="VE172" s="47"/>
      <c r="VF172" s="47"/>
    </row>
    <row r="173" spans="1:578" s="41" customFormat="1" ht="15" hidden="1" customHeight="1" x14ac:dyDescent="0.2">
      <c r="A173" s="43"/>
      <c r="B173" s="95"/>
      <c r="C173" s="95"/>
      <c r="D173" s="40" t="str">
        <f>'дод 3'!C119</f>
        <v>у т.ч. за рахунок субвенцій з держбюджету</v>
      </c>
      <c r="E173" s="65">
        <v>0</v>
      </c>
      <c r="F173" s="65"/>
      <c r="G173" s="65"/>
      <c r="H173" s="65"/>
      <c r="I173" s="65"/>
      <c r="J173" s="65"/>
      <c r="K173" s="130" t="e">
        <f t="shared" si="41"/>
        <v>#DIV/0!</v>
      </c>
      <c r="L173" s="65">
        <f t="shared" si="40"/>
        <v>0</v>
      </c>
      <c r="M173" s="65"/>
      <c r="N173" s="65"/>
      <c r="O173" s="65"/>
      <c r="P173" s="65"/>
      <c r="Q173" s="65"/>
      <c r="R173" s="65">
        <f t="shared" si="43"/>
        <v>0</v>
      </c>
      <c r="S173" s="65"/>
      <c r="T173" s="65"/>
      <c r="U173" s="65"/>
      <c r="V173" s="65"/>
      <c r="W173" s="65"/>
      <c r="X173" s="132" t="e">
        <f t="shared" si="44"/>
        <v>#DIV/0!</v>
      </c>
      <c r="Y173" s="65">
        <f t="shared" si="42"/>
        <v>0</v>
      </c>
      <c r="Z173" s="203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47"/>
      <c r="KC173" s="47"/>
      <c r="KD173" s="47"/>
      <c r="KE173" s="47"/>
      <c r="KF173" s="47"/>
      <c r="KG173" s="47"/>
      <c r="KH173" s="47"/>
      <c r="KI173" s="47"/>
      <c r="KJ173" s="47"/>
      <c r="KK173" s="47"/>
      <c r="KL173" s="47"/>
      <c r="KM173" s="47"/>
      <c r="KN173" s="47"/>
      <c r="KO173" s="47"/>
      <c r="KP173" s="47"/>
      <c r="KQ173" s="47"/>
      <c r="KR173" s="47"/>
      <c r="KS173" s="47"/>
      <c r="KT173" s="47"/>
      <c r="KU173" s="47"/>
      <c r="KV173" s="47"/>
      <c r="KW173" s="47"/>
      <c r="KX173" s="47"/>
      <c r="KY173" s="47"/>
      <c r="KZ173" s="47"/>
      <c r="LA173" s="47"/>
      <c r="LB173" s="47"/>
      <c r="LC173" s="47"/>
      <c r="LD173" s="47"/>
      <c r="LE173" s="47"/>
      <c r="LF173" s="47"/>
      <c r="LG173" s="47"/>
      <c r="LH173" s="47"/>
      <c r="LI173" s="47"/>
      <c r="LJ173" s="47"/>
      <c r="LK173" s="47"/>
      <c r="LL173" s="47"/>
      <c r="LM173" s="47"/>
      <c r="LN173" s="47"/>
      <c r="LO173" s="47"/>
      <c r="LP173" s="47"/>
      <c r="LQ173" s="47"/>
      <c r="LR173" s="47"/>
      <c r="LS173" s="47"/>
      <c r="LT173" s="47"/>
      <c r="LU173" s="47"/>
      <c r="LV173" s="47"/>
      <c r="LW173" s="47"/>
      <c r="LX173" s="47"/>
      <c r="LY173" s="47"/>
      <c r="LZ173" s="47"/>
      <c r="MA173" s="47"/>
      <c r="MB173" s="47"/>
      <c r="MC173" s="47"/>
      <c r="MD173" s="47"/>
      <c r="ME173" s="47"/>
      <c r="MF173" s="47"/>
      <c r="MG173" s="47"/>
      <c r="MH173" s="47"/>
      <c r="MI173" s="47"/>
      <c r="MJ173" s="4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  <c r="NE173" s="47"/>
      <c r="NF173" s="47"/>
      <c r="NG173" s="47"/>
      <c r="NH173" s="47"/>
      <c r="NI173" s="47"/>
      <c r="NJ173" s="47"/>
      <c r="NK173" s="47"/>
      <c r="NL173" s="47"/>
      <c r="NM173" s="47"/>
      <c r="NN173" s="47"/>
      <c r="NO173" s="47"/>
      <c r="NP173" s="47"/>
      <c r="NQ173" s="47"/>
      <c r="NR173" s="47"/>
      <c r="NS173" s="47"/>
      <c r="NT173" s="47"/>
      <c r="NU173" s="47"/>
      <c r="NV173" s="47"/>
      <c r="NW173" s="47"/>
      <c r="NX173" s="47"/>
      <c r="NY173" s="47"/>
      <c r="NZ173" s="47"/>
      <c r="OA173" s="47"/>
      <c r="OB173" s="47"/>
      <c r="OC173" s="47"/>
      <c r="OD173" s="47"/>
      <c r="OE173" s="47"/>
      <c r="OF173" s="47"/>
      <c r="OG173" s="47"/>
      <c r="OH173" s="47"/>
      <c r="OI173" s="47"/>
      <c r="OJ173" s="47"/>
      <c r="OK173" s="47"/>
      <c r="OL173" s="47"/>
      <c r="OM173" s="47"/>
      <c r="ON173" s="47"/>
      <c r="OO173" s="47"/>
      <c r="OP173" s="47"/>
      <c r="OQ173" s="47"/>
      <c r="OR173" s="47"/>
      <c r="OS173" s="47"/>
      <c r="OT173" s="47"/>
      <c r="OU173" s="47"/>
      <c r="OV173" s="47"/>
      <c r="OW173" s="47"/>
      <c r="OX173" s="47"/>
      <c r="OY173" s="47"/>
      <c r="OZ173" s="47"/>
      <c r="PA173" s="47"/>
      <c r="PB173" s="47"/>
      <c r="PC173" s="47"/>
      <c r="PD173" s="47"/>
      <c r="PE173" s="47"/>
      <c r="PF173" s="47"/>
      <c r="PG173" s="47"/>
      <c r="PH173" s="47"/>
      <c r="PI173" s="47"/>
      <c r="PJ173" s="47"/>
      <c r="PK173" s="47"/>
      <c r="PL173" s="47"/>
      <c r="PM173" s="47"/>
      <c r="PN173" s="47"/>
      <c r="PO173" s="47"/>
      <c r="PP173" s="47"/>
      <c r="PQ173" s="47"/>
      <c r="PR173" s="47"/>
      <c r="PS173" s="47"/>
      <c r="PT173" s="47"/>
      <c r="PU173" s="47"/>
      <c r="PV173" s="47"/>
      <c r="PW173" s="47"/>
      <c r="PX173" s="47"/>
      <c r="PY173" s="47"/>
      <c r="PZ173" s="47"/>
      <c r="QA173" s="47"/>
      <c r="QB173" s="47"/>
      <c r="QC173" s="47"/>
      <c r="QD173" s="47"/>
      <c r="QE173" s="47"/>
      <c r="QF173" s="47"/>
      <c r="QG173" s="47"/>
      <c r="QH173" s="47"/>
      <c r="QI173" s="47"/>
      <c r="QJ173" s="47"/>
      <c r="QK173" s="47"/>
      <c r="QL173" s="47"/>
      <c r="QM173" s="47"/>
      <c r="QN173" s="47"/>
      <c r="QO173" s="47"/>
      <c r="QP173" s="47"/>
      <c r="QQ173" s="47"/>
      <c r="QR173" s="47"/>
      <c r="QS173" s="47"/>
      <c r="QT173" s="47"/>
      <c r="QU173" s="47"/>
      <c r="QV173" s="47"/>
      <c r="QW173" s="47"/>
      <c r="QX173" s="47"/>
      <c r="QY173" s="47"/>
      <c r="QZ173" s="47"/>
      <c r="RA173" s="47"/>
      <c r="RB173" s="47"/>
      <c r="RC173" s="47"/>
      <c r="RD173" s="47"/>
      <c r="RE173" s="47"/>
      <c r="RF173" s="47"/>
      <c r="RG173" s="47"/>
      <c r="RH173" s="47"/>
      <c r="RI173" s="47"/>
      <c r="RJ173" s="47"/>
      <c r="RK173" s="47"/>
      <c r="RL173" s="47"/>
      <c r="RM173" s="47"/>
      <c r="RN173" s="47"/>
      <c r="RO173" s="47"/>
      <c r="RP173" s="47"/>
      <c r="RQ173" s="47"/>
      <c r="RR173" s="47"/>
      <c r="RS173" s="47"/>
      <c r="RT173" s="47"/>
      <c r="RU173" s="47"/>
      <c r="RV173" s="47"/>
      <c r="RW173" s="47"/>
      <c r="RX173" s="47"/>
      <c r="RY173" s="47"/>
      <c r="RZ173" s="47"/>
      <c r="SA173" s="47"/>
      <c r="SB173" s="47"/>
      <c r="SC173" s="47"/>
      <c r="SD173" s="47"/>
      <c r="SE173" s="47"/>
      <c r="SF173" s="47"/>
      <c r="SG173" s="47"/>
      <c r="SH173" s="47"/>
      <c r="SI173" s="47"/>
      <c r="SJ173" s="47"/>
      <c r="SK173" s="47"/>
      <c r="SL173" s="47"/>
      <c r="SM173" s="47"/>
      <c r="SN173" s="47"/>
      <c r="SO173" s="47"/>
      <c r="SP173" s="47"/>
      <c r="SQ173" s="47"/>
      <c r="SR173" s="47"/>
      <c r="SS173" s="47"/>
      <c r="ST173" s="47"/>
      <c r="SU173" s="47"/>
      <c r="SV173" s="47"/>
      <c r="SW173" s="47"/>
      <c r="SX173" s="47"/>
      <c r="SY173" s="47"/>
      <c r="SZ173" s="47"/>
      <c r="TA173" s="47"/>
      <c r="TB173" s="47"/>
      <c r="TC173" s="47"/>
      <c r="TD173" s="47"/>
      <c r="TE173" s="47"/>
      <c r="TF173" s="47"/>
      <c r="TG173" s="47"/>
      <c r="TH173" s="47"/>
      <c r="TI173" s="47"/>
      <c r="TJ173" s="47"/>
      <c r="TK173" s="47"/>
      <c r="TL173" s="47"/>
      <c r="TM173" s="47"/>
      <c r="TN173" s="47"/>
      <c r="TO173" s="47"/>
      <c r="TP173" s="47"/>
      <c r="TQ173" s="47"/>
      <c r="TR173" s="47"/>
      <c r="TS173" s="47"/>
      <c r="TT173" s="47"/>
      <c r="TU173" s="47"/>
      <c r="TV173" s="47"/>
      <c r="TW173" s="47"/>
      <c r="TX173" s="47"/>
      <c r="TY173" s="47"/>
      <c r="TZ173" s="47"/>
      <c r="UA173" s="47"/>
      <c r="UB173" s="47"/>
      <c r="UC173" s="47"/>
      <c r="UD173" s="47"/>
      <c r="UE173" s="47"/>
      <c r="UF173" s="47"/>
      <c r="UG173" s="47"/>
      <c r="UH173" s="47"/>
      <c r="UI173" s="47"/>
      <c r="UJ173" s="47"/>
      <c r="UK173" s="47"/>
      <c r="UL173" s="47"/>
      <c r="UM173" s="47"/>
      <c r="UN173" s="47"/>
      <c r="UO173" s="47"/>
      <c r="UP173" s="47"/>
      <c r="UQ173" s="47"/>
      <c r="UR173" s="47"/>
      <c r="US173" s="47"/>
      <c r="UT173" s="47"/>
      <c r="UU173" s="47"/>
      <c r="UV173" s="47"/>
      <c r="UW173" s="47"/>
      <c r="UX173" s="47"/>
      <c r="UY173" s="47"/>
      <c r="UZ173" s="47"/>
      <c r="VA173" s="47"/>
      <c r="VB173" s="47"/>
      <c r="VC173" s="47"/>
      <c r="VD173" s="47"/>
      <c r="VE173" s="47"/>
      <c r="VF173" s="47"/>
    </row>
    <row r="174" spans="1:578" s="41" customFormat="1" ht="225" hidden="1" customHeight="1" x14ac:dyDescent="0.2">
      <c r="A174" s="43" t="s">
        <v>541</v>
      </c>
      <c r="B174" s="95" t="s">
        <v>544</v>
      </c>
      <c r="C174" s="95" t="s">
        <v>78</v>
      </c>
      <c r="D174" s="48" t="s">
        <v>543</v>
      </c>
      <c r="E174" s="65">
        <v>0</v>
      </c>
      <c r="F174" s="65"/>
      <c r="G174" s="65"/>
      <c r="H174" s="65"/>
      <c r="I174" s="65"/>
      <c r="J174" s="65"/>
      <c r="K174" s="130" t="e">
        <f t="shared" si="41"/>
        <v>#DIV/0!</v>
      </c>
      <c r="L174" s="65">
        <f t="shared" si="40"/>
        <v>0</v>
      </c>
      <c r="M174" s="65"/>
      <c r="N174" s="65"/>
      <c r="O174" s="65"/>
      <c r="P174" s="65"/>
      <c r="Q174" s="65"/>
      <c r="R174" s="65">
        <f t="shared" si="43"/>
        <v>0</v>
      </c>
      <c r="S174" s="65"/>
      <c r="T174" s="65"/>
      <c r="U174" s="65"/>
      <c r="V174" s="65"/>
      <c r="W174" s="65"/>
      <c r="X174" s="132" t="e">
        <f t="shared" si="44"/>
        <v>#DIV/0!</v>
      </c>
      <c r="Y174" s="65">
        <f t="shared" si="42"/>
        <v>0</v>
      </c>
      <c r="Z174" s="203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47"/>
      <c r="KC174" s="47"/>
      <c r="KD174" s="47"/>
      <c r="KE174" s="47"/>
      <c r="KF174" s="47"/>
      <c r="KG174" s="47"/>
      <c r="KH174" s="47"/>
      <c r="KI174" s="47"/>
      <c r="KJ174" s="47"/>
      <c r="KK174" s="47"/>
      <c r="KL174" s="47"/>
      <c r="KM174" s="47"/>
      <c r="KN174" s="47"/>
      <c r="KO174" s="47"/>
      <c r="KP174" s="47"/>
      <c r="KQ174" s="47"/>
      <c r="KR174" s="47"/>
      <c r="KS174" s="47"/>
      <c r="KT174" s="47"/>
      <c r="KU174" s="47"/>
      <c r="KV174" s="47"/>
      <c r="KW174" s="47"/>
      <c r="KX174" s="47"/>
      <c r="KY174" s="47"/>
      <c r="KZ174" s="47"/>
      <c r="LA174" s="47"/>
      <c r="LB174" s="47"/>
      <c r="LC174" s="47"/>
      <c r="LD174" s="47"/>
      <c r="LE174" s="47"/>
      <c r="LF174" s="47"/>
      <c r="LG174" s="47"/>
      <c r="LH174" s="47"/>
      <c r="LI174" s="47"/>
      <c r="LJ174" s="47"/>
      <c r="LK174" s="47"/>
      <c r="LL174" s="47"/>
      <c r="LM174" s="47"/>
      <c r="LN174" s="47"/>
      <c r="LO174" s="47"/>
      <c r="LP174" s="47"/>
      <c r="LQ174" s="47"/>
      <c r="LR174" s="47"/>
      <c r="LS174" s="47"/>
      <c r="LT174" s="47"/>
      <c r="LU174" s="47"/>
      <c r="LV174" s="47"/>
      <c r="LW174" s="47"/>
      <c r="LX174" s="47"/>
      <c r="LY174" s="47"/>
      <c r="LZ174" s="47"/>
      <c r="MA174" s="47"/>
      <c r="MB174" s="47"/>
      <c r="MC174" s="47"/>
      <c r="MD174" s="47"/>
      <c r="ME174" s="47"/>
      <c r="MF174" s="47"/>
      <c r="MG174" s="47"/>
      <c r="MH174" s="47"/>
      <c r="MI174" s="47"/>
      <c r="MJ174" s="4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  <c r="NE174" s="47"/>
      <c r="NF174" s="47"/>
      <c r="NG174" s="47"/>
      <c r="NH174" s="47"/>
      <c r="NI174" s="47"/>
      <c r="NJ174" s="47"/>
      <c r="NK174" s="47"/>
      <c r="NL174" s="47"/>
      <c r="NM174" s="47"/>
      <c r="NN174" s="47"/>
      <c r="NO174" s="47"/>
      <c r="NP174" s="47"/>
      <c r="NQ174" s="47"/>
      <c r="NR174" s="47"/>
      <c r="NS174" s="47"/>
      <c r="NT174" s="47"/>
      <c r="NU174" s="47"/>
      <c r="NV174" s="47"/>
      <c r="NW174" s="47"/>
      <c r="NX174" s="47"/>
      <c r="NY174" s="47"/>
      <c r="NZ174" s="47"/>
      <c r="OA174" s="47"/>
      <c r="OB174" s="47"/>
      <c r="OC174" s="47"/>
      <c r="OD174" s="47"/>
      <c r="OE174" s="47"/>
      <c r="OF174" s="47"/>
      <c r="OG174" s="47"/>
      <c r="OH174" s="47"/>
      <c r="OI174" s="47"/>
      <c r="OJ174" s="47"/>
      <c r="OK174" s="47"/>
      <c r="OL174" s="47"/>
      <c r="OM174" s="47"/>
      <c r="ON174" s="47"/>
      <c r="OO174" s="47"/>
      <c r="OP174" s="47"/>
      <c r="OQ174" s="47"/>
      <c r="OR174" s="47"/>
      <c r="OS174" s="47"/>
      <c r="OT174" s="47"/>
      <c r="OU174" s="47"/>
      <c r="OV174" s="47"/>
      <c r="OW174" s="47"/>
      <c r="OX174" s="47"/>
      <c r="OY174" s="47"/>
      <c r="OZ174" s="47"/>
      <c r="PA174" s="47"/>
      <c r="PB174" s="47"/>
      <c r="PC174" s="47"/>
      <c r="PD174" s="47"/>
      <c r="PE174" s="47"/>
      <c r="PF174" s="47"/>
      <c r="PG174" s="47"/>
      <c r="PH174" s="47"/>
      <c r="PI174" s="47"/>
      <c r="PJ174" s="47"/>
      <c r="PK174" s="47"/>
      <c r="PL174" s="47"/>
      <c r="PM174" s="47"/>
      <c r="PN174" s="47"/>
      <c r="PO174" s="47"/>
      <c r="PP174" s="47"/>
      <c r="PQ174" s="47"/>
      <c r="PR174" s="47"/>
      <c r="PS174" s="47"/>
      <c r="PT174" s="47"/>
      <c r="PU174" s="47"/>
      <c r="PV174" s="47"/>
      <c r="PW174" s="47"/>
      <c r="PX174" s="47"/>
      <c r="PY174" s="47"/>
      <c r="PZ174" s="47"/>
      <c r="QA174" s="47"/>
      <c r="QB174" s="47"/>
      <c r="QC174" s="47"/>
      <c r="QD174" s="47"/>
      <c r="QE174" s="47"/>
      <c r="QF174" s="47"/>
      <c r="QG174" s="47"/>
      <c r="QH174" s="47"/>
      <c r="QI174" s="47"/>
      <c r="QJ174" s="47"/>
      <c r="QK174" s="47"/>
      <c r="QL174" s="47"/>
      <c r="QM174" s="47"/>
      <c r="QN174" s="47"/>
      <c r="QO174" s="47"/>
      <c r="QP174" s="47"/>
      <c r="QQ174" s="47"/>
      <c r="QR174" s="47"/>
      <c r="QS174" s="47"/>
      <c r="QT174" s="47"/>
      <c r="QU174" s="47"/>
      <c r="QV174" s="47"/>
      <c r="QW174" s="47"/>
      <c r="QX174" s="47"/>
      <c r="QY174" s="47"/>
      <c r="QZ174" s="47"/>
      <c r="RA174" s="47"/>
      <c r="RB174" s="47"/>
      <c r="RC174" s="47"/>
      <c r="RD174" s="47"/>
      <c r="RE174" s="47"/>
      <c r="RF174" s="47"/>
      <c r="RG174" s="47"/>
      <c r="RH174" s="47"/>
      <c r="RI174" s="47"/>
      <c r="RJ174" s="47"/>
      <c r="RK174" s="47"/>
      <c r="RL174" s="47"/>
      <c r="RM174" s="47"/>
      <c r="RN174" s="47"/>
      <c r="RO174" s="47"/>
      <c r="RP174" s="47"/>
      <c r="RQ174" s="47"/>
      <c r="RR174" s="47"/>
      <c r="RS174" s="47"/>
      <c r="RT174" s="47"/>
      <c r="RU174" s="47"/>
      <c r="RV174" s="47"/>
      <c r="RW174" s="47"/>
      <c r="RX174" s="47"/>
      <c r="RY174" s="47"/>
      <c r="RZ174" s="47"/>
      <c r="SA174" s="47"/>
      <c r="SB174" s="47"/>
      <c r="SC174" s="47"/>
      <c r="SD174" s="47"/>
      <c r="SE174" s="47"/>
      <c r="SF174" s="47"/>
      <c r="SG174" s="47"/>
      <c r="SH174" s="47"/>
      <c r="SI174" s="47"/>
      <c r="SJ174" s="47"/>
      <c r="SK174" s="47"/>
      <c r="SL174" s="47"/>
      <c r="SM174" s="47"/>
      <c r="SN174" s="47"/>
      <c r="SO174" s="47"/>
      <c r="SP174" s="47"/>
      <c r="SQ174" s="47"/>
      <c r="SR174" s="47"/>
      <c r="SS174" s="47"/>
      <c r="ST174" s="47"/>
      <c r="SU174" s="47"/>
      <c r="SV174" s="47"/>
      <c r="SW174" s="47"/>
      <c r="SX174" s="47"/>
      <c r="SY174" s="47"/>
      <c r="SZ174" s="47"/>
      <c r="TA174" s="47"/>
      <c r="TB174" s="47"/>
      <c r="TC174" s="47"/>
      <c r="TD174" s="47"/>
      <c r="TE174" s="47"/>
      <c r="TF174" s="47"/>
      <c r="TG174" s="47"/>
      <c r="TH174" s="47"/>
      <c r="TI174" s="47"/>
      <c r="TJ174" s="47"/>
      <c r="TK174" s="47"/>
      <c r="TL174" s="47"/>
      <c r="TM174" s="47"/>
      <c r="TN174" s="47"/>
      <c r="TO174" s="47"/>
      <c r="TP174" s="47"/>
      <c r="TQ174" s="47"/>
      <c r="TR174" s="47"/>
      <c r="TS174" s="47"/>
      <c r="TT174" s="47"/>
      <c r="TU174" s="47"/>
      <c r="TV174" s="47"/>
      <c r="TW174" s="47"/>
      <c r="TX174" s="47"/>
      <c r="TY174" s="47"/>
      <c r="TZ174" s="47"/>
      <c r="UA174" s="47"/>
      <c r="UB174" s="47"/>
      <c r="UC174" s="47"/>
      <c r="UD174" s="47"/>
      <c r="UE174" s="47"/>
      <c r="UF174" s="47"/>
      <c r="UG174" s="47"/>
      <c r="UH174" s="47"/>
      <c r="UI174" s="47"/>
      <c r="UJ174" s="47"/>
      <c r="UK174" s="47"/>
      <c r="UL174" s="47"/>
      <c r="UM174" s="47"/>
      <c r="UN174" s="47"/>
      <c r="UO174" s="47"/>
      <c r="UP174" s="47"/>
      <c r="UQ174" s="47"/>
      <c r="UR174" s="47"/>
      <c r="US174" s="47"/>
      <c r="UT174" s="47"/>
      <c r="UU174" s="47"/>
      <c r="UV174" s="47"/>
      <c r="UW174" s="47"/>
      <c r="UX174" s="47"/>
      <c r="UY174" s="47"/>
      <c r="UZ174" s="47"/>
      <c r="VA174" s="47"/>
      <c r="VB174" s="47"/>
      <c r="VC174" s="47"/>
      <c r="VD174" s="47"/>
      <c r="VE174" s="47"/>
      <c r="VF174" s="47"/>
    </row>
    <row r="175" spans="1:578" s="41" customFormat="1" ht="15" hidden="1" customHeight="1" x14ac:dyDescent="0.2">
      <c r="A175" s="43"/>
      <c r="B175" s="95"/>
      <c r="C175" s="95"/>
      <c r="D175" s="40" t="str">
        <f>'дод 3'!C125</f>
        <v>у т.ч. за рахунок субвенцій з держбюджету</v>
      </c>
      <c r="E175" s="65">
        <v>0</v>
      </c>
      <c r="F175" s="65"/>
      <c r="G175" s="65"/>
      <c r="H175" s="65"/>
      <c r="I175" s="65"/>
      <c r="J175" s="65"/>
      <c r="K175" s="130" t="e">
        <f t="shared" si="41"/>
        <v>#DIV/0!</v>
      </c>
      <c r="L175" s="65">
        <f t="shared" si="40"/>
        <v>0</v>
      </c>
      <c r="M175" s="65"/>
      <c r="N175" s="65"/>
      <c r="O175" s="65"/>
      <c r="P175" s="65"/>
      <c r="Q175" s="65"/>
      <c r="R175" s="65">
        <f t="shared" si="43"/>
        <v>0</v>
      </c>
      <c r="S175" s="65"/>
      <c r="T175" s="65"/>
      <c r="U175" s="65"/>
      <c r="V175" s="65"/>
      <c r="W175" s="65"/>
      <c r="X175" s="132" t="e">
        <f t="shared" si="44"/>
        <v>#DIV/0!</v>
      </c>
      <c r="Y175" s="65">
        <f t="shared" si="42"/>
        <v>0</v>
      </c>
      <c r="Z175" s="203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47"/>
      <c r="KC175" s="47"/>
      <c r="KD175" s="47"/>
      <c r="KE175" s="47"/>
      <c r="KF175" s="47"/>
      <c r="KG175" s="47"/>
      <c r="KH175" s="47"/>
      <c r="KI175" s="47"/>
      <c r="KJ175" s="47"/>
      <c r="KK175" s="47"/>
      <c r="KL175" s="47"/>
      <c r="KM175" s="47"/>
      <c r="KN175" s="47"/>
      <c r="KO175" s="47"/>
      <c r="KP175" s="47"/>
      <c r="KQ175" s="47"/>
      <c r="KR175" s="47"/>
      <c r="KS175" s="47"/>
      <c r="KT175" s="47"/>
      <c r="KU175" s="47"/>
      <c r="KV175" s="47"/>
      <c r="KW175" s="47"/>
      <c r="KX175" s="47"/>
      <c r="KY175" s="47"/>
      <c r="KZ175" s="47"/>
      <c r="LA175" s="47"/>
      <c r="LB175" s="47"/>
      <c r="LC175" s="47"/>
      <c r="LD175" s="47"/>
      <c r="LE175" s="47"/>
      <c r="LF175" s="47"/>
      <c r="LG175" s="47"/>
      <c r="LH175" s="47"/>
      <c r="LI175" s="47"/>
      <c r="LJ175" s="47"/>
      <c r="LK175" s="47"/>
      <c r="LL175" s="47"/>
      <c r="LM175" s="47"/>
      <c r="LN175" s="47"/>
      <c r="LO175" s="47"/>
      <c r="LP175" s="47"/>
      <c r="LQ175" s="47"/>
      <c r="LR175" s="47"/>
      <c r="LS175" s="47"/>
      <c r="LT175" s="47"/>
      <c r="LU175" s="47"/>
      <c r="LV175" s="47"/>
      <c r="LW175" s="47"/>
      <c r="LX175" s="47"/>
      <c r="LY175" s="47"/>
      <c r="LZ175" s="47"/>
      <c r="MA175" s="47"/>
      <c r="MB175" s="47"/>
      <c r="MC175" s="47"/>
      <c r="MD175" s="47"/>
      <c r="ME175" s="47"/>
      <c r="MF175" s="47"/>
      <c r="MG175" s="47"/>
      <c r="MH175" s="47"/>
      <c r="MI175" s="47"/>
      <c r="MJ175" s="4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  <c r="NE175" s="47"/>
      <c r="NF175" s="47"/>
      <c r="NG175" s="47"/>
      <c r="NH175" s="47"/>
      <c r="NI175" s="47"/>
      <c r="NJ175" s="47"/>
      <c r="NK175" s="47"/>
      <c r="NL175" s="47"/>
      <c r="NM175" s="47"/>
      <c r="NN175" s="47"/>
      <c r="NO175" s="47"/>
      <c r="NP175" s="47"/>
      <c r="NQ175" s="47"/>
      <c r="NR175" s="47"/>
      <c r="NS175" s="47"/>
      <c r="NT175" s="47"/>
      <c r="NU175" s="47"/>
      <c r="NV175" s="47"/>
      <c r="NW175" s="47"/>
      <c r="NX175" s="47"/>
      <c r="NY175" s="47"/>
      <c r="NZ175" s="47"/>
      <c r="OA175" s="47"/>
      <c r="OB175" s="47"/>
      <c r="OC175" s="47"/>
      <c r="OD175" s="47"/>
      <c r="OE175" s="47"/>
      <c r="OF175" s="47"/>
      <c r="OG175" s="47"/>
      <c r="OH175" s="47"/>
      <c r="OI175" s="47"/>
      <c r="OJ175" s="47"/>
      <c r="OK175" s="47"/>
      <c r="OL175" s="47"/>
      <c r="OM175" s="47"/>
      <c r="ON175" s="47"/>
      <c r="OO175" s="47"/>
      <c r="OP175" s="47"/>
      <c r="OQ175" s="47"/>
      <c r="OR175" s="47"/>
      <c r="OS175" s="47"/>
      <c r="OT175" s="47"/>
      <c r="OU175" s="47"/>
      <c r="OV175" s="47"/>
      <c r="OW175" s="47"/>
      <c r="OX175" s="47"/>
      <c r="OY175" s="47"/>
      <c r="OZ175" s="47"/>
      <c r="PA175" s="47"/>
      <c r="PB175" s="47"/>
      <c r="PC175" s="47"/>
      <c r="PD175" s="47"/>
      <c r="PE175" s="47"/>
      <c r="PF175" s="47"/>
      <c r="PG175" s="47"/>
      <c r="PH175" s="47"/>
      <c r="PI175" s="47"/>
      <c r="PJ175" s="47"/>
      <c r="PK175" s="47"/>
      <c r="PL175" s="47"/>
      <c r="PM175" s="47"/>
      <c r="PN175" s="47"/>
      <c r="PO175" s="47"/>
      <c r="PP175" s="47"/>
      <c r="PQ175" s="47"/>
      <c r="PR175" s="47"/>
      <c r="PS175" s="47"/>
      <c r="PT175" s="47"/>
      <c r="PU175" s="47"/>
      <c r="PV175" s="47"/>
      <c r="PW175" s="47"/>
      <c r="PX175" s="47"/>
      <c r="PY175" s="47"/>
      <c r="PZ175" s="47"/>
      <c r="QA175" s="47"/>
      <c r="QB175" s="47"/>
      <c r="QC175" s="47"/>
      <c r="QD175" s="47"/>
      <c r="QE175" s="47"/>
      <c r="QF175" s="47"/>
      <c r="QG175" s="47"/>
      <c r="QH175" s="47"/>
      <c r="QI175" s="47"/>
      <c r="QJ175" s="47"/>
      <c r="QK175" s="47"/>
      <c r="QL175" s="47"/>
      <c r="QM175" s="47"/>
      <c r="QN175" s="47"/>
      <c r="QO175" s="47"/>
      <c r="QP175" s="47"/>
      <c r="QQ175" s="47"/>
      <c r="QR175" s="47"/>
      <c r="QS175" s="47"/>
      <c r="QT175" s="47"/>
      <c r="QU175" s="47"/>
      <c r="QV175" s="47"/>
      <c r="QW175" s="47"/>
      <c r="QX175" s="47"/>
      <c r="QY175" s="47"/>
      <c r="QZ175" s="47"/>
      <c r="RA175" s="47"/>
      <c r="RB175" s="47"/>
      <c r="RC175" s="47"/>
      <c r="RD175" s="47"/>
      <c r="RE175" s="47"/>
      <c r="RF175" s="47"/>
      <c r="RG175" s="47"/>
      <c r="RH175" s="47"/>
      <c r="RI175" s="47"/>
      <c r="RJ175" s="47"/>
      <c r="RK175" s="47"/>
      <c r="RL175" s="47"/>
      <c r="RM175" s="47"/>
      <c r="RN175" s="47"/>
      <c r="RO175" s="47"/>
      <c r="RP175" s="47"/>
      <c r="RQ175" s="47"/>
      <c r="RR175" s="47"/>
      <c r="RS175" s="47"/>
      <c r="RT175" s="47"/>
      <c r="RU175" s="47"/>
      <c r="RV175" s="47"/>
      <c r="RW175" s="47"/>
      <c r="RX175" s="47"/>
      <c r="RY175" s="47"/>
      <c r="RZ175" s="47"/>
      <c r="SA175" s="47"/>
      <c r="SB175" s="47"/>
      <c r="SC175" s="47"/>
      <c r="SD175" s="47"/>
      <c r="SE175" s="47"/>
      <c r="SF175" s="47"/>
      <c r="SG175" s="47"/>
      <c r="SH175" s="47"/>
      <c r="SI175" s="47"/>
      <c r="SJ175" s="47"/>
      <c r="SK175" s="47"/>
      <c r="SL175" s="47"/>
      <c r="SM175" s="47"/>
      <c r="SN175" s="47"/>
      <c r="SO175" s="47"/>
      <c r="SP175" s="47"/>
      <c r="SQ175" s="47"/>
      <c r="SR175" s="47"/>
      <c r="SS175" s="47"/>
      <c r="ST175" s="47"/>
      <c r="SU175" s="47"/>
      <c r="SV175" s="47"/>
      <c r="SW175" s="47"/>
      <c r="SX175" s="47"/>
      <c r="SY175" s="47"/>
      <c r="SZ175" s="47"/>
      <c r="TA175" s="47"/>
      <c r="TB175" s="47"/>
      <c r="TC175" s="47"/>
      <c r="TD175" s="47"/>
      <c r="TE175" s="47"/>
      <c r="TF175" s="47"/>
      <c r="TG175" s="47"/>
      <c r="TH175" s="47"/>
      <c r="TI175" s="47"/>
      <c r="TJ175" s="47"/>
      <c r="TK175" s="47"/>
      <c r="TL175" s="47"/>
      <c r="TM175" s="47"/>
      <c r="TN175" s="47"/>
      <c r="TO175" s="47"/>
      <c r="TP175" s="47"/>
      <c r="TQ175" s="47"/>
      <c r="TR175" s="47"/>
      <c r="TS175" s="47"/>
      <c r="TT175" s="47"/>
      <c r="TU175" s="47"/>
      <c r="TV175" s="47"/>
      <c r="TW175" s="47"/>
      <c r="TX175" s="47"/>
      <c r="TY175" s="47"/>
      <c r="TZ175" s="47"/>
      <c r="UA175" s="47"/>
      <c r="UB175" s="47"/>
      <c r="UC175" s="47"/>
      <c r="UD175" s="47"/>
      <c r="UE175" s="47"/>
      <c r="UF175" s="47"/>
      <c r="UG175" s="47"/>
      <c r="UH175" s="47"/>
      <c r="UI175" s="47"/>
      <c r="UJ175" s="47"/>
      <c r="UK175" s="47"/>
      <c r="UL175" s="47"/>
      <c r="UM175" s="47"/>
      <c r="UN175" s="47"/>
      <c r="UO175" s="47"/>
      <c r="UP175" s="47"/>
      <c r="UQ175" s="47"/>
      <c r="UR175" s="47"/>
      <c r="US175" s="47"/>
      <c r="UT175" s="47"/>
      <c r="UU175" s="47"/>
      <c r="UV175" s="47"/>
      <c r="UW175" s="47"/>
      <c r="UX175" s="47"/>
      <c r="UY175" s="47"/>
      <c r="UZ175" s="47"/>
      <c r="VA175" s="47"/>
      <c r="VB175" s="47"/>
      <c r="VC175" s="47"/>
      <c r="VD175" s="47"/>
      <c r="VE175" s="47"/>
      <c r="VF175" s="47"/>
    </row>
    <row r="176" spans="1:578" s="41" customFormat="1" ht="210" hidden="1" customHeight="1" x14ac:dyDescent="0.2">
      <c r="A176" s="43" t="s">
        <v>542</v>
      </c>
      <c r="B176" s="95" t="s">
        <v>546</v>
      </c>
      <c r="C176" s="95" t="s">
        <v>78</v>
      </c>
      <c r="D176" s="48" t="s">
        <v>545</v>
      </c>
      <c r="E176" s="65">
        <v>0</v>
      </c>
      <c r="F176" s="65"/>
      <c r="G176" s="65"/>
      <c r="H176" s="65"/>
      <c r="I176" s="65"/>
      <c r="J176" s="65"/>
      <c r="K176" s="130" t="e">
        <f t="shared" si="41"/>
        <v>#DIV/0!</v>
      </c>
      <c r="L176" s="65">
        <f t="shared" si="40"/>
        <v>0</v>
      </c>
      <c r="M176" s="65"/>
      <c r="N176" s="65"/>
      <c r="O176" s="65"/>
      <c r="P176" s="65"/>
      <c r="Q176" s="65"/>
      <c r="R176" s="65">
        <f t="shared" si="43"/>
        <v>0</v>
      </c>
      <c r="S176" s="65"/>
      <c r="T176" s="65"/>
      <c r="U176" s="65"/>
      <c r="V176" s="65"/>
      <c r="W176" s="65"/>
      <c r="X176" s="132" t="e">
        <f t="shared" si="44"/>
        <v>#DIV/0!</v>
      </c>
      <c r="Y176" s="65">
        <f t="shared" si="42"/>
        <v>0</v>
      </c>
      <c r="Z176" s="203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47"/>
      <c r="KC176" s="47"/>
      <c r="KD176" s="47"/>
      <c r="KE176" s="47"/>
      <c r="KF176" s="47"/>
      <c r="KG176" s="47"/>
      <c r="KH176" s="47"/>
      <c r="KI176" s="47"/>
      <c r="KJ176" s="47"/>
      <c r="KK176" s="47"/>
      <c r="KL176" s="47"/>
      <c r="KM176" s="47"/>
      <c r="KN176" s="47"/>
      <c r="KO176" s="47"/>
      <c r="KP176" s="47"/>
      <c r="KQ176" s="47"/>
      <c r="KR176" s="47"/>
      <c r="KS176" s="47"/>
      <c r="KT176" s="47"/>
      <c r="KU176" s="47"/>
      <c r="KV176" s="47"/>
      <c r="KW176" s="47"/>
      <c r="KX176" s="47"/>
      <c r="KY176" s="47"/>
      <c r="KZ176" s="47"/>
      <c r="LA176" s="47"/>
      <c r="LB176" s="47"/>
      <c r="LC176" s="47"/>
      <c r="LD176" s="47"/>
      <c r="LE176" s="47"/>
      <c r="LF176" s="47"/>
      <c r="LG176" s="47"/>
      <c r="LH176" s="47"/>
      <c r="LI176" s="47"/>
      <c r="LJ176" s="47"/>
      <c r="LK176" s="47"/>
      <c r="LL176" s="47"/>
      <c r="LM176" s="47"/>
      <c r="LN176" s="47"/>
      <c r="LO176" s="47"/>
      <c r="LP176" s="47"/>
      <c r="LQ176" s="47"/>
      <c r="LR176" s="47"/>
      <c r="LS176" s="47"/>
      <c r="LT176" s="47"/>
      <c r="LU176" s="47"/>
      <c r="LV176" s="47"/>
      <c r="LW176" s="47"/>
      <c r="LX176" s="47"/>
      <c r="LY176" s="47"/>
      <c r="LZ176" s="47"/>
      <c r="MA176" s="47"/>
      <c r="MB176" s="47"/>
      <c r="MC176" s="47"/>
      <c r="MD176" s="47"/>
      <c r="ME176" s="47"/>
      <c r="MF176" s="47"/>
      <c r="MG176" s="47"/>
      <c r="MH176" s="47"/>
      <c r="MI176" s="47"/>
      <c r="MJ176" s="4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  <c r="NE176" s="47"/>
      <c r="NF176" s="47"/>
      <c r="NG176" s="47"/>
      <c r="NH176" s="47"/>
      <c r="NI176" s="47"/>
      <c r="NJ176" s="47"/>
      <c r="NK176" s="47"/>
      <c r="NL176" s="47"/>
      <c r="NM176" s="47"/>
      <c r="NN176" s="47"/>
      <c r="NO176" s="47"/>
      <c r="NP176" s="47"/>
      <c r="NQ176" s="47"/>
      <c r="NR176" s="47"/>
      <c r="NS176" s="47"/>
      <c r="NT176" s="47"/>
      <c r="NU176" s="47"/>
      <c r="NV176" s="47"/>
      <c r="NW176" s="47"/>
      <c r="NX176" s="47"/>
      <c r="NY176" s="47"/>
      <c r="NZ176" s="47"/>
      <c r="OA176" s="47"/>
      <c r="OB176" s="47"/>
      <c r="OC176" s="47"/>
      <c r="OD176" s="47"/>
      <c r="OE176" s="47"/>
      <c r="OF176" s="47"/>
      <c r="OG176" s="47"/>
      <c r="OH176" s="47"/>
      <c r="OI176" s="47"/>
      <c r="OJ176" s="47"/>
      <c r="OK176" s="47"/>
      <c r="OL176" s="47"/>
      <c r="OM176" s="47"/>
      <c r="ON176" s="47"/>
      <c r="OO176" s="47"/>
      <c r="OP176" s="47"/>
      <c r="OQ176" s="47"/>
      <c r="OR176" s="47"/>
      <c r="OS176" s="47"/>
      <c r="OT176" s="47"/>
      <c r="OU176" s="47"/>
      <c r="OV176" s="47"/>
      <c r="OW176" s="47"/>
      <c r="OX176" s="47"/>
      <c r="OY176" s="47"/>
      <c r="OZ176" s="47"/>
      <c r="PA176" s="47"/>
      <c r="PB176" s="47"/>
      <c r="PC176" s="47"/>
      <c r="PD176" s="47"/>
      <c r="PE176" s="47"/>
      <c r="PF176" s="47"/>
      <c r="PG176" s="47"/>
      <c r="PH176" s="47"/>
      <c r="PI176" s="47"/>
      <c r="PJ176" s="47"/>
      <c r="PK176" s="47"/>
      <c r="PL176" s="47"/>
      <c r="PM176" s="47"/>
      <c r="PN176" s="47"/>
      <c r="PO176" s="47"/>
      <c r="PP176" s="47"/>
      <c r="PQ176" s="47"/>
      <c r="PR176" s="47"/>
      <c r="PS176" s="47"/>
      <c r="PT176" s="47"/>
      <c r="PU176" s="47"/>
      <c r="PV176" s="47"/>
      <c r="PW176" s="47"/>
      <c r="PX176" s="47"/>
      <c r="PY176" s="47"/>
      <c r="PZ176" s="47"/>
      <c r="QA176" s="47"/>
      <c r="QB176" s="47"/>
      <c r="QC176" s="47"/>
      <c r="QD176" s="47"/>
      <c r="QE176" s="47"/>
      <c r="QF176" s="47"/>
      <c r="QG176" s="47"/>
      <c r="QH176" s="47"/>
      <c r="QI176" s="47"/>
      <c r="QJ176" s="47"/>
      <c r="QK176" s="47"/>
      <c r="QL176" s="47"/>
      <c r="QM176" s="47"/>
      <c r="QN176" s="47"/>
      <c r="QO176" s="47"/>
      <c r="QP176" s="47"/>
      <c r="QQ176" s="47"/>
      <c r="QR176" s="47"/>
      <c r="QS176" s="47"/>
      <c r="QT176" s="47"/>
      <c r="QU176" s="47"/>
      <c r="QV176" s="47"/>
      <c r="QW176" s="47"/>
      <c r="QX176" s="47"/>
      <c r="QY176" s="47"/>
      <c r="QZ176" s="47"/>
      <c r="RA176" s="47"/>
      <c r="RB176" s="47"/>
      <c r="RC176" s="47"/>
      <c r="RD176" s="47"/>
      <c r="RE176" s="47"/>
      <c r="RF176" s="47"/>
      <c r="RG176" s="47"/>
      <c r="RH176" s="47"/>
      <c r="RI176" s="47"/>
      <c r="RJ176" s="47"/>
      <c r="RK176" s="47"/>
      <c r="RL176" s="47"/>
      <c r="RM176" s="47"/>
      <c r="RN176" s="47"/>
      <c r="RO176" s="47"/>
      <c r="RP176" s="47"/>
      <c r="RQ176" s="47"/>
      <c r="RR176" s="47"/>
      <c r="RS176" s="47"/>
      <c r="RT176" s="47"/>
      <c r="RU176" s="47"/>
      <c r="RV176" s="47"/>
      <c r="RW176" s="47"/>
      <c r="RX176" s="47"/>
      <c r="RY176" s="47"/>
      <c r="RZ176" s="47"/>
      <c r="SA176" s="47"/>
      <c r="SB176" s="47"/>
      <c r="SC176" s="47"/>
      <c r="SD176" s="47"/>
      <c r="SE176" s="47"/>
      <c r="SF176" s="47"/>
      <c r="SG176" s="47"/>
      <c r="SH176" s="47"/>
      <c r="SI176" s="47"/>
      <c r="SJ176" s="47"/>
      <c r="SK176" s="47"/>
      <c r="SL176" s="47"/>
      <c r="SM176" s="47"/>
      <c r="SN176" s="47"/>
      <c r="SO176" s="47"/>
      <c r="SP176" s="47"/>
      <c r="SQ176" s="47"/>
      <c r="SR176" s="47"/>
      <c r="SS176" s="47"/>
      <c r="ST176" s="47"/>
      <c r="SU176" s="47"/>
      <c r="SV176" s="47"/>
      <c r="SW176" s="47"/>
      <c r="SX176" s="47"/>
      <c r="SY176" s="47"/>
      <c r="SZ176" s="47"/>
      <c r="TA176" s="47"/>
      <c r="TB176" s="47"/>
      <c r="TC176" s="47"/>
      <c r="TD176" s="47"/>
      <c r="TE176" s="47"/>
      <c r="TF176" s="47"/>
      <c r="TG176" s="47"/>
      <c r="TH176" s="47"/>
      <c r="TI176" s="47"/>
      <c r="TJ176" s="47"/>
      <c r="TK176" s="47"/>
      <c r="TL176" s="47"/>
      <c r="TM176" s="47"/>
      <c r="TN176" s="47"/>
      <c r="TO176" s="47"/>
      <c r="TP176" s="47"/>
      <c r="TQ176" s="47"/>
      <c r="TR176" s="47"/>
      <c r="TS176" s="47"/>
      <c r="TT176" s="47"/>
      <c r="TU176" s="47"/>
      <c r="TV176" s="47"/>
      <c r="TW176" s="47"/>
      <c r="TX176" s="47"/>
      <c r="TY176" s="47"/>
      <c r="TZ176" s="47"/>
      <c r="UA176" s="47"/>
      <c r="UB176" s="47"/>
      <c r="UC176" s="47"/>
      <c r="UD176" s="47"/>
      <c r="UE176" s="47"/>
      <c r="UF176" s="47"/>
      <c r="UG176" s="47"/>
      <c r="UH176" s="47"/>
      <c r="UI176" s="47"/>
      <c r="UJ176" s="47"/>
      <c r="UK176" s="47"/>
      <c r="UL176" s="47"/>
      <c r="UM176" s="47"/>
      <c r="UN176" s="47"/>
      <c r="UO176" s="47"/>
      <c r="UP176" s="47"/>
      <c r="UQ176" s="47"/>
      <c r="UR176" s="47"/>
      <c r="US176" s="47"/>
      <c r="UT176" s="47"/>
      <c r="UU176" s="47"/>
      <c r="UV176" s="47"/>
      <c r="UW176" s="47"/>
      <c r="UX176" s="47"/>
      <c r="UY176" s="47"/>
      <c r="UZ176" s="47"/>
      <c r="VA176" s="47"/>
      <c r="VB176" s="47"/>
      <c r="VC176" s="47"/>
      <c r="VD176" s="47"/>
      <c r="VE176" s="47"/>
      <c r="VF176" s="47"/>
    </row>
    <row r="177" spans="1:578" s="41" customFormat="1" ht="15" hidden="1" customHeight="1" x14ac:dyDescent="0.2">
      <c r="A177" s="43"/>
      <c r="B177" s="95"/>
      <c r="C177" s="95"/>
      <c r="D177" s="40" t="s">
        <v>344</v>
      </c>
      <c r="E177" s="65">
        <v>0</v>
      </c>
      <c r="F177" s="65"/>
      <c r="G177" s="65"/>
      <c r="H177" s="65"/>
      <c r="I177" s="65"/>
      <c r="J177" s="65"/>
      <c r="K177" s="130" t="e">
        <f t="shared" si="41"/>
        <v>#DIV/0!</v>
      </c>
      <c r="L177" s="65">
        <f t="shared" si="40"/>
        <v>0</v>
      </c>
      <c r="M177" s="65"/>
      <c r="N177" s="65"/>
      <c r="O177" s="65"/>
      <c r="P177" s="65"/>
      <c r="Q177" s="65"/>
      <c r="R177" s="65">
        <f t="shared" si="43"/>
        <v>0</v>
      </c>
      <c r="S177" s="65"/>
      <c r="T177" s="65"/>
      <c r="U177" s="65"/>
      <c r="V177" s="65"/>
      <c r="W177" s="65"/>
      <c r="X177" s="132" t="e">
        <f t="shared" si="44"/>
        <v>#DIV/0!</v>
      </c>
      <c r="Y177" s="65">
        <f t="shared" si="42"/>
        <v>0</v>
      </c>
      <c r="Z177" s="203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47"/>
      <c r="KC177" s="47"/>
      <c r="KD177" s="47"/>
      <c r="KE177" s="47"/>
      <c r="KF177" s="47"/>
      <c r="KG177" s="47"/>
      <c r="KH177" s="47"/>
      <c r="KI177" s="47"/>
      <c r="KJ177" s="47"/>
      <c r="KK177" s="47"/>
      <c r="KL177" s="47"/>
      <c r="KM177" s="47"/>
      <c r="KN177" s="47"/>
      <c r="KO177" s="47"/>
      <c r="KP177" s="47"/>
      <c r="KQ177" s="47"/>
      <c r="KR177" s="47"/>
      <c r="KS177" s="47"/>
      <c r="KT177" s="47"/>
      <c r="KU177" s="47"/>
      <c r="KV177" s="47"/>
      <c r="KW177" s="47"/>
      <c r="KX177" s="47"/>
      <c r="KY177" s="47"/>
      <c r="KZ177" s="47"/>
      <c r="LA177" s="47"/>
      <c r="LB177" s="47"/>
      <c r="LC177" s="47"/>
      <c r="LD177" s="47"/>
      <c r="LE177" s="47"/>
      <c r="LF177" s="47"/>
      <c r="LG177" s="47"/>
      <c r="LH177" s="47"/>
      <c r="LI177" s="47"/>
      <c r="LJ177" s="47"/>
      <c r="LK177" s="47"/>
      <c r="LL177" s="47"/>
      <c r="LM177" s="47"/>
      <c r="LN177" s="47"/>
      <c r="LO177" s="47"/>
      <c r="LP177" s="47"/>
      <c r="LQ177" s="47"/>
      <c r="LR177" s="47"/>
      <c r="LS177" s="47"/>
      <c r="LT177" s="47"/>
      <c r="LU177" s="47"/>
      <c r="LV177" s="47"/>
      <c r="LW177" s="47"/>
      <c r="LX177" s="47"/>
      <c r="LY177" s="47"/>
      <c r="LZ177" s="47"/>
      <c r="MA177" s="47"/>
      <c r="MB177" s="47"/>
      <c r="MC177" s="47"/>
      <c r="MD177" s="47"/>
      <c r="ME177" s="47"/>
      <c r="MF177" s="47"/>
      <c r="MG177" s="47"/>
      <c r="MH177" s="47"/>
      <c r="MI177" s="47"/>
      <c r="MJ177" s="4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  <c r="NE177" s="47"/>
      <c r="NF177" s="47"/>
      <c r="NG177" s="47"/>
      <c r="NH177" s="47"/>
      <c r="NI177" s="47"/>
      <c r="NJ177" s="47"/>
      <c r="NK177" s="47"/>
      <c r="NL177" s="47"/>
      <c r="NM177" s="47"/>
      <c r="NN177" s="47"/>
      <c r="NO177" s="47"/>
      <c r="NP177" s="47"/>
      <c r="NQ177" s="47"/>
      <c r="NR177" s="47"/>
      <c r="NS177" s="47"/>
      <c r="NT177" s="47"/>
      <c r="NU177" s="47"/>
      <c r="NV177" s="47"/>
      <c r="NW177" s="47"/>
      <c r="NX177" s="47"/>
      <c r="NY177" s="47"/>
      <c r="NZ177" s="47"/>
      <c r="OA177" s="47"/>
      <c r="OB177" s="47"/>
      <c r="OC177" s="47"/>
      <c r="OD177" s="47"/>
      <c r="OE177" s="47"/>
      <c r="OF177" s="47"/>
      <c r="OG177" s="47"/>
      <c r="OH177" s="47"/>
      <c r="OI177" s="47"/>
      <c r="OJ177" s="47"/>
      <c r="OK177" s="47"/>
      <c r="OL177" s="47"/>
      <c r="OM177" s="47"/>
      <c r="ON177" s="47"/>
      <c r="OO177" s="47"/>
      <c r="OP177" s="47"/>
      <c r="OQ177" s="47"/>
      <c r="OR177" s="47"/>
      <c r="OS177" s="47"/>
      <c r="OT177" s="47"/>
      <c r="OU177" s="47"/>
      <c r="OV177" s="47"/>
      <c r="OW177" s="47"/>
      <c r="OX177" s="47"/>
      <c r="OY177" s="47"/>
      <c r="OZ177" s="47"/>
      <c r="PA177" s="47"/>
      <c r="PB177" s="47"/>
      <c r="PC177" s="47"/>
      <c r="PD177" s="47"/>
      <c r="PE177" s="47"/>
      <c r="PF177" s="47"/>
      <c r="PG177" s="47"/>
      <c r="PH177" s="47"/>
      <c r="PI177" s="47"/>
      <c r="PJ177" s="47"/>
      <c r="PK177" s="47"/>
      <c r="PL177" s="47"/>
      <c r="PM177" s="47"/>
      <c r="PN177" s="47"/>
      <c r="PO177" s="47"/>
      <c r="PP177" s="47"/>
      <c r="PQ177" s="47"/>
      <c r="PR177" s="47"/>
      <c r="PS177" s="47"/>
      <c r="PT177" s="47"/>
      <c r="PU177" s="47"/>
      <c r="PV177" s="47"/>
      <c r="PW177" s="47"/>
      <c r="PX177" s="47"/>
      <c r="PY177" s="47"/>
      <c r="PZ177" s="47"/>
      <c r="QA177" s="47"/>
      <c r="QB177" s="47"/>
      <c r="QC177" s="47"/>
      <c r="QD177" s="47"/>
      <c r="QE177" s="47"/>
      <c r="QF177" s="47"/>
      <c r="QG177" s="47"/>
      <c r="QH177" s="47"/>
      <c r="QI177" s="47"/>
      <c r="QJ177" s="47"/>
      <c r="QK177" s="47"/>
      <c r="QL177" s="47"/>
      <c r="QM177" s="47"/>
      <c r="QN177" s="47"/>
      <c r="QO177" s="47"/>
      <c r="QP177" s="47"/>
      <c r="QQ177" s="47"/>
      <c r="QR177" s="47"/>
      <c r="QS177" s="47"/>
      <c r="QT177" s="47"/>
      <c r="QU177" s="47"/>
      <c r="QV177" s="47"/>
      <c r="QW177" s="47"/>
      <c r="QX177" s="47"/>
      <c r="QY177" s="47"/>
      <c r="QZ177" s="47"/>
      <c r="RA177" s="47"/>
      <c r="RB177" s="47"/>
      <c r="RC177" s="47"/>
      <c r="RD177" s="47"/>
      <c r="RE177" s="47"/>
      <c r="RF177" s="47"/>
      <c r="RG177" s="47"/>
      <c r="RH177" s="47"/>
      <c r="RI177" s="47"/>
      <c r="RJ177" s="47"/>
      <c r="RK177" s="47"/>
      <c r="RL177" s="47"/>
      <c r="RM177" s="47"/>
      <c r="RN177" s="47"/>
      <c r="RO177" s="47"/>
      <c r="RP177" s="47"/>
      <c r="RQ177" s="47"/>
      <c r="RR177" s="47"/>
      <c r="RS177" s="47"/>
      <c r="RT177" s="47"/>
      <c r="RU177" s="47"/>
      <c r="RV177" s="47"/>
      <c r="RW177" s="47"/>
      <c r="RX177" s="47"/>
      <c r="RY177" s="47"/>
      <c r="RZ177" s="47"/>
      <c r="SA177" s="47"/>
      <c r="SB177" s="47"/>
      <c r="SC177" s="47"/>
      <c r="SD177" s="47"/>
      <c r="SE177" s="47"/>
      <c r="SF177" s="47"/>
      <c r="SG177" s="47"/>
      <c r="SH177" s="47"/>
      <c r="SI177" s="47"/>
      <c r="SJ177" s="47"/>
      <c r="SK177" s="47"/>
      <c r="SL177" s="47"/>
      <c r="SM177" s="47"/>
      <c r="SN177" s="47"/>
      <c r="SO177" s="47"/>
      <c r="SP177" s="47"/>
      <c r="SQ177" s="47"/>
      <c r="SR177" s="47"/>
      <c r="SS177" s="47"/>
      <c r="ST177" s="47"/>
      <c r="SU177" s="47"/>
      <c r="SV177" s="47"/>
      <c r="SW177" s="47"/>
      <c r="SX177" s="47"/>
      <c r="SY177" s="47"/>
      <c r="SZ177" s="47"/>
      <c r="TA177" s="47"/>
      <c r="TB177" s="47"/>
      <c r="TC177" s="47"/>
      <c r="TD177" s="47"/>
      <c r="TE177" s="47"/>
      <c r="TF177" s="47"/>
      <c r="TG177" s="47"/>
      <c r="TH177" s="47"/>
      <c r="TI177" s="47"/>
      <c r="TJ177" s="47"/>
      <c r="TK177" s="47"/>
      <c r="TL177" s="47"/>
      <c r="TM177" s="47"/>
      <c r="TN177" s="47"/>
      <c r="TO177" s="47"/>
      <c r="TP177" s="47"/>
      <c r="TQ177" s="47"/>
      <c r="TR177" s="47"/>
      <c r="TS177" s="47"/>
      <c r="TT177" s="47"/>
      <c r="TU177" s="47"/>
      <c r="TV177" s="47"/>
      <c r="TW177" s="47"/>
      <c r="TX177" s="47"/>
      <c r="TY177" s="47"/>
      <c r="TZ177" s="47"/>
      <c r="UA177" s="47"/>
      <c r="UB177" s="47"/>
      <c r="UC177" s="47"/>
      <c r="UD177" s="47"/>
      <c r="UE177" s="47"/>
      <c r="UF177" s="47"/>
      <c r="UG177" s="47"/>
      <c r="UH177" s="47"/>
      <c r="UI177" s="47"/>
      <c r="UJ177" s="47"/>
      <c r="UK177" s="47"/>
      <c r="UL177" s="47"/>
      <c r="UM177" s="47"/>
      <c r="UN177" s="47"/>
      <c r="UO177" s="47"/>
      <c r="UP177" s="47"/>
      <c r="UQ177" s="47"/>
      <c r="UR177" s="47"/>
      <c r="US177" s="47"/>
      <c r="UT177" s="47"/>
      <c r="UU177" s="47"/>
      <c r="UV177" s="47"/>
      <c r="UW177" s="47"/>
      <c r="UX177" s="47"/>
      <c r="UY177" s="47"/>
      <c r="UZ177" s="47"/>
      <c r="VA177" s="47"/>
      <c r="VB177" s="47"/>
      <c r="VC177" s="47"/>
      <c r="VD177" s="47"/>
      <c r="VE177" s="47"/>
      <c r="VF177" s="47"/>
    </row>
    <row r="178" spans="1:578" s="41" customFormat="1" ht="163.5" customHeight="1" x14ac:dyDescent="0.2">
      <c r="A178" s="43" t="s">
        <v>477</v>
      </c>
      <c r="B178" s="96" t="str">
        <f>'дод 3'!A124</f>
        <v>3230</v>
      </c>
      <c r="C178" s="96" t="str">
        <f>'дод 3'!B124</f>
        <v>1040</v>
      </c>
      <c r="D178" s="40" t="s">
        <v>568</v>
      </c>
      <c r="E178" s="65">
        <v>3600900</v>
      </c>
      <c r="F178" s="65"/>
      <c r="G178" s="65"/>
      <c r="H178" s="65">
        <v>651134.02</v>
      </c>
      <c r="I178" s="65"/>
      <c r="J178" s="65"/>
      <c r="K178" s="130">
        <f t="shared" si="41"/>
        <v>18.082535477241802</v>
      </c>
      <c r="L178" s="65">
        <f t="shared" si="40"/>
        <v>0</v>
      </c>
      <c r="M178" s="65"/>
      <c r="N178" s="65"/>
      <c r="O178" s="65"/>
      <c r="P178" s="65"/>
      <c r="Q178" s="65"/>
      <c r="R178" s="65">
        <f t="shared" si="43"/>
        <v>0</v>
      </c>
      <c r="S178" s="65"/>
      <c r="T178" s="65"/>
      <c r="U178" s="65"/>
      <c r="V178" s="65"/>
      <c r="W178" s="65"/>
      <c r="X178" s="132"/>
      <c r="Y178" s="65">
        <f t="shared" si="42"/>
        <v>651134.02</v>
      </c>
      <c r="Z178" s="203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47"/>
      <c r="KC178" s="47"/>
      <c r="KD178" s="47"/>
      <c r="KE178" s="47"/>
      <c r="KF178" s="47"/>
      <c r="KG178" s="47"/>
      <c r="KH178" s="47"/>
      <c r="KI178" s="47"/>
      <c r="KJ178" s="47"/>
      <c r="KK178" s="47"/>
      <c r="KL178" s="47"/>
      <c r="KM178" s="47"/>
      <c r="KN178" s="47"/>
      <c r="KO178" s="47"/>
      <c r="KP178" s="47"/>
      <c r="KQ178" s="47"/>
      <c r="KR178" s="47"/>
      <c r="KS178" s="47"/>
      <c r="KT178" s="47"/>
      <c r="KU178" s="47"/>
      <c r="KV178" s="47"/>
      <c r="KW178" s="47"/>
      <c r="KX178" s="47"/>
      <c r="KY178" s="47"/>
      <c r="KZ178" s="47"/>
      <c r="LA178" s="47"/>
      <c r="LB178" s="47"/>
      <c r="LC178" s="47"/>
      <c r="LD178" s="47"/>
      <c r="LE178" s="47"/>
      <c r="LF178" s="47"/>
      <c r="LG178" s="47"/>
      <c r="LH178" s="47"/>
      <c r="LI178" s="47"/>
      <c r="LJ178" s="47"/>
      <c r="LK178" s="47"/>
      <c r="LL178" s="47"/>
      <c r="LM178" s="47"/>
      <c r="LN178" s="47"/>
      <c r="LO178" s="47"/>
      <c r="LP178" s="47"/>
      <c r="LQ178" s="47"/>
      <c r="LR178" s="47"/>
      <c r="LS178" s="47"/>
      <c r="LT178" s="47"/>
      <c r="LU178" s="47"/>
      <c r="LV178" s="47"/>
      <c r="LW178" s="47"/>
      <c r="LX178" s="47"/>
      <c r="LY178" s="47"/>
      <c r="LZ178" s="47"/>
      <c r="MA178" s="47"/>
      <c r="MB178" s="47"/>
      <c r="MC178" s="47"/>
      <c r="MD178" s="47"/>
      <c r="ME178" s="47"/>
      <c r="MF178" s="47"/>
      <c r="MG178" s="47"/>
      <c r="MH178" s="47"/>
      <c r="MI178" s="47"/>
      <c r="MJ178" s="47"/>
      <c r="MK178" s="47"/>
      <c r="ML178" s="47"/>
      <c r="MM178" s="47"/>
      <c r="MN178" s="47"/>
      <c r="MO178" s="47"/>
      <c r="MP178" s="47"/>
      <c r="MQ178" s="47"/>
      <c r="MR178" s="47"/>
      <c r="MS178" s="47"/>
      <c r="MT178" s="47"/>
      <c r="MU178" s="47"/>
      <c r="MV178" s="47"/>
      <c r="MW178" s="47"/>
      <c r="MX178" s="47"/>
      <c r="MY178" s="47"/>
      <c r="MZ178" s="47"/>
      <c r="NA178" s="47"/>
      <c r="NB178" s="47"/>
      <c r="NC178" s="47"/>
      <c r="ND178" s="47"/>
      <c r="NE178" s="47"/>
      <c r="NF178" s="47"/>
      <c r="NG178" s="47"/>
      <c r="NH178" s="47"/>
      <c r="NI178" s="47"/>
      <c r="NJ178" s="47"/>
      <c r="NK178" s="47"/>
      <c r="NL178" s="47"/>
      <c r="NM178" s="47"/>
      <c r="NN178" s="47"/>
      <c r="NO178" s="47"/>
      <c r="NP178" s="47"/>
      <c r="NQ178" s="47"/>
      <c r="NR178" s="47"/>
      <c r="NS178" s="47"/>
      <c r="NT178" s="47"/>
      <c r="NU178" s="47"/>
      <c r="NV178" s="47"/>
      <c r="NW178" s="47"/>
      <c r="NX178" s="47"/>
      <c r="NY178" s="47"/>
      <c r="NZ178" s="47"/>
      <c r="OA178" s="47"/>
      <c r="OB178" s="47"/>
      <c r="OC178" s="47"/>
      <c r="OD178" s="47"/>
      <c r="OE178" s="47"/>
      <c r="OF178" s="47"/>
      <c r="OG178" s="47"/>
      <c r="OH178" s="47"/>
      <c r="OI178" s="47"/>
      <c r="OJ178" s="47"/>
      <c r="OK178" s="47"/>
      <c r="OL178" s="47"/>
      <c r="OM178" s="47"/>
      <c r="ON178" s="47"/>
      <c r="OO178" s="47"/>
      <c r="OP178" s="47"/>
      <c r="OQ178" s="47"/>
      <c r="OR178" s="47"/>
      <c r="OS178" s="47"/>
      <c r="OT178" s="47"/>
      <c r="OU178" s="47"/>
      <c r="OV178" s="47"/>
      <c r="OW178" s="47"/>
      <c r="OX178" s="47"/>
      <c r="OY178" s="47"/>
      <c r="OZ178" s="47"/>
      <c r="PA178" s="47"/>
      <c r="PB178" s="47"/>
      <c r="PC178" s="47"/>
      <c r="PD178" s="47"/>
      <c r="PE178" s="47"/>
      <c r="PF178" s="47"/>
      <c r="PG178" s="47"/>
      <c r="PH178" s="47"/>
      <c r="PI178" s="47"/>
      <c r="PJ178" s="47"/>
      <c r="PK178" s="47"/>
      <c r="PL178" s="47"/>
      <c r="PM178" s="47"/>
      <c r="PN178" s="47"/>
      <c r="PO178" s="47"/>
      <c r="PP178" s="47"/>
      <c r="PQ178" s="47"/>
      <c r="PR178" s="47"/>
      <c r="PS178" s="47"/>
      <c r="PT178" s="47"/>
      <c r="PU178" s="47"/>
      <c r="PV178" s="47"/>
      <c r="PW178" s="47"/>
      <c r="PX178" s="47"/>
      <c r="PY178" s="47"/>
      <c r="PZ178" s="47"/>
      <c r="QA178" s="47"/>
      <c r="QB178" s="47"/>
      <c r="QC178" s="47"/>
      <c r="QD178" s="47"/>
      <c r="QE178" s="47"/>
      <c r="QF178" s="47"/>
      <c r="QG178" s="47"/>
      <c r="QH178" s="47"/>
      <c r="QI178" s="47"/>
      <c r="QJ178" s="47"/>
      <c r="QK178" s="47"/>
      <c r="QL178" s="47"/>
      <c r="QM178" s="47"/>
      <c r="QN178" s="47"/>
      <c r="QO178" s="47"/>
      <c r="QP178" s="47"/>
      <c r="QQ178" s="47"/>
      <c r="QR178" s="47"/>
      <c r="QS178" s="47"/>
      <c r="QT178" s="47"/>
      <c r="QU178" s="47"/>
      <c r="QV178" s="47"/>
      <c r="QW178" s="47"/>
      <c r="QX178" s="47"/>
      <c r="QY178" s="47"/>
      <c r="QZ178" s="47"/>
      <c r="RA178" s="47"/>
      <c r="RB178" s="47"/>
      <c r="RC178" s="47"/>
      <c r="RD178" s="47"/>
      <c r="RE178" s="47"/>
      <c r="RF178" s="47"/>
      <c r="RG178" s="47"/>
      <c r="RH178" s="47"/>
      <c r="RI178" s="47"/>
      <c r="RJ178" s="47"/>
      <c r="RK178" s="47"/>
      <c r="RL178" s="47"/>
      <c r="RM178" s="47"/>
      <c r="RN178" s="47"/>
      <c r="RO178" s="47"/>
      <c r="RP178" s="47"/>
      <c r="RQ178" s="47"/>
      <c r="RR178" s="47"/>
      <c r="RS178" s="47"/>
      <c r="RT178" s="47"/>
      <c r="RU178" s="47"/>
      <c r="RV178" s="47"/>
      <c r="RW178" s="47"/>
      <c r="RX178" s="47"/>
      <c r="RY178" s="47"/>
      <c r="RZ178" s="47"/>
      <c r="SA178" s="47"/>
      <c r="SB178" s="47"/>
      <c r="SC178" s="47"/>
      <c r="SD178" s="47"/>
      <c r="SE178" s="47"/>
      <c r="SF178" s="47"/>
      <c r="SG178" s="47"/>
      <c r="SH178" s="47"/>
      <c r="SI178" s="47"/>
      <c r="SJ178" s="47"/>
      <c r="SK178" s="47"/>
      <c r="SL178" s="47"/>
      <c r="SM178" s="47"/>
      <c r="SN178" s="47"/>
      <c r="SO178" s="47"/>
      <c r="SP178" s="47"/>
      <c r="SQ178" s="47"/>
      <c r="SR178" s="47"/>
      <c r="SS178" s="47"/>
      <c r="ST178" s="47"/>
      <c r="SU178" s="47"/>
      <c r="SV178" s="47"/>
      <c r="SW178" s="47"/>
      <c r="SX178" s="47"/>
      <c r="SY178" s="47"/>
      <c r="SZ178" s="47"/>
      <c r="TA178" s="47"/>
      <c r="TB178" s="47"/>
      <c r="TC178" s="47"/>
      <c r="TD178" s="47"/>
      <c r="TE178" s="47"/>
      <c r="TF178" s="47"/>
      <c r="TG178" s="47"/>
      <c r="TH178" s="47"/>
      <c r="TI178" s="47"/>
      <c r="TJ178" s="47"/>
      <c r="TK178" s="47"/>
      <c r="TL178" s="47"/>
      <c r="TM178" s="47"/>
      <c r="TN178" s="47"/>
      <c r="TO178" s="47"/>
      <c r="TP178" s="47"/>
      <c r="TQ178" s="47"/>
      <c r="TR178" s="47"/>
      <c r="TS178" s="47"/>
      <c r="TT178" s="47"/>
      <c r="TU178" s="47"/>
      <c r="TV178" s="47"/>
      <c r="TW178" s="47"/>
      <c r="TX178" s="47"/>
      <c r="TY178" s="47"/>
      <c r="TZ178" s="47"/>
      <c r="UA178" s="47"/>
      <c r="UB178" s="47"/>
      <c r="UC178" s="47"/>
      <c r="UD178" s="47"/>
      <c r="UE178" s="47"/>
      <c r="UF178" s="47"/>
      <c r="UG178" s="47"/>
      <c r="UH178" s="47"/>
      <c r="UI178" s="47"/>
      <c r="UJ178" s="47"/>
      <c r="UK178" s="47"/>
      <c r="UL178" s="47"/>
      <c r="UM178" s="47"/>
      <c r="UN178" s="47"/>
      <c r="UO178" s="47"/>
      <c r="UP178" s="47"/>
      <c r="UQ178" s="47"/>
      <c r="UR178" s="47"/>
      <c r="US178" s="47"/>
      <c r="UT178" s="47"/>
      <c r="UU178" s="47"/>
      <c r="UV178" s="47"/>
      <c r="UW178" s="47"/>
      <c r="UX178" s="47"/>
      <c r="UY178" s="47"/>
      <c r="UZ178" s="47"/>
      <c r="VA178" s="47"/>
      <c r="VB178" s="47"/>
      <c r="VC178" s="47"/>
      <c r="VD178" s="47"/>
      <c r="VE178" s="47"/>
      <c r="VF178" s="47"/>
    </row>
    <row r="179" spans="1:578" s="41" customFormat="1" ht="19.5" customHeight="1" x14ac:dyDescent="0.2">
      <c r="A179" s="43"/>
      <c r="B179" s="96"/>
      <c r="C179" s="96"/>
      <c r="D179" s="40" t="str">
        <f>'дод 3'!C125</f>
        <v>у т.ч. за рахунок субвенцій з держбюджету</v>
      </c>
      <c r="E179" s="65">
        <v>3600900</v>
      </c>
      <c r="F179" s="65"/>
      <c r="G179" s="65"/>
      <c r="H179" s="65">
        <v>651134.02</v>
      </c>
      <c r="I179" s="65"/>
      <c r="J179" s="65"/>
      <c r="K179" s="130">
        <f t="shared" si="41"/>
        <v>18.082535477241802</v>
      </c>
      <c r="L179" s="65">
        <f t="shared" si="40"/>
        <v>0</v>
      </c>
      <c r="M179" s="65"/>
      <c r="N179" s="65"/>
      <c r="O179" s="65"/>
      <c r="P179" s="65"/>
      <c r="Q179" s="65"/>
      <c r="R179" s="65">
        <f t="shared" si="43"/>
        <v>0</v>
      </c>
      <c r="S179" s="65"/>
      <c r="T179" s="65"/>
      <c r="U179" s="65"/>
      <c r="V179" s="65"/>
      <c r="W179" s="65"/>
      <c r="X179" s="132"/>
      <c r="Y179" s="65">
        <f t="shared" si="42"/>
        <v>651134.02</v>
      </c>
      <c r="Z179" s="203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47"/>
      <c r="KC179" s="47"/>
      <c r="KD179" s="47"/>
      <c r="KE179" s="47"/>
      <c r="KF179" s="47"/>
      <c r="KG179" s="47"/>
      <c r="KH179" s="47"/>
      <c r="KI179" s="47"/>
      <c r="KJ179" s="47"/>
      <c r="KK179" s="47"/>
      <c r="KL179" s="47"/>
      <c r="KM179" s="47"/>
      <c r="KN179" s="47"/>
      <c r="KO179" s="47"/>
      <c r="KP179" s="47"/>
      <c r="KQ179" s="47"/>
      <c r="KR179" s="47"/>
      <c r="KS179" s="47"/>
      <c r="KT179" s="47"/>
      <c r="KU179" s="47"/>
      <c r="KV179" s="47"/>
      <c r="KW179" s="47"/>
      <c r="KX179" s="47"/>
      <c r="KY179" s="47"/>
      <c r="KZ179" s="47"/>
      <c r="LA179" s="47"/>
      <c r="LB179" s="47"/>
      <c r="LC179" s="47"/>
      <c r="LD179" s="47"/>
      <c r="LE179" s="47"/>
      <c r="LF179" s="47"/>
      <c r="LG179" s="47"/>
      <c r="LH179" s="47"/>
      <c r="LI179" s="47"/>
      <c r="LJ179" s="47"/>
      <c r="LK179" s="47"/>
      <c r="LL179" s="47"/>
      <c r="LM179" s="47"/>
      <c r="LN179" s="47"/>
      <c r="LO179" s="47"/>
      <c r="LP179" s="47"/>
      <c r="LQ179" s="47"/>
      <c r="LR179" s="47"/>
      <c r="LS179" s="47"/>
      <c r="LT179" s="47"/>
      <c r="LU179" s="47"/>
      <c r="LV179" s="47"/>
      <c r="LW179" s="47"/>
      <c r="LX179" s="47"/>
      <c r="LY179" s="47"/>
      <c r="LZ179" s="47"/>
      <c r="MA179" s="47"/>
      <c r="MB179" s="47"/>
      <c r="MC179" s="47"/>
      <c r="MD179" s="47"/>
      <c r="ME179" s="47"/>
      <c r="MF179" s="47"/>
      <c r="MG179" s="47"/>
      <c r="MH179" s="47"/>
      <c r="MI179" s="47"/>
      <c r="MJ179" s="47"/>
      <c r="MK179" s="47"/>
      <c r="ML179" s="47"/>
      <c r="MM179" s="47"/>
      <c r="MN179" s="47"/>
      <c r="MO179" s="47"/>
      <c r="MP179" s="47"/>
      <c r="MQ179" s="47"/>
      <c r="MR179" s="47"/>
      <c r="MS179" s="47"/>
      <c r="MT179" s="47"/>
      <c r="MU179" s="47"/>
      <c r="MV179" s="47"/>
      <c r="MW179" s="47"/>
      <c r="MX179" s="47"/>
      <c r="MY179" s="47"/>
      <c r="MZ179" s="47"/>
      <c r="NA179" s="47"/>
      <c r="NB179" s="47"/>
      <c r="NC179" s="47"/>
      <c r="ND179" s="47"/>
      <c r="NE179" s="47"/>
      <c r="NF179" s="47"/>
      <c r="NG179" s="47"/>
      <c r="NH179" s="47"/>
      <c r="NI179" s="47"/>
      <c r="NJ179" s="47"/>
      <c r="NK179" s="47"/>
      <c r="NL179" s="47"/>
      <c r="NM179" s="47"/>
      <c r="NN179" s="47"/>
      <c r="NO179" s="47"/>
      <c r="NP179" s="47"/>
      <c r="NQ179" s="47"/>
      <c r="NR179" s="47"/>
      <c r="NS179" s="47"/>
      <c r="NT179" s="47"/>
      <c r="NU179" s="47"/>
      <c r="NV179" s="47"/>
      <c r="NW179" s="47"/>
      <c r="NX179" s="47"/>
      <c r="NY179" s="47"/>
      <c r="NZ179" s="47"/>
      <c r="OA179" s="47"/>
      <c r="OB179" s="47"/>
      <c r="OC179" s="47"/>
      <c r="OD179" s="47"/>
      <c r="OE179" s="47"/>
      <c r="OF179" s="47"/>
      <c r="OG179" s="47"/>
      <c r="OH179" s="47"/>
      <c r="OI179" s="47"/>
      <c r="OJ179" s="47"/>
      <c r="OK179" s="47"/>
      <c r="OL179" s="47"/>
      <c r="OM179" s="47"/>
      <c r="ON179" s="47"/>
      <c r="OO179" s="47"/>
      <c r="OP179" s="47"/>
      <c r="OQ179" s="47"/>
      <c r="OR179" s="47"/>
      <c r="OS179" s="47"/>
      <c r="OT179" s="47"/>
      <c r="OU179" s="47"/>
      <c r="OV179" s="47"/>
      <c r="OW179" s="47"/>
      <c r="OX179" s="47"/>
      <c r="OY179" s="47"/>
      <c r="OZ179" s="47"/>
      <c r="PA179" s="47"/>
      <c r="PB179" s="47"/>
      <c r="PC179" s="47"/>
      <c r="PD179" s="47"/>
      <c r="PE179" s="47"/>
      <c r="PF179" s="47"/>
      <c r="PG179" s="47"/>
      <c r="PH179" s="47"/>
      <c r="PI179" s="47"/>
      <c r="PJ179" s="47"/>
      <c r="PK179" s="47"/>
      <c r="PL179" s="47"/>
      <c r="PM179" s="47"/>
      <c r="PN179" s="47"/>
      <c r="PO179" s="47"/>
      <c r="PP179" s="47"/>
      <c r="PQ179" s="47"/>
      <c r="PR179" s="47"/>
      <c r="PS179" s="47"/>
      <c r="PT179" s="47"/>
      <c r="PU179" s="47"/>
      <c r="PV179" s="47"/>
      <c r="PW179" s="47"/>
      <c r="PX179" s="47"/>
      <c r="PY179" s="47"/>
      <c r="PZ179" s="47"/>
      <c r="QA179" s="47"/>
      <c r="QB179" s="47"/>
      <c r="QC179" s="47"/>
      <c r="QD179" s="47"/>
      <c r="QE179" s="47"/>
      <c r="QF179" s="47"/>
      <c r="QG179" s="47"/>
      <c r="QH179" s="47"/>
      <c r="QI179" s="47"/>
      <c r="QJ179" s="47"/>
      <c r="QK179" s="47"/>
      <c r="QL179" s="47"/>
      <c r="QM179" s="47"/>
      <c r="QN179" s="47"/>
      <c r="QO179" s="47"/>
      <c r="QP179" s="47"/>
      <c r="QQ179" s="47"/>
      <c r="QR179" s="47"/>
      <c r="QS179" s="47"/>
      <c r="QT179" s="47"/>
      <c r="QU179" s="47"/>
      <c r="QV179" s="47"/>
      <c r="QW179" s="47"/>
      <c r="QX179" s="47"/>
      <c r="QY179" s="47"/>
      <c r="QZ179" s="47"/>
      <c r="RA179" s="47"/>
      <c r="RB179" s="47"/>
      <c r="RC179" s="47"/>
      <c r="RD179" s="47"/>
      <c r="RE179" s="47"/>
      <c r="RF179" s="47"/>
      <c r="RG179" s="47"/>
      <c r="RH179" s="47"/>
      <c r="RI179" s="47"/>
      <c r="RJ179" s="47"/>
      <c r="RK179" s="47"/>
      <c r="RL179" s="47"/>
      <c r="RM179" s="47"/>
      <c r="RN179" s="47"/>
      <c r="RO179" s="47"/>
      <c r="RP179" s="47"/>
      <c r="RQ179" s="47"/>
      <c r="RR179" s="47"/>
      <c r="RS179" s="47"/>
      <c r="RT179" s="47"/>
      <c r="RU179" s="47"/>
      <c r="RV179" s="47"/>
      <c r="RW179" s="47"/>
      <c r="RX179" s="47"/>
      <c r="RY179" s="47"/>
      <c r="RZ179" s="47"/>
      <c r="SA179" s="47"/>
      <c r="SB179" s="47"/>
      <c r="SC179" s="47"/>
      <c r="SD179" s="47"/>
      <c r="SE179" s="47"/>
      <c r="SF179" s="47"/>
      <c r="SG179" s="47"/>
      <c r="SH179" s="47"/>
      <c r="SI179" s="47"/>
      <c r="SJ179" s="47"/>
      <c r="SK179" s="47"/>
      <c r="SL179" s="47"/>
      <c r="SM179" s="47"/>
      <c r="SN179" s="47"/>
      <c r="SO179" s="47"/>
      <c r="SP179" s="47"/>
      <c r="SQ179" s="47"/>
      <c r="SR179" s="47"/>
      <c r="SS179" s="47"/>
      <c r="ST179" s="47"/>
      <c r="SU179" s="47"/>
      <c r="SV179" s="47"/>
      <c r="SW179" s="47"/>
      <c r="SX179" s="47"/>
      <c r="SY179" s="47"/>
      <c r="SZ179" s="47"/>
      <c r="TA179" s="47"/>
      <c r="TB179" s="47"/>
      <c r="TC179" s="47"/>
      <c r="TD179" s="47"/>
      <c r="TE179" s="47"/>
      <c r="TF179" s="47"/>
      <c r="TG179" s="47"/>
      <c r="TH179" s="47"/>
      <c r="TI179" s="47"/>
      <c r="TJ179" s="47"/>
      <c r="TK179" s="47"/>
      <c r="TL179" s="47"/>
      <c r="TM179" s="47"/>
      <c r="TN179" s="47"/>
      <c r="TO179" s="47"/>
      <c r="TP179" s="47"/>
      <c r="TQ179" s="47"/>
      <c r="TR179" s="47"/>
      <c r="TS179" s="47"/>
      <c r="TT179" s="47"/>
      <c r="TU179" s="47"/>
      <c r="TV179" s="47"/>
      <c r="TW179" s="47"/>
      <c r="TX179" s="47"/>
      <c r="TY179" s="47"/>
      <c r="TZ179" s="47"/>
      <c r="UA179" s="47"/>
      <c r="UB179" s="47"/>
      <c r="UC179" s="47"/>
      <c r="UD179" s="47"/>
      <c r="UE179" s="47"/>
      <c r="UF179" s="47"/>
      <c r="UG179" s="47"/>
      <c r="UH179" s="47"/>
      <c r="UI179" s="47"/>
      <c r="UJ179" s="47"/>
      <c r="UK179" s="47"/>
      <c r="UL179" s="47"/>
      <c r="UM179" s="47"/>
      <c r="UN179" s="47"/>
      <c r="UO179" s="47"/>
      <c r="UP179" s="47"/>
      <c r="UQ179" s="47"/>
      <c r="UR179" s="47"/>
      <c r="US179" s="47"/>
      <c r="UT179" s="47"/>
      <c r="UU179" s="47"/>
      <c r="UV179" s="47"/>
      <c r="UW179" s="47"/>
      <c r="UX179" s="47"/>
      <c r="UY179" s="47"/>
      <c r="UZ179" s="47"/>
      <c r="VA179" s="47"/>
      <c r="VB179" s="47"/>
      <c r="VC179" s="47"/>
      <c r="VD179" s="47"/>
      <c r="VE179" s="47"/>
      <c r="VF179" s="47"/>
    </row>
    <row r="180" spans="1:578" s="41" customFormat="1" ht="31.5" customHeight="1" x14ac:dyDescent="0.2">
      <c r="A180" s="39" t="s">
        <v>401</v>
      </c>
      <c r="B180" s="90" t="str">
        <f>'дод 3'!A126</f>
        <v>3241</v>
      </c>
      <c r="C180" s="90" t="str">
        <f>'дод 3'!B126</f>
        <v>1090</v>
      </c>
      <c r="D180" s="42" t="str">
        <f>'дод 3'!C126</f>
        <v>Забезпечення діяльності інших закладів у сфері соціального захисту і соціального забезпечення</v>
      </c>
      <c r="E180" s="65">
        <v>4888111</v>
      </c>
      <c r="F180" s="65">
        <v>2885108</v>
      </c>
      <c r="G180" s="65">
        <f>539079+7054</f>
        <v>546133</v>
      </c>
      <c r="H180" s="65">
        <v>1073702.6499999999</v>
      </c>
      <c r="I180" s="65">
        <v>682916.02</v>
      </c>
      <c r="J180" s="65">
        <v>159978.34</v>
      </c>
      <c r="K180" s="130">
        <f t="shared" si="41"/>
        <v>21.965594684736086</v>
      </c>
      <c r="L180" s="65">
        <f t="shared" ref="L180:L233" si="45">N180+Q180</f>
        <v>910000</v>
      </c>
      <c r="M180" s="65">
        <v>910000</v>
      </c>
      <c r="N180" s="65"/>
      <c r="O180" s="65"/>
      <c r="P180" s="65"/>
      <c r="Q180" s="65">
        <f>410000+500000</f>
        <v>910000</v>
      </c>
      <c r="R180" s="65">
        <f t="shared" si="43"/>
        <v>7619.2</v>
      </c>
      <c r="S180" s="65"/>
      <c r="T180" s="65">
        <v>7619.2</v>
      </c>
      <c r="U180" s="65"/>
      <c r="V180" s="65"/>
      <c r="W180" s="65"/>
      <c r="X180" s="132">
        <f t="shared" si="44"/>
        <v>0.83727472527472513</v>
      </c>
      <c r="Y180" s="65">
        <f t="shared" si="42"/>
        <v>1081321.8499999999</v>
      </c>
      <c r="Z180" s="203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47"/>
      <c r="KC180" s="47"/>
      <c r="KD180" s="47"/>
      <c r="KE180" s="47"/>
      <c r="KF180" s="47"/>
      <c r="KG180" s="47"/>
      <c r="KH180" s="47"/>
      <c r="KI180" s="47"/>
      <c r="KJ180" s="47"/>
      <c r="KK180" s="47"/>
      <c r="KL180" s="47"/>
      <c r="KM180" s="47"/>
      <c r="KN180" s="47"/>
      <c r="KO180" s="47"/>
      <c r="KP180" s="47"/>
      <c r="KQ180" s="47"/>
      <c r="KR180" s="47"/>
      <c r="KS180" s="47"/>
      <c r="KT180" s="47"/>
      <c r="KU180" s="47"/>
      <c r="KV180" s="47"/>
      <c r="KW180" s="47"/>
      <c r="KX180" s="47"/>
      <c r="KY180" s="47"/>
      <c r="KZ180" s="47"/>
      <c r="LA180" s="47"/>
      <c r="LB180" s="47"/>
      <c r="LC180" s="47"/>
      <c r="LD180" s="47"/>
      <c r="LE180" s="47"/>
      <c r="LF180" s="47"/>
      <c r="LG180" s="47"/>
      <c r="LH180" s="47"/>
      <c r="LI180" s="47"/>
      <c r="LJ180" s="47"/>
      <c r="LK180" s="47"/>
      <c r="LL180" s="47"/>
      <c r="LM180" s="47"/>
      <c r="LN180" s="47"/>
      <c r="LO180" s="47"/>
      <c r="LP180" s="47"/>
      <c r="LQ180" s="47"/>
      <c r="LR180" s="47"/>
      <c r="LS180" s="47"/>
      <c r="LT180" s="47"/>
      <c r="LU180" s="47"/>
      <c r="LV180" s="47"/>
      <c r="LW180" s="47"/>
      <c r="LX180" s="47"/>
      <c r="LY180" s="47"/>
      <c r="LZ180" s="47"/>
      <c r="MA180" s="47"/>
      <c r="MB180" s="47"/>
      <c r="MC180" s="47"/>
      <c r="MD180" s="47"/>
      <c r="ME180" s="47"/>
      <c r="MF180" s="47"/>
      <c r="MG180" s="47"/>
      <c r="MH180" s="47"/>
      <c r="MI180" s="47"/>
      <c r="MJ180" s="47"/>
      <c r="MK180" s="47"/>
      <c r="ML180" s="47"/>
      <c r="MM180" s="47"/>
      <c r="MN180" s="47"/>
      <c r="MO180" s="47"/>
      <c r="MP180" s="47"/>
      <c r="MQ180" s="47"/>
      <c r="MR180" s="47"/>
      <c r="MS180" s="47"/>
      <c r="MT180" s="47"/>
      <c r="MU180" s="47"/>
      <c r="MV180" s="47"/>
      <c r="MW180" s="47"/>
      <c r="MX180" s="47"/>
      <c r="MY180" s="47"/>
      <c r="MZ180" s="47"/>
      <c r="NA180" s="47"/>
      <c r="NB180" s="47"/>
      <c r="NC180" s="47"/>
      <c r="ND180" s="47"/>
      <c r="NE180" s="47"/>
      <c r="NF180" s="47"/>
      <c r="NG180" s="47"/>
      <c r="NH180" s="47"/>
      <c r="NI180" s="47"/>
      <c r="NJ180" s="47"/>
      <c r="NK180" s="47"/>
      <c r="NL180" s="47"/>
      <c r="NM180" s="47"/>
      <c r="NN180" s="47"/>
      <c r="NO180" s="47"/>
      <c r="NP180" s="47"/>
      <c r="NQ180" s="47"/>
      <c r="NR180" s="47"/>
      <c r="NS180" s="47"/>
      <c r="NT180" s="47"/>
      <c r="NU180" s="47"/>
      <c r="NV180" s="47"/>
      <c r="NW180" s="47"/>
      <c r="NX180" s="47"/>
      <c r="NY180" s="47"/>
      <c r="NZ180" s="47"/>
      <c r="OA180" s="47"/>
      <c r="OB180" s="47"/>
      <c r="OC180" s="47"/>
      <c r="OD180" s="47"/>
      <c r="OE180" s="47"/>
      <c r="OF180" s="47"/>
      <c r="OG180" s="47"/>
      <c r="OH180" s="47"/>
      <c r="OI180" s="47"/>
      <c r="OJ180" s="47"/>
      <c r="OK180" s="47"/>
      <c r="OL180" s="47"/>
      <c r="OM180" s="47"/>
      <c r="ON180" s="47"/>
      <c r="OO180" s="47"/>
      <c r="OP180" s="47"/>
      <c r="OQ180" s="47"/>
      <c r="OR180" s="47"/>
      <c r="OS180" s="47"/>
      <c r="OT180" s="47"/>
      <c r="OU180" s="47"/>
      <c r="OV180" s="47"/>
      <c r="OW180" s="47"/>
      <c r="OX180" s="47"/>
      <c r="OY180" s="47"/>
      <c r="OZ180" s="47"/>
      <c r="PA180" s="47"/>
      <c r="PB180" s="47"/>
      <c r="PC180" s="47"/>
      <c r="PD180" s="47"/>
      <c r="PE180" s="47"/>
      <c r="PF180" s="47"/>
      <c r="PG180" s="47"/>
      <c r="PH180" s="47"/>
      <c r="PI180" s="47"/>
      <c r="PJ180" s="47"/>
      <c r="PK180" s="47"/>
      <c r="PL180" s="47"/>
      <c r="PM180" s="47"/>
      <c r="PN180" s="47"/>
      <c r="PO180" s="47"/>
      <c r="PP180" s="47"/>
      <c r="PQ180" s="47"/>
      <c r="PR180" s="47"/>
      <c r="PS180" s="47"/>
      <c r="PT180" s="47"/>
      <c r="PU180" s="47"/>
      <c r="PV180" s="47"/>
      <c r="PW180" s="47"/>
      <c r="PX180" s="47"/>
      <c r="PY180" s="47"/>
      <c r="PZ180" s="47"/>
      <c r="QA180" s="47"/>
      <c r="QB180" s="47"/>
      <c r="QC180" s="47"/>
      <c r="QD180" s="47"/>
      <c r="QE180" s="47"/>
      <c r="QF180" s="47"/>
      <c r="QG180" s="47"/>
      <c r="QH180" s="47"/>
      <c r="QI180" s="47"/>
      <c r="QJ180" s="47"/>
      <c r="QK180" s="47"/>
      <c r="QL180" s="47"/>
      <c r="QM180" s="47"/>
      <c r="QN180" s="47"/>
      <c r="QO180" s="47"/>
      <c r="QP180" s="47"/>
      <c r="QQ180" s="47"/>
      <c r="QR180" s="47"/>
      <c r="QS180" s="47"/>
      <c r="QT180" s="47"/>
      <c r="QU180" s="47"/>
      <c r="QV180" s="47"/>
      <c r="QW180" s="47"/>
      <c r="QX180" s="47"/>
      <c r="QY180" s="47"/>
      <c r="QZ180" s="47"/>
      <c r="RA180" s="47"/>
      <c r="RB180" s="47"/>
      <c r="RC180" s="47"/>
      <c r="RD180" s="47"/>
      <c r="RE180" s="47"/>
      <c r="RF180" s="47"/>
      <c r="RG180" s="47"/>
      <c r="RH180" s="47"/>
      <c r="RI180" s="47"/>
      <c r="RJ180" s="47"/>
      <c r="RK180" s="47"/>
      <c r="RL180" s="47"/>
      <c r="RM180" s="47"/>
      <c r="RN180" s="47"/>
      <c r="RO180" s="47"/>
      <c r="RP180" s="47"/>
      <c r="RQ180" s="47"/>
      <c r="RR180" s="47"/>
      <c r="RS180" s="47"/>
      <c r="RT180" s="47"/>
      <c r="RU180" s="47"/>
      <c r="RV180" s="47"/>
      <c r="RW180" s="47"/>
      <c r="RX180" s="47"/>
      <c r="RY180" s="47"/>
      <c r="RZ180" s="47"/>
      <c r="SA180" s="47"/>
      <c r="SB180" s="47"/>
      <c r="SC180" s="47"/>
      <c r="SD180" s="47"/>
      <c r="SE180" s="47"/>
      <c r="SF180" s="47"/>
      <c r="SG180" s="47"/>
      <c r="SH180" s="47"/>
      <c r="SI180" s="47"/>
      <c r="SJ180" s="47"/>
      <c r="SK180" s="47"/>
      <c r="SL180" s="47"/>
      <c r="SM180" s="47"/>
      <c r="SN180" s="47"/>
      <c r="SO180" s="47"/>
      <c r="SP180" s="47"/>
      <c r="SQ180" s="47"/>
      <c r="SR180" s="47"/>
      <c r="SS180" s="47"/>
      <c r="ST180" s="47"/>
      <c r="SU180" s="47"/>
      <c r="SV180" s="47"/>
      <c r="SW180" s="47"/>
      <c r="SX180" s="47"/>
      <c r="SY180" s="47"/>
      <c r="SZ180" s="47"/>
      <c r="TA180" s="47"/>
      <c r="TB180" s="47"/>
      <c r="TC180" s="47"/>
      <c r="TD180" s="47"/>
      <c r="TE180" s="47"/>
      <c r="TF180" s="47"/>
      <c r="TG180" s="47"/>
      <c r="TH180" s="47"/>
      <c r="TI180" s="47"/>
      <c r="TJ180" s="47"/>
      <c r="TK180" s="47"/>
      <c r="TL180" s="47"/>
      <c r="TM180" s="47"/>
      <c r="TN180" s="47"/>
      <c r="TO180" s="47"/>
      <c r="TP180" s="47"/>
      <c r="TQ180" s="47"/>
      <c r="TR180" s="47"/>
      <c r="TS180" s="47"/>
      <c r="TT180" s="47"/>
      <c r="TU180" s="47"/>
      <c r="TV180" s="47"/>
      <c r="TW180" s="47"/>
      <c r="TX180" s="47"/>
      <c r="TY180" s="47"/>
      <c r="TZ180" s="47"/>
      <c r="UA180" s="47"/>
      <c r="UB180" s="47"/>
      <c r="UC180" s="47"/>
      <c r="UD180" s="47"/>
      <c r="UE180" s="47"/>
      <c r="UF180" s="47"/>
      <c r="UG180" s="47"/>
      <c r="UH180" s="47"/>
      <c r="UI180" s="47"/>
      <c r="UJ180" s="47"/>
      <c r="UK180" s="47"/>
      <c r="UL180" s="47"/>
      <c r="UM180" s="47"/>
      <c r="UN180" s="47"/>
      <c r="UO180" s="47"/>
      <c r="UP180" s="47"/>
      <c r="UQ180" s="47"/>
      <c r="UR180" s="47"/>
      <c r="US180" s="47"/>
      <c r="UT180" s="47"/>
      <c r="UU180" s="47"/>
      <c r="UV180" s="47"/>
      <c r="UW180" s="47"/>
      <c r="UX180" s="47"/>
      <c r="UY180" s="47"/>
      <c r="UZ180" s="47"/>
      <c r="VA180" s="47"/>
      <c r="VB180" s="47"/>
      <c r="VC180" s="47"/>
      <c r="VD180" s="47"/>
      <c r="VE180" s="47"/>
      <c r="VF180" s="47"/>
    </row>
    <row r="181" spans="1:578" s="41" customFormat="1" ht="33" customHeight="1" x14ac:dyDescent="0.2">
      <c r="A181" s="39" t="s">
        <v>402</v>
      </c>
      <c r="B181" s="90" t="str">
        <f>'дод 3'!A127</f>
        <v>3242</v>
      </c>
      <c r="C181" s="90" t="str">
        <f>'дод 3'!B127</f>
        <v>1090</v>
      </c>
      <c r="D181" s="42" t="str">
        <f>'дод 3'!C127</f>
        <v>Інші заходи у сфері соціального захисту і соціального забезпечення</v>
      </c>
      <c r="E181" s="65">
        <v>34063634</v>
      </c>
      <c r="F181" s="65"/>
      <c r="G181" s="65"/>
      <c r="H181" s="65">
        <v>5369770.79</v>
      </c>
      <c r="I181" s="65"/>
      <c r="J181" s="65"/>
      <c r="K181" s="130">
        <f t="shared" si="41"/>
        <v>15.763939895549605</v>
      </c>
      <c r="L181" s="65">
        <f t="shared" si="45"/>
        <v>0</v>
      </c>
      <c r="M181" s="65"/>
      <c r="N181" s="65"/>
      <c r="O181" s="65"/>
      <c r="P181" s="65"/>
      <c r="Q181" s="65"/>
      <c r="R181" s="65">
        <f t="shared" si="43"/>
        <v>0</v>
      </c>
      <c r="S181" s="65"/>
      <c r="T181" s="65"/>
      <c r="U181" s="65"/>
      <c r="V181" s="65"/>
      <c r="W181" s="65"/>
      <c r="X181" s="132"/>
      <c r="Y181" s="65">
        <f t="shared" si="42"/>
        <v>5369770.79</v>
      </c>
      <c r="Z181" s="203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  <c r="OB181" s="47"/>
      <c r="OC181" s="47"/>
      <c r="OD181" s="47"/>
      <c r="OE181" s="47"/>
      <c r="OF181" s="47"/>
      <c r="OG181" s="47"/>
      <c r="OH181" s="47"/>
      <c r="OI181" s="47"/>
      <c r="OJ181" s="47"/>
      <c r="OK181" s="47"/>
      <c r="OL181" s="47"/>
      <c r="OM181" s="47"/>
      <c r="ON181" s="47"/>
      <c r="OO181" s="47"/>
      <c r="OP181" s="47"/>
      <c r="OQ181" s="47"/>
      <c r="OR181" s="47"/>
      <c r="OS181" s="47"/>
      <c r="OT181" s="47"/>
      <c r="OU181" s="47"/>
      <c r="OV181" s="47"/>
      <c r="OW181" s="47"/>
      <c r="OX181" s="47"/>
      <c r="OY181" s="47"/>
      <c r="OZ181" s="47"/>
      <c r="PA181" s="47"/>
      <c r="PB181" s="47"/>
      <c r="PC181" s="47"/>
      <c r="PD181" s="47"/>
      <c r="PE181" s="47"/>
      <c r="PF181" s="47"/>
      <c r="PG181" s="47"/>
      <c r="PH181" s="47"/>
      <c r="PI181" s="47"/>
      <c r="PJ181" s="47"/>
      <c r="PK181" s="47"/>
      <c r="PL181" s="47"/>
      <c r="PM181" s="47"/>
      <c r="PN181" s="47"/>
      <c r="PO181" s="47"/>
      <c r="PP181" s="47"/>
      <c r="PQ181" s="47"/>
      <c r="PR181" s="47"/>
      <c r="PS181" s="47"/>
      <c r="PT181" s="47"/>
      <c r="PU181" s="47"/>
      <c r="PV181" s="47"/>
      <c r="PW181" s="47"/>
      <c r="PX181" s="47"/>
      <c r="PY181" s="47"/>
      <c r="PZ181" s="47"/>
      <c r="QA181" s="47"/>
      <c r="QB181" s="47"/>
      <c r="QC181" s="47"/>
      <c r="QD181" s="47"/>
      <c r="QE181" s="47"/>
      <c r="QF181" s="47"/>
      <c r="QG181" s="47"/>
      <c r="QH181" s="47"/>
      <c r="QI181" s="47"/>
      <c r="QJ181" s="47"/>
      <c r="QK181" s="47"/>
      <c r="QL181" s="47"/>
      <c r="QM181" s="47"/>
      <c r="QN181" s="47"/>
      <c r="QO181" s="47"/>
      <c r="QP181" s="47"/>
      <c r="QQ181" s="47"/>
      <c r="QR181" s="47"/>
      <c r="QS181" s="47"/>
      <c r="QT181" s="47"/>
      <c r="QU181" s="47"/>
      <c r="QV181" s="47"/>
      <c r="QW181" s="47"/>
      <c r="QX181" s="47"/>
      <c r="QY181" s="47"/>
      <c r="QZ181" s="47"/>
      <c r="RA181" s="47"/>
      <c r="RB181" s="47"/>
      <c r="RC181" s="47"/>
      <c r="RD181" s="47"/>
      <c r="RE181" s="47"/>
      <c r="RF181" s="47"/>
      <c r="RG181" s="47"/>
      <c r="RH181" s="47"/>
      <c r="RI181" s="47"/>
      <c r="RJ181" s="47"/>
      <c r="RK181" s="47"/>
      <c r="RL181" s="47"/>
      <c r="RM181" s="47"/>
      <c r="RN181" s="47"/>
      <c r="RO181" s="47"/>
      <c r="RP181" s="47"/>
      <c r="RQ181" s="47"/>
      <c r="RR181" s="47"/>
      <c r="RS181" s="47"/>
      <c r="RT181" s="47"/>
      <c r="RU181" s="47"/>
      <c r="RV181" s="47"/>
      <c r="RW181" s="47"/>
      <c r="RX181" s="47"/>
      <c r="RY181" s="47"/>
      <c r="RZ181" s="47"/>
      <c r="SA181" s="47"/>
      <c r="SB181" s="47"/>
      <c r="SC181" s="47"/>
      <c r="SD181" s="47"/>
      <c r="SE181" s="47"/>
      <c r="SF181" s="47"/>
      <c r="SG181" s="47"/>
      <c r="SH181" s="47"/>
      <c r="SI181" s="47"/>
      <c r="SJ181" s="47"/>
      <c r="SK181" s="47"/>
      <c r="SL181" s="47"/>
      <c r="SM181" s="47"/>
      <c r="SN181" s="47"/>
      <c r="SO181" s="47"/>
      <c r="SP181" s="47"/>
      <c r="SQ181" s="47"/>
      <c r="SR181" s="47"/>
      <c r="SS181" s="47"/>
      <c r="ST181" s="47"/>
      <c r="SU181" s="47"/>
      <c r="SV181" s="47"/>
      <c r="SW181" s="47"/>
      <c r="SX181" s="47"/>
      <c r="SY181" s="47"/>
      <c r="SZ181" s="47"/>
      <c r="TA181" s="47"/>
      <c r="TB181" s="47"/>
      <c r="TC181" s="47"/>
      <c r="TD181" s="47"/>
      <c r="TE181" s="47"/>
      <c r="TF181" s="47"/>
      <c r="TG181" s="47"/>
      <c r="TH181" s="47"/>
      <c r="TI181" s="47"/>
      <c r="TJ181" s="47"/>
      <c r="TK181" s="47"/>
      <c r="TL181" s="47"/>
      <c r="TM181" s="47"/>
      <c r="TN181" s="47"/>
      <c r="TO181" s="47"/>
      <c r="TP181" s="47"/>
      <c r="TQ181" s="47"/>
      <c r="TR181" s="47"/>
      <c r="TS181" s="47"/>
      <c r="TT181" s="47"/>
      <c r="TU181" s="47"/>
      <c r="TV181" s="47"/>
      <c r="TW181" s="47"/>
      <c r="TX181" s="47"/>
      <c r="TY181" s="47"/>
      <c r="TZ181" s="47"/>
      <c r="UA181" s="47"/>
      <c r="UB181" s="47"/>
      <c r="UC181" s="47"/>
      <c r="UD181" s="47"/>
      <c r="UE181" s="47"/>
      <c r="UF181" s="47"/>
      <c r="UG181" s="47"/>
      <c r="UH181" s="47"/>
      <c r="UI181" s="47"/>
      <c r="UJ181" s="47"/>
      <c r="UK181" s="47"/>
      <c r="UL181" s="47"/>
      <c r="UM181" s="47"/>
      <c r="UN181" s="47"/>
      <c r="UO181" s="47"/>
      <c r="UP181" s="47"/>
      <c r="UQ181" s="47"/>
      <c r="UR181" s="47"/>
      <c r="US181" s="47"/>
      <c r="UT181" s="47"/>
      <c r="UU181" s="47"/>
      <c r="UV181" s="47"/>
      <c r="UW181" s="47"/>
      <c r="UX181" s="47"/>
      <c r="UY181" s="47"/>
      <c r="UZ181" s="47"/>
      <c r="VA181" s="47"/>
      <c r="VB181" s="47"/>
      <c r="VC181" s="47"/>
      <c r="VD181" s="47"/>
      <c r="VE181" s="47"/>
      <c r="VF181" s="47"/>
    </row>
    <row r="182" spans="1:578" s="41" customFormat="1" ht="15" hidden="1" customHeight="1" x14ac:dyDescent="0.2">
      <c r="A182" s="39" t="s">
        <v>253</v>
      </c>
      <c r="B182" s="90" t="str">
        <f>'дод 3'!A185</f>
        <v>7640</v>
      </c>
      <c r="C182" s="90" t="str">
        <f>'дод 3'!B185</f>
        <v>0470</v>
      </c>
      <c r="D182" s="42" t="str">
        <f>'дод 3'!C185</f>
        <v>Заходи з енергозбереження</v>
      </c>
      <c r="E182" s="65">
        <v>0</v>
      </c>
      <c r="F182" s="65"/>
      <c r="G182" s="65"/>
      <c r="H182" s="65"/>
      <c r="I182" s="65"/>
      <c r="J182" s="65"/>
      <c r="K182" s="129" t="e">
        <f t="shared" si="41"/>
        <v>#DIV/0!</v>
      </c>
      <c r="L182" s="65">
        <f t="shared" si="45"/>
        <v>0</v>
      </c>
      <c r="M182" s="65"/>
      <c r="N182" s="65"/>
      <c r="O182" s="65"/>
      <c r="P182" s="65"/>
      <c r="Q182" s="65"/>
      <c r="R182" s="65">
        <f t="shared" si="43"/>
        <v>0</v>
      </c>
      <c r="S182" s="65"/>
      <c r="T182" s="65"/>
      <c r="U182" s="65"/>
      <c r="V182" s="65"/>
      <c r="W182" s="65"/>
      <c r="X182" s="132" t="e">
        <f t="shared" si="44"/>
        <v>#DIV/0!</v>
      </c>
      <c r="Y182" s="65">
        <f t="shared" si="42"/>
        <v>0</v>
      </c>
      <c r="Z182" s="203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47"/>
      <c r="KC182" s="47"/>
      <c r="KD182" s="47"/>
      <c r="KE182" s="47"/>
      <c r="KF182" s="47"/>
      <c r="KG182" s="47"/>
      <c r="KH182" s="47"/>
      <c r="KI182" s="47"/>
      <c r="KJ182" s="47"/>
      <c r="KK182" s="47"/>
      <c r="KL182" s="47"/>
      <c r="KM182" s="47"/>
      <c r="KN182" s="47"/>
      <c r="KO182" s="47"/>
      <c r="KP182" s="47"/>
      <c r="KQ182" s="47"/>
      <c r="KR182" s="47"/>
      <c r="KS182" s="47"/>
      <c r="KT182" s="47"/>
      <c r="KU182" s="47"/>
      <c r="KV182" s="47"/>
      <c r="KW182" s="47"/>
      <c r="KX182" s="47"/>
      <c r="KY182" s="47"/>
      <c r="KZ182" s="47"/>
      <c r="LA182" s="47"/>
      <c r="LB182" s="47"/>
      <c r="LC182" s="47"/>
      <c r="LD182" s="47"/>
      <c r="LE182" s="47"/>
      <c r="LF182" s="47"/>
      <c r="LG182" s="47"/>
      <c r="LH182" s="47"/>
      <c r="LI182" s="47"/>
      <c r="LJ182" s="47"/>
      <c r="LK182" s="47"/>
      <c r="LL182" s="47"/>
      <c r="LM182" s="47"/>
      <c r="LN182" s="47"/>
      <c r="LO182" s="47"/>
      <c r="LP182" s="47"/>
      <c r="LQ182" s="47"/>
      <c r="LR182" s="47"/>
      <c r="LS182" s="47"/>
      <c r="LT182" s="47"/>
      <c r="LU182" s="47"/>
      <c r="LV182" s="47"/>
      <c r="LW182" s="47"/>
      <c r="LX182" s="47"/>
      <c r="LY182" s="47"/>
      <c r="LZ182" s="47"/>
      <c r="MA182" s="47"/>
      <c r="MB182" s="47"/>
      <c r="MC182" s="47"/>
      <c r="MD182" s="47"/>
      <c r="ME182" s="47"/>
      <c r="MF182" s="47"/>
      <c r="MG182" s="47"/>
      <c r="MH182" s="47"/>
      <c r="MI182" s="47"/>
      <c r="MJ182" s="47"/>
      <c r="MK182" s="47"/>
      <c r="ML182" s="47"/>
      <c r="MM182" s="47"/>
      <c r="MN182" s="47"/>
      <c r="MO182" s="47"/>
      <c r="MP182" s="47"/>
      <c r="MQ182" s="47"/>
      <c r="MR182" s="47"/>
      <c r="MS182" s="47"/>
      <c r="MT182" s="47"/>
      <c r="MU182" s="47"/>
      <c r="MV182" s="47"/>
      <c r="MW182" s="47"/>
      <c r="MX182" s="47"/>
      <c r="MY182" s="47"/>
      <c r="MZ182" s="47"/>
      <c r="NA182" s="47"/>
      <c r="NB182" s="47"/>
      <c r="NC182" s="47"/>
      <c r="ND182" s="47"/>
      <c r="NE182" s="47"/>
      <c r="NF182" s="47"/>
      <c r="NG182" s="47"/>
      <c r="NH182" s="47"/>
      <c r="NI182" s="47"/>
      <c r="NJ182" s="47"/>
      <c r="NK182" s="47"/>
      <c r="NL182" s="47"/>
      <c r="NM182" s="47"/>
      <c r="NN182" s="47"/>
      <c r="NO182" s="47"/>
      <c r="NP182" s="47"/>
      <c r="NQ182" s="47"/>
      <c r="NR182" s="47"/>
      <c r="NS182" s="47"/>
      <c r="NT182" s="47"/>
      <c r="NU182" s="47"/>
      <c r="NV182" s="47"/>
      <c r="NW182" s="47"/>
      <c r="NX182" s="47"/>
      <c r="NY182" s="47"/>
      <c r="NZ182" s="47"/>
      <c r="OA182" s="47"/>
      <c r="OB182" s="47"/>
      <c r="OC182" s="47"/>
      <c r="OD182" s="47"/>
      <c r="OE182" s="47"/>
      <c r="OF182" s="47"/>
      <c r="OG182" s="47"/>
      <c r="OH182" s="47"/>
      <c r="OI182" s="47"/>
      <c r="OJ182" s="47"/>
      <c r="OK182" s="47"/>
      <c r="OL182" s="47"/>
      <c r="OM182" s="47"/>
      <c r="ON182" s="47"/>
      <c r="OO182" s="47"/>
      <c r="OP182" s="47"/>
      <c r="OQ182" s="47"/>
      <c r="OR182" s="47"/>
      <c r="OS182" s="47"/>
      <c r="OT182" s="47"/>
      <c r="OU182" s="47"/>
      <c r="OV182" s="47"/>
      <c r="OW182" s="47"/>
      <c r="OX182" s="47"/>
      <c r="OY182" s="47"/>
      <c r="OZ182" s="47"/>
      <c r="PA182" s="47"/>
      <c r="PB182" s="47"/>
      <c r="PC182" s="47"/>
      <c r="PD182" s="47"/>
      <c r="PE182" s="47"/>
      <c r="PF182" s="47"/>
      <c r="PG182" s="47"/>
      <c r="PH182" s="47"/>
      <c r="PI182" s="47"/>
      <c r="PJ182" s="47"/>
      <c r="PK182" s="47"/>
      <c r="PL182" s="47"/>
      <c r="PM182" s="47"/>
      <c r="PN182" s="47"/>
      <c r="PO182" s="47"/>
      <c r="PP182" s="47"/>
      <c r="PQ182" s="47"/>
      <c r="PR182" s="47"/>
      <c r="PS182" s="47"/>
      <c r="PT182" s="47"/>
      <c r="PU182" s="47"/>
      <c r="PV182" s="47"/>
      <c r="PW182" s="47"/>
      <c r="PX182" s="47"/>
      <c r="PY182" s="47"/>
      <c r="PZ182" s="47"/>
      <c r="QA182" s="47"/>
      <c r="QB182" s="47"/>
      <c r="QC182" s="47"/>
      <c r="QD182" s="47"/>
      <c r="QE182" s="47"/>
      <c r="QF182" s="47"/>
      <c r="QG182" s="47"/>
      <c r="QH182" s="47"/>
      <c r="QI182" s="47"/>
      <c r="QJ182" s="47"/>
      <c r="QK182" s="47"/>
      <c r="QL182" s="47"/>
      <c r="QM182" s="47"/>
      <c r="QN182" s="47"/>
      <c r="QO182" s="47"/>
      <c r="QP182" s="47"/>
      <c r="QQ182" s="47"/>
      <c r="QR182" s="47"/>
      <c r="QS182" s="47"/>
      <c r="QT182" s="47"/>
      <c r="QU182" s="47"/>
      <c r="QV182" s="47"/>
      <c r="QW182" s="47"/>
      <c r="QX182" s="47"/>
      <c r="QY182" s="47"/>
      <c r="QZ182" s="47"/>
      <c r="RA182" s="47"/>
      <c r="RB182" s="47"/>
      <c r="RC182" s="47"/>
      <c r="RD182" s="47"/>
      <c r="RE182" s="47"/>
      <c r="RF182" s="47"/>
      <c r="RG182" s="47"/>
      <c r="RH182" s="47"/>
      <c r="RI182" s="47"/>
      <c r="RJ182" s="47"/>
      <c r="RK182" s="47"/>
      <c r="RL182" s="47"/>
      <c r="RM182" s="47"/>
      <c r="RN182" s="47"/>
      <c r="RO182" s="47"/>
      <c r="RP182" s="47"/>
      <c r="RQ182" s="47"/>
      <c r="RR182" s="47"/>
      <c r="RS182" s="47"/>
      <c r="RT182" s="47"/>
      <c r="RU182" s="47"/>
      <c r="RV182" s="47"/>
      <c r="RW182" s="47"/>
      <c r="RX182" s="47"/>
      <c r="RY182" s="47"/>
      <c r="RZ182" s="47"/>
      <c r="SA182" s="47"/>
      <c r="SB182" s="47"/>
      <c r="SC182" s="47"/>
      <c r="SD182" s="47"/>
      <c r="SE182" s="47"/>
      <c r="SF182" s="47"/>
      <c r="SG182" s="47"/>
      <c r="SH182" s="47"/>
      <c r="SI182" s="47"/>
      <c r="SJ182" s="47"/>
      <c r="SK182" s="47"/>
      <c r="SL182" s="47"/>
      <c r="SM182" s="47"/>
      <c r="SN182" s="47"/>
      <c r="SO182" s="47"/>
      <c r="SP182" s="47"/>
      <c r="SQ182" s="47"/>
      <c r="SR182" s="47"/>
      <c r="SS182" s="47"/>
      <c r="ST182" s="47"/>
      <c r="SU182" s="47"/>
      <c r="SV182" s="47"/>
      <c r="SW182" s="47"/>
      <c r="SX182" s="47"/>
      <c r="SY182" s="47"/>
      <c r="SZ182" s="47"/>
      <c r="TA182" s="47"/>
      <c r="TB182" s="47"/>
      <c r="TC182" s="47"/>
      <c r="TD182" s="47"/>
      <c r="TE182" s="47"/>
      <c r="TF182" s="47"/>
      <c r="TG182" s="47"/>
      <c r="TH182" s="47"/>
      <c r="TI182" s="47"/>
      <c r="TJ182" s="47"/>
      <c r="TK182" s="47"/>
      <c r="TL182" s="47"/>
      <c r="TM182" s="47"/>
      <c r="TN182" s="47"/>
      <c r="TO182" s="47"/>
      <c r="TP182" s="47"/>
      <c r="TQ182" s="47"/>
      <c r="TR182" s="47"/>
      <c r="TS182" s="47"/>
      <c r="TT182" s="47"/>
      <c r="TU182" s="47"/>
      <c r="TV182" s="47"/>
      <c r="TW182" s="47"/>
      <c r="TX182" s="47"/>
      <c r="TY182" s="47"/>
      <c r="TZ182" s="47"/>
      <c r="UA182" s="47"/>
      <c r="UB182" s="47"/>
      <c r="UC182" s="47"/>
      <c r="UD182" s="47"/>
      <c r="UE182" s="47"/>
      <c r="UF182" s="47"/>
      <c r="UG182" s="47"/>
      <c r="UH182" s="47"/>
      <c r="UI182" s="47"/>
      <c r="UJ182" s="47"/>
      <c r="UK182" s="47"/>
      <c r="UL182" s="47"/>
      <c r="UM182" s="47"/>
      <c r="UN182" s="47"/>
      <c r="UO182" s="47"/>
      <c r="UP182" s="47"/>
      <c r="UQ182" s="47"/>
      <c r="UR182" s="47"/>
      <c r="US182" s="47"/>
      <c r="UT182" s="47"/>
      <c r="UU182" s="47"/>
      <c r="UV182" s="47"/>
      <c r="UW182" s="47"/>
      <c r="UX182" s="47"/>
      <c r="UY182" s="47"/>
      <c r="UZ182" s="47"/>
      <c r="VA182" s="47"/>
      <c r="VB182" s="47"/>
      <c r="VC182" s="47"/>
      <c r="VD182" s="47"/>
      <c r="VE182" s="47"/>
      <c r="VF182" s="47"/>
    </row>
    <row r="183" spans="1:578" s="41" customFormat="1" ht="30" hidden="1" customHeight="1" x14ac:dyDescent="0.2">
      <c r="A183" s="39" t="s">
        <v>512</v>
      </c>
      <c r="B183" s="90" t="str">
        <f>'дод 3'!A196</f>
        <v>8110</v>
      </c>
      <c r="C183" s="90" t="str">
        <f>'дод 3'!B196</f>
        <v>0320</v>
      </c>
      <c r="D183" s="42" t="str">
        <f>'дод 3'!C196</f>
        <v>Заходи із запобігання та ліквідації надзвичайних ситуацій та наслідків стихійного лиха</v>
      </c>
      <c r="E183" s="65">
        <v>0</v>
      </c>
      <c r="F183" s="65"/>
      <c r="G183" s="65"/>
      <c r="H183" s="65"/>
      <c r="I183" s="65"/>
      <c r="J183" s="65"/>
      <c r="K183" s="129" t="e">
        <f t="shared" si="41"/>
        <v>#DIV/0!</v>
      </c>
      <c r="L183" s="65">
        <f t="shared" si="45"/>
        <v>0</v>
      </c>
      <c r="M183" s="65"/>
      <c r="N183" s="65"/>
      <c r="O183" s="65"/>
      <c r="P183" s="65"/>
      <c r="Q183" s="65"/>
      <c r="R183" s="65">
        <f t="shared" si="43"/>
        <v>0</v>
      </c>
      <c r="S183" s="65"/>
      <c r="T183" s="65"/>
      <c r="U183" s="65"/>
      <c r="V183" s="65"/>
      <c r="W183" s="65"/>
      <c r="X183" s="132" t="e">
        <f t="shared" si="44"/>
        <v>#DIV/0!</v>
      </c>
      <c r="Y183" s="65">
        <f t="shared" si="42"/>
        <v>0</v>
      </c>
      <c r="Z183" s="203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  <c r="MK183" s="47"/>
      <c r="ML183" s="47"/>
      <c r="MM183" s="47"/>
      <c r="MN183" s="47"/>
      <c r="MO183" s="47"/>
      <c r="MP183" s="47"/>
      <c r="MQ183" s="47"/>
      <c r="MR183" s="47"/>
      <c r="MS183" s="47"/>
      <c r="MT183" s="47"/>
      <c r="MU183" s="47"/>
      <c r="MV183" s="47"/>
      <c r="MW183" s="47"/>
      <c r="MX183" s="47"/>
      <c r="MY183" s="47"/>
      <c r="MZ183" s="47"/>
      <c r="NA183" s="47"/>
      <c r="NB183" s="47"/>
      <c r="NC183" s="47"/>
      <c r="ND183" s="47"/>
      <c r="NE183" s="47"/>
      <c r="NF183" s="47"/>
      <c r="NG183" s="47"/>
      <c r="NH183" s="47"/>
      <c r="NI183" s="47"/>
      <c r="NJ183" s="47"/>
      <c r="NK183" s="47"/>
      <c r="NL183" s="47"/>
      <c r="NM183" s="47"/>
      <c r="NN183" s="47"/>
      <c r="NO183" s="47"/>
      <c r="NP183" s="47"/>
      <c r="NQ183" s="47"/>
      <c r="NR183" s="47"/>
      <c r="NS183" s="47"/>
      <c r="NT183" s="47"/>
      <c r="NU183" s="47"/>
      <c r="NV183" s="47"/>
      <c r="NW183" s="47"/>
      <c r="NX183" s="47"/>
      <c r="NY183" s="47"/>
      <c r="NZ183" s="47"/>
      <c r="OA183" s="47"/>
      <c r="OB183" s="47"/>
      <c r="OC183" s="47"/>
      <c r="OD183" s="47"/>
      <c r="OE183" s="47"/>
      <c r="OF183" s="47"/>
      <c r="OG183" s="47"/>
      <c r="OH183" s="47"/>
      <c r="OI183" s="47"/>
      <c r="OJ183" s="47"/>
      <c r="OK183" s="47"/>
      <c r="OL183" s="47"/>
      <c r="OM183" s="47"/>
      <c r="ON183" s="47"/>
      <c r="OO183" s="47"/>
      <c r="OP183" s="47"/>
      <c r="OQ183" s="47"/>
      <c r="OR183" s="47"/>
      <c r="OS183" s="47"/>
      <c r="OT183" s="47"/>
      <c r="OU183" s="47"/>
      <c r="OV183" s="47"/>
      <c r="OW183" s="47"/>
      <c r="OX183" s="47"/>
      <c r="OY183" s="47"/>
      <c r="OZ183" s="47"/>
      <c r="PA183" s="47"/>
      <c r="PB183" s="47"/>
      <c r="PC183" s="47"/>
      <c r="PD183" s="47"/>
      <c r="PE183" s="47"/>
      <c r="PF183" s="47"/>
      <c r="PG183" s="47"/>
      <c r="PH183" s="47"/>
      <c r="PI183" s="47"/>
      <c r="PJ183" s="47"/>
      <c r="PK183" s="47"/>
      <c r="PL183" s="47"/>
      <c r="PM183" s="47"/>
      <c r="PN183" s="47"/>
      <c r="PO183" s="47"/>
      <c r="PP183" s="47"/>
      <c r="PQ183" s="47"/>
      <c r="PR183" s="47"/>
      <c r="PS183" s="47"/>
      <c r="PT183" s="47"/>
      <c r="PU183" s="47"/>
      <c r="PV183" s="47"/>
      <c r="PW183" s="47"/>
      <c r="PX183" s="47"/>
      <c r="PY183" s="47"/>
      <c r="PZ183" s="47"/>
      <c r="QA183" s="47"/>
      <c r="QB183" s="47"/>
      <c r="QC183" s="47"/>
      <c r="QD183" s="47"/>
      <c r="QE183" s="47"/>
      <c r="QF183" s="47"/>
      <c r="QG183" s="47"/>
      <c r="QH183" s="47"/>
      <c r="QI183" s="47"/>
      <c r="QJ183" s="47"/>
      <c r="QK183" s="47"/>
      <c r="QL183" s="47"/>
      <c r="QM183" s="47"/>
      <c r="QN183" s="47"/>
      <c r="QO183" s="47"/>
      <c r="QP183" s="47"/>
      <c r="QQ183" s="47"/>
      <c r="QR183" s="47"/>
      <c r="QS183" s="47"/>
      <c r="QT183" s="47"/>
      <c r="QU183" s="47"/>
      <c r="QV183" s="47"/>
      <c r="QW183" s="47"/>
      <c r="QX183" s="47"/>
      <c r="QY183" s="47"/>
      <c r="QZ183" s="47"/>
      <c r="RA183" s="47"/>
      <c r="RB183" s="47"/>
      <c r="RC183" s="47"/>
      <c r="RD183" s="47"/>
      <c r="RE183" s="47"/>
      <c r="RF183" s="47"/>
      <c r="RG183" s="47"/>
      <c r="RH183" s="47"/>
      <c r="RI183" s="47"/>
      <c r="RJ183" s="47"/>
      <c r="RK183" s="47"/>
      <c r="RL183" s="47"/>
      <c r="RM183" s="47"/>
      <c r="RN183" s="47"/>
      <c r="RO183" s="47"/>
      <c r="RP183" s="47"/>
      <c r="RQ183" s="47"/>
      <c r="RR183" s="47"/>
      <c r="RS183" s="47"/>
      <c r="RT183" s="47"/>
      <c r="RU183" s="47"/>
      <c r="RV183" s="47"/>
      <c r="RW183" s="47"/>
      <c r="RX183" s="47"/>
      <c r="RY183" s="47"/>
      <c r="RZ183" s="47"/>
      <c r="SA183" s="47"/>
      <c r="SB183" s="47"/>
      <c r="SC183" s="47"/>
      <c r="SD183" s="47"/>
      <c r="SE183" s="47"/>
      <c r="SF183" s="47"/>
      <c r="SG183" s="47"/>
      <c r="SH183" s="47"/>
      <c r="SI183" s="47"/>
      <c r="SJ183" s="47"/>
      <c r="SK183" s="47"/>
      <c r="SL183" s="47"/>
      <c r="SM183" s="47"/>
      <c r="SN183" s="47"/>
      <c r="SO183" s="47"/>
      <c r="SP183" s="47"/>
      <c r="SQ183" s="47"/>
      <c r="SR183" s="47"/>
      <c r="SS183" s="47"/>
      <c r="ST183" s="47"/>
      <c r="SU183" s="47"/>
      <c r="SV183" s="47"/>
      <c r="SW183" s="47"/>
      <c r="SX183" s="47"/>
      <c r="SY183" s="47"/>
      <c r="SZ183" s="47"/>
      <c r="TA183" s="47"/>
      <c r="TB183" s="47"/>
      <c r="TC183" s="47"/>
      <c r="TD183" s="47"/>
      <c r="TE183" s="47"/>
      <c r="TF183" s="47"/>
      <c r="TG183" s="47"/>
      <c r="TH183" s="47"/>
      <c r="TI183" s="47"/>
      <c r="TJ183" s="47"/>
      <c r="TK183" s="47"/>
      <c r="TL183" s="47"/>
      <c r="TM183" s="47"/>
      <c r="TN183" s="47"/>
      <c r="TO183" s="47"/>
      <c r="TP183" s="47"/>
      <c r="TQ183" s="47"/>
      <c r="TR183" s="47"/>
      <c r="TS183" s="47"/>
      <c r="TT183" s="47"/>
      <c r="TU183" s="47"/>
      <c r="TV183" s="47"/>
      <c r="TW183" s="47"/>
      <c r="TX183" s="47"/>
      <c r="TY183" s="47"/>
      <c r="TZ183" s="47"/>
      <c r="UA183" s="47"/>
      <c r="UB183" s="47"/>
      <c r="UC183" s="47"/>
      <c r="UD183" s="47"/>
      <c r="UE183" s="47"/>
      <c r="UF183" s="47"/>
      <c r="UG183" s="47"/>
      <c r="UH183" s="47"/>
      <c r="UI183" s="47"/>
      <c r="UJ183" s="47"/>
      <c r="UK183" s="47"/>
      <c r="UL183" s="47"/>
      <c r="UM183" s="47"/>
      <c r="UN183" s="47"/>
      <c r="UO183" s="47"/>
      <c r="UP183" s="47"/>
      <c r="UQ183" s="47"/>
      <c r="UR183" s="47"/>
      <c r="US183" s="47"/>
      <c r="UT183" s="47"/>
      <c r="UU183" s="47"/>
      <c r="UV183" s="47"/>
      <c r="UW183" s="47"/>
      <c r="UX183" s="47"/>
      <c r="UY183" s="47"/>
      <c r="UZ183" s="47"/>
      <c r="VA183" s="47"/>
      <c r="VB183" s="47"/>
      <c r="VC183" s="47"/>
      <c r="VD183" s="47"/>
      <c r="VE183" s="47"/>
      <c r="VF183" s="47"/>
    </row>
    <row r="184" spans="1:578" s="41" customFormat="1" ht="45" x14ac:dyDescent="0.2">
      <c r="A184" s="64" t="s">
        <v>578</v>
      </c>
      <c r="B184" s="90">
        <v>7363</v>
      </c>
      <c r="C184" s="90" t="s">
        <v>113</v>
      </c>
      <c r="D184" s="42" t="s">
        <v>498</v>
      </c>
      <c r="E184" s="65">
        <v>0</v>
      </c>
      <c r="F184" s="65"/>
      <c r="G184" s="65"/>
      <c r="H184" s="65"/>
      <c r="I184" s="65"/>
      <c r="J184" s="65"/>
      <c r="K184" s="130"/>
      <c r="L184" s="65">
        <f t="shared" si="45"/>
        <v>119789</v>
      </c>
      <c r="M184" s="65">
        <v>119789</v>
      </c>
      <c r="N184" s="65"/>
      <c r="O184" s="65"/>
      <c r="P184" s="65"/>
      <c r="Q184" s="65">
        <f>3489+116300</f>
        <v>119789</v>
      </c>
      <c r="R184" s="65">
        <f t="shared" si="43"/>
        <v>119789</v>
      </c>
      <c r="S184" s="65">
        <v>119789</v>
      </c>
      <c r="T184" s="65"/>
      <c r="U184" s="65"/>
      <c r="V184" s="65"/>
      <c r="W184" s="65">
        <v>119789</v>
      </c>
      <c r="X184" s="132">
        <f t="shared" si="44"/>
        <v>100</v>
      </c>
      <c r="Y184" s="65">
        <f t="shared" si="42"/>
        <v>119789</v>
      </c>
      <c r="Z184" s="203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47"/>
      <c r="KN184" s="47"/>
      <c r="KO184" s="47"/>
      <c r="KP184" s="47"/>
      <c r="KQ184" s="47"/>
      <c r="KR184" s="47"/>
      <c r="KS184" s="47"/>
      <c r="KT184" s="47"/>
      <c r="KU184" s="47"/>
      <c r="KV184" s="47"/>
      <c r="KW184" s="47"/>
      <c r="KX184" s="47"/>
      <c r="KY184" s="47"/>
      <c r="KZ184" s="47"/>
      <c r="LA184" s="47"/>
      <c r="LB184" s="47"/>
      <c r="LC184" s="47"/>
      <c r="LD184" s="47"/>
      <c r="LE184" s="47"/>
      <c r="LF184" s="47"/>
      <c r="LG184" s="47"/>
      <c r="LH184" s="47"/>
      <c r="LI184" s="47"/>
      <c r="LJ184" s="47"/>
      <c r="LK184" s="47"/>
      <c r="LL184" s="47"/>
      <c r="LM184" s="47"/>
      <c r="LN184" s="47"/>
      <c r="LO184" s="47"/>
      <c r="LP184" s="47"/>
      <c r="LQ184" s="47"/>
      <c r="LR184" s="47"/>
      <c r="LS184" s="47"/>
      <c r="LT184" s="47"/>
      <c r="LU184" s="47"/>
      <c r="LV184" s="47"/>
      <c r="LW184" s="47"/>
      <c r="LX184" s="47"/>
      <c r="LY184" s="47"/>
      <c r="LZ184" s="47"/>
      <c r="MA184" s="47"/>
      <c r="MB184" s="47"/>
      <c r="MC184" s="47"/>
      <c r="MD184" s="47"/>
      <c r="ME184" s="47"/>
      <c r="MF184" s="47"/>
      <c r="MG184" s="47"/>
      <c r="MH184" s="47"/>
      <c r="MI184" s="47"/>
      <c r="MJ184" s="47"/>
      <c r="MK184" s="47"/>
      <c r="ML184" s="47"/>
      <c r="MM184" s="47"/>
      <c r="MN184" s="47"/>
      <c r="MO184" s="47"/>
      <c r="MP184" s="47"/>
      <c r="MQ184" s="47"/>
      <c r="MR184" s="47"/>
      <c r="MS184" s="47"/>
      <c r="MT184" s="47"/>
      <c r="MU184" s="47"/>
      <c r="MV184" s="47"/>
      <c r="MW184" s="47"/>
      <c r="MX184" s="47"/>
      <c r="MY184" s="47"/>
      <c r="MZ184" s="47"/>
      <c r="NA184" s="47"/>
      <c r="NB184" s="47"/>
      <c r="NC184" s="47"/>
      <c r="ND184" s="47"/>
      <c r="NE184" s="47"/>
      <c r="NF184" s="47"/>
      <c r="NG184" s="47"/>
      <c r="NH184" s="47"/>
      <c r="NI184" s="47"/>
      <c r="NJ184" s="47"/>
      <c r="NK184" s="47"/>
      <c r="NL184" s="47"/>
      <c r="NM184" s="47"/>
      <c r="NN184" s="47"/>
      <c r="NO184" s="47"/>
      <c r="NP184" s="47"/>
      <c r="NQ184" s="47"/>
      <c r="NR184" s="47"/>
      <c r="NS184" s="47"/>
      <c r="NT184" s="47"/>
      <c r="NU184" s="47"/>
      <c r="NV184" s="47"/>
      <c r="NW184" s="47"/>
      <c r="NX184" s="47"/>
      <c r="NY184" s="47"/>
      <c r="NZ184" s="47"/>
      <c r="OA184" s="47"/>
      <c r="OB184" s="47"/>
      <c r="OC184" s="47"/>
      <c r="OD184" s="47"/>
      <c r="OE184" s="47"/>
      <c r="OF184" s="47"/>
      <c r="OG184" s="47"/>
      <c r="OH184" s="47"/>
      <c r="OI184" s="47"/>
      <c r="OJ184" s="47"/>
      <c r="OK184" s="47"/>
      <c r="OL184" s="47"/>
      <c r="OM184" s="47"/>
      <c r="ON184" s="47"/>
      <c r="OO184" s="47"/>
      <c r="OP184" s="47"/>
      <c r="OQ184" s="47"/>
      <c r="OR184" s="47"/>
      <c r="OS184" s="47"/>
      <c r="OT184" s="47"/>
      <c r="OU184" s="47"/>
      <c r="OV184" s="47"/>
      <c r="OW184" s="47"/>
      <c r="OX184" s="47"/>
      <c r="OY184" s="47"/>
      <c r="OZ184" s="47"/>
      <c r="PA184" s="47"/>
      <c r="PB184" s="47"/>
      <c r="PC184" s="47"/>
      <c r="PD184" s="47"/>
      <c r="PE184" s="47"/>
      <c r="PF184" s="47"/>
      <c r="PG184" s="47"/>
      <c r="PH184" s="47"/>
      <c r="PI184" s="47"/>
      <c r="PJ184" s="47"/>
      <c r="PK184" s="47"/>
      <c r="PL184" s="47"/>
      <c r="PM184" s="47"/>
      <c r="PN184" s="47"/>
      <c r="PO184" s="47"/>
      <c r="PP184" s="47"/>
      <c r="PQ184" s="47"/>
      <c r="PR184" s="47"/>
      <c r="PS184" s="47"/>
      <c r="PT184" s="47"/>
      <c r="PU184" s="47"/>
      <c r="PV184" s="47"/>
      <c r="PW184" s="47"/>
      <c r="PX184" s="47"/>
      <c r="PY184" s="47"/>
      <c r="PZ184" s="47"/>
      <c r="QA184" s="47"/>
      <c r="QB184" s="47"/>
      <c r="QC184" s="47"/>
      <c r="QD184" s="47"/>
      <c r="QE184" s="47"/>
      <c r="QF184" s="47"/>
      <c r="QG184" s="47"/>
      <c r="QH184" s="47"/>
      <c r="QI184" s="47"/>
      <c r="QJ184" s="47"/>
      <c r="QK184" s="47"/>
      <c r="QL184" s="47"/>
      <c r="QM184" s="47"/>
      <c r="QN184" s="47"/>
      <c r="QO184" s="47"/>
      <c r="QP184" s="47"/>
      <c r="QQ184" s="47"/>
      <c r="QR184" s="47"/>
      <c r="QS184" s="47"/>
      <c r="QT184" s="47"/>
      <c r="QU184" s="47"/>
      <c r="QV184" s="47"/>
      <c r="QW184" s="47"/>
      <c r="QX184" s="47"/>
      <c r="QY184" s="47"/>
      <c r="QZ184" s="47"/>
      <c r="RA184" s="47"/>
      <c r="RB184" s="47"/>
      <c r="RC184" s="47"/>
      <c r="RD184" s="47"/>
      <c r="RE184" s="47"/>
      <c r="RF184" s="47"/>
      <c r="RG184" s="47"/>
      <c r="RH184" s="47"/>
      <c r="RI184" s="47"/>
      <c r="RJ184" s="47"/>
      <c r="RK184" s="47"/>
      <c r="RL184" s="47"/>
      <c r="RM184" s="47"/>
      <c r="RN184" s="47"/>
      <c r="RO184" s="47"/>
      <c r="RP184" s="47"/>
      <c r="RQ184" s="47"/>
      <c r="RR184" s="47"/>
      <c r="RS184" s="47"/>
      <c r="RT184" s="47"/>
      <c r="RU184" s="47"/>
      <c r="RV184" s="47"/>
      <c r="RW184" s="47"/>
      <c r="RX184" s="47"/>
      <c r="RY184" s="47"/>
      <c r="RZ184" s="47"/>
      <c r="SA184" s="47"/>
      <c r="SB184" s="47"/>
      <c r="SC184" s="47"/>
      <c r="SD184" s="47"/>
      <c r="SE184" s="47"/>
      <c r="SF184" s="47"/>
      <c r="SG184" s="47"/>
      <c r="SH184" s="47"/>
      <c r="SI184" s="47"/>
      <c r="SJ184" s="47"/>
      <c r="SK184" s="47"/>
      <c r="SL184" s="47"/>
      <c r="SM184" s="47"/>
      <c r="SN184" s="47"/>
      <c r="SO184" s="47"/>
      <c r="SP184" s="47"/>
      <c r="SQ184" s="47"/>
      <c r="SR184" s="47"/>
      <c r="SS184" s="47"/>
      <c r="ST184" s="47"/>
      <c r="SU184" s="47"/>
      <c r="SV184" s="47"/>
      <c r="SW184" s="47"/>
      <c r="SX184" s="47"/>
      <c r="SY184" s="47"/>
      <c r="SZ184" s="47"/>
      <c r="TA184" s="47"/>
      <c r="TB184" s="47"/>
      <c r="TC184" s="47"/>
      <c r="TD184" s="47"/>
      <c r="TE184" s="47"/>
      <c r="TF184" s="47"/>
      <c r="TG184" s="47"/>
      <c r="TH184" s="47"/>
      <c r="TI184" s="47"/>
      <c r="TJ184" s="47"/>
      <c r="TK184" s="47"/>
      <c r="TL184" s="47"/>
      <c r="TM184" s="47"/>
      <c r="TN184" s="47"/>
      <c r="TO184" s="47"/>
      <c r="TP184" s="47"/>
      <c r="TQ184" s="47"/>
      <c r="TR184" s="47"/>
      <c r="TS184" s="47"/>
      <c r="TT184" s="47"/>
      <c r="TU184" s="47"/>
      <c r="TV184" s="47"/>
      <c r="TW184" s="47"/>
      <c r="TX184" s="47"/>
      <c r="TY184" s="47"/>
      <c r="TZ184" s="47"/>
      <c r="UA184" s="47"/>
      <c r="UB184" s="47"/>
      <c r="UC184" s="47"/>
      <c r="UD184" s="47"/>
      <c r="UE184" s="47"/>
      <c r="UF184" s="47"/>
      <c r="UG184" s="47"/>
      <c r="UH184" s="47"/>
      <c r="UI184" s="47"/>
      <c r="UJ184" s="47"/>
      <c r="UK184" s="47"/>
      <c r="UL184" s="47"/>
      <c r="UM184" s="47"/>
      <c r="UN184" s="47"/>
      <c r="UO184" s="47"/>
      <c r="UP184" s="47"/>
      <c r="UQ184" s="47"/>
      <c r="UR184" s="47"/>
      <c r="US184" s="47"/>
      <c r="UT184" s="47"/>
      <c r="UU184" s="47"/>
      <c r="UV184" s="47"/>
      <c r="UW184" s="47"/>
      <c r="UX184" s="47"/>
      <c r="UY184" s="47"/>
      <c r="UZ184" s="47"/>
      <c r="VA184" s="47"/>
      <c r="VB184" s="47"/>
      <c r="VC184" s="47"/>
      <c r="VD184" s="47"/>
      <c r="VE184" s="47"/>
      <c r="VF184" s="47"/>
    </row>
    <row r="185" spans="1:578" s="41" customFormat="1" x14ac:dyDescent="0.2">
      <c r="A185" s="64"/>
      <c r="B185" s="90"/>
      <c r="C185" s="90"/>
      <c r="D185" s="42" t="s">
        <v>344</v>
      </c>
      <c r="E185" s="65">
        <v>0</v>
      </c>
      <c r="F185" s="65"/>
      <c r="G185" s="65"/>
      <c r="H185" s="65"/>
      <c r="I185" s="65"/>
      <c r="J185" s="65"/>
      <c r="K185" s="130"/>
      <c r="L185" s="65">
        <f t="shared" si="45"/>
        <v>116300</v>
      </c>
      <c r="M185" s="65">
        <v>116300</v>
      </c>
      <c r="N185" s="65"/>
      <c r="O185" s="65"/>
      <c r="P185" s="65"/>
      <c r="Q185" s="65">
        <v>116300</v>
      </c>
      <c r="R185" s="65">
        <f t="shared" si="43"/>
        <v>116300</v>
      </c>
      <c r="S185" s="65">
        <v>116300</v>
      </c>
      <c r="T185" s="65"/>
      <c r="U185" s="65"/>
      <c r="V185" s="65"/>
      <c r="W185" s="65">
        <v>116300</v>
      </c>
      <c r="X185" s="132">
        <f t="shared" si="44"/>
        <v>100</v>
      </c>
      <c r="Y185" s="65">
        <f t="shared" si="42"/>
        <v>116300</v>
      </c>
      <c r="Z185" s="203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47"/>
      <c r="KC185" s="47"/>
      <c r="KD185" s="47"/>
      <c r="KE185" s="47"/>
      <c r="KF185" s="47"/>
      <c r="KG185" s="47"/>
      <c r="KH185" s="47"/>
      <c r="KI185" s="47"/>
      <c r="KJ185" s="47"/>
      <c r="KK185" s="47"/>
      <c r="KL185" s="47"/>
      <c r="KM185" s="47"/>
      <c r="KN185" s="47"/>
      <c r="KO185" s="47"/>
      <c r="KP185" s="47"/>
      <c r="KQ185" s="47"/>
      <c r="KR185" s="47"/>
      <c r="KS185" s="47"/>
      <c r="KT185" s="47"/>
      <c r="KU185" s="47"/>
      <c r="KV185" s="47"/>
      <c r="KW185" s="47"/>
      <c r="KX185" s="47"/>
      <c r="KY185" s="47"/>
      <c r="KZ185" s="47"/>
      <c r="LA185" s="47"/>
      <c r="LB185" s="47"/>
      <c r="LC185" s="47"/>
      <c r="LD185" s="47"/>
      <c r="LE185" s="47"/>
      <c r="LF185" s="47"/>
      <c r="LG185" s="47"/>
      <c r="LH185" s="47"/>
      <c r="LI185" s="47"/>
      <c r="LJ185" s="47"/>
      <c r="LK185" s="47"/>
      <c r="LL185" s="47"/>
      <c r="LM185" s="47"/>
      <c r="LN185" s="47"/>
      <c r="LO185" s="47"/>
      <c r="LP185" s="47"/>
      <c r="LQ185" s="47"/>
      <c r="LR185" s="47"/>
      <c r="LS185" s="47"/>
      <c r="LT185" s="47"/>
      <c r="LU185" s="47"/>
      <c r="LV185" s="47"/>
      <c r="LW185" s="47"/>
      <c r="LX185" s="47"/>
      <c r="LY185" s="47"/>
      <c r="LZ185" s="47"/>
      <c r="MA185" s="47"/>
      <c r="MB185" s="47"/>
      <c r="MC185" s="47"/>
      <c r="MD185" s="47"/>
      <c r="ME185" s="47"/>
      <c r="MF185" s="47"/>
      <c r="MG185" s="47"/>
      <c r="MH185" s="47"/>
      <c r="MI185" s="47"/>
      <c r="MJ185" s="47"/>
      <c r="MK185" s="47"/>
      <c r="ML185" s="47"/>
      <c r="MM185" s="47"/>
      <c r="MN185" s="47"/>
      <c r="MO185" s="47"/>
      <c r="MP185" s="47"/>
      <c r="MQ185" s="47"/>
      <c r="MR185" s="47"/>
      <c r="MS185" s="47"/>
      <c r="MT185" s="47"/>
      <c r="MU185" s="47"/>
      <c r="MV185" s="47"/>
      <c r="MW185" s="47"/>
      <c r="MX185" s="47"/>
      <c r="MY185" s="47"/>
      <c r="MZ185" s="47"/>
      <c r="NA185" s="47"/>
      <c r="NB185" s="47"/>
      <c r="NC185" s="47"/>
      <c r="ND185" s="47"/>
      <c r="NE185" s="47"/>
      <c r="NF185" s="47"/>
      <c r="NG185" s="47"/>
      <c r="NH185" s="47"/>
      <c r="NI185" s="47"/>
      <c r="NJ185" s="47"/>
      <c r="NK185" s="47"/>
      <c r="NL185" s="47"/>
      <c r="NM185" s="47"/>
      <c r="NN185" s="47"/>
      <c r="NO185" s="47"/>
      <c r="NP185" s="47"/>
      <c r="NQ185" s="47"/>
      <c r="NR185" s="47"/>
      <c r="NS185" s="47"/>
      <c r="NT185" s="47"/>
      <c r="NU185" s="47"/>
      <c r="NV185" s="47"/>
      <c r="NW185" s="47"/>
      <c r="NX185" s="47"/>
      <c r="NY185" s="47"/>
      <c r="NZ185" s="47"/>
      <c r="OA185" s="47"/>
      <c r="OB185" s="47"/>
      <c r="OC185" s="47"/>
      <c r="OD185" s="47"/>
      <c r="OE185" s="47"/>
      <c r="OF185" s="47"/>
      <c r="OG185" s="47"/>
      <c r="OH185" s="47"/>
      <c r="OI185" s="47"/>
      <c r="OJ185" s="47"/>
      <c r="OK185" s="47"/>
      <c r="OL185" s="47"/>
      <c r="OM185" s="47"/>
      <c r="ON185" s="47"/>
      <c r="OO185" s="47"/>
      <c r="OP185" s="47"/>
      <c r="OQ185" s="47"/>
      <c r="OR185" s="47"/>
      <c r="OS185" s="47"/>
      <c r="OT185" s="47"/>
      <c r="OU185" s="47"/>
      <c r="OV185" s="47"/>
      <c r="OW185" s="47"/>
      <c r="OX185" s="47"/>
      <c r="OY185" s="47"/>
      <c r="OZ185" s="47"/>
      <c r="PA185" s="47"/>
      <c r="PB185" s="47"/>
      <c r="PC185" s="47"/>
      <c r="PD185" s="47"/>
      <c r="PE185" s="47"/>
      <c r="PF185" s="47"/>
      <c r="PG185" s="47"/>
      <c r="PH185" s="47"/>
      <c r="PI185" s="47"/>
      <c r="PJ185" s="47"/>
      <c r="PK185" s="47"/>
      <c r="PL185" s="47"/>
      <c r="PM185" s="47"/>
      <c r="PN185" s="47"/>
      <c r="PO185" s="47"/>
      <c r="PP185" s="47"/>
      <c r="PQ185" s="47"/>
      <c r="PR185" s="47"/>
      <c r="PS185" s="47"/>
      <c r="PT185" s="47"/>
      <c r="PU185" s="47"/>
      <c r="PV185" s="47"/>
      <c r="PW185" s="47"/>
      <c r="PX185" s="47"/>
      <c r="PY185" s="47"/>
      <c r="PZ185" s="47"/>
      <c r="QA185" s="47"/>
      <c r="QB185" s="47"/>
      <c r="QC185" s="47"/>
      <c r="QD185" s="47"/>
      <c r="QE185" s="47"/>
      <c r="QF185" s="47"/>
      <c r="QG185" s="47"/>
      <c r="QH185" s="47"/>
      <c r="QI185" s="47"/>
      <c r="QJ185" s="47"/>
      <c r="QK185" s="47"/>
      <c r="QL185" s="47"/>
      <c r="QM185" s="47"/>
      <c r="QN185" s="47"/>
      <c r="QO185" s="47"/>
      <c r="QP185" s="47"/>
      <c r="QQ185" s="47"/>
      <c r="QR185" s="47"/>
      <c r="QS185" s="47"/>
      <c r="QT185" s="47"/>
      <c r="QU185" s="47"/>
      <c r="QV185" s="47"/>
      <c r="QW185" s="47"/>
      <c r="QX185" s="47"/>
      <c r="QY185" s="47"/>
      <c r="QZ185" s="47"/>
      <c r="RA185" s="47"/>
      <c r="RB185" s="47"/>
      <c r="RC185" s="47"/>
      <c r="RD185" s="47"/>
      <c r="RE185" s="47"/>
      <c r="RF185" s="47"/>
      <c r="RG185" s="47"/>
      <c r="RH185" s="47"/>
      <c r="RI185" s="47"/>
      <c r="RJ185" s="47"/>
      <c r="RK185" s="47"/>
      <c r="RL185" s="47"/>
      <c r="RM185" s="47"/>
      <c r="RN185" s="47"/>
      <c r="RO185" s="47"/>
      <c r="RP185" s="47"/>
      <c r="RQ185" s="47"/>
      <c r="RR185" s="47"/>
      <c r="RS185" s="47"/>
      <c r="RT185" s="47"/>
      <c r="RU185" s="47"/>
      <c r="RV185" s="47"/>
      <c r="RW185" s="47"/>
      <c r="RX185" s="47"/>
      <c r="RY185" s="47"/>
      <c r="RZ185" s="47"/>
      <c r="SA185" s="47"/>
      <c r="SB185" s="47"/>
      <c r="SC185" s="47"/>
      <c r="SD185" s="47"/>
      <c r="SE185" s="47"/>
      <c r="SF185" s="47"/>
      <c r="SG185" s="47"/>
      <c r="SH185" s="47"/>
      <c r="SI185" s="47"/>
      <c r="SJ185" s="47"/>
      <c r="SK185" s="47"/>
      <c r="SL185" s="47"/>
      <c r="SM185" s="47"/>
      <c r="SN185" s="47"/>
      <c r="SO185" s="47"/>
      <c r="SP185" s="47"/>
      <c r="SQ185" s="47"/>
      <c r="SR185" s="47"/>
      <c r="SS185" s="47"/>
      <c r="ST185" s="47"/>
      <c r="SU185" s="47"/>
      <c r="SV185" s="47"/>
      <c r="SW185" s="47"/>
      <c r="SX185" s="47"/>
      <c r="SY185" s="47"/>
      <c r="SZ185" s="47"/>
      <c r="TA185" s="47"/>
      <c r="TB185" s="47"/>
      <c r="TC185" s="47"/>
      <c r="TD185" s="47"/>
      <c r="TE185" s="47"/>
      <c r="TF185" s="47"/>
      <c r="TG185" s="47"/>
      <c r="TH185" s="47"/>
      <c r="TI185" s="47"/>
      <c r="TJ185" s="47"/>
      <c r="TK185" s="47"/>
      <c r="TL185" s="47"/>
      <c r="TM185" s="47"/>
      <c r="TN185" s="47"/>
      <c r="TO185" s="47"/>
      <c r="TP185" s="47"/>
      <c r="TQ185" s="47"/>
      <c r="TR185" s="47"/>
      <c r="TS185" s="47"/>
      <c r="TT185" s="47"/>
      <c r="TU185" s="47"/>
      <c r="TV185" s="47"/>
      <c r="TW185" s="47"/>
      <c r="TX185" s="47"/>
      <c r="TY185" s="47"/>
      <c r="TZ185" s="47"/>
      <c r="UA185" s="47"/>
      <c r="UB185" s="47"/>
      <c r="UC185" s="47"/>
      <c r="UD185" s="47"/>
      <c r="UE185" s="47"/>
      <c r="UF185" s="47"/>
      <c r="UG185" s="47"/>
      <c r="UH185" s="47"/>
      <c r="UI185" s="47"/>
      <c r="UJ185" s="47"/>
      <c r="UK185" s="47"/>
      <c r="UL185" s="47"/>
      <c r="UM185" s="47"/>
      <c r="UN185" s="47"/>
      <c r="UO185" s="47"/>
      <c r="UP185" s="47"/>
      <c r="UQ185" s="47"/>
      <c r="UR185" s="47"/>
      <c r="US185" s="47"/>
      <c r="UT185" s="47"/>
      <c r="UU185" s="47"/>
      <c r="UV185" s="47"/>
      <c r="UW185" s="47"/>
      <c r="UX185" s="47"/>
      <c r="UY185" s="47"/>
      <c r="UZ185" s="47"/>
      <c r="VA185" s="47"/>
      <c r="VB185" s="47"/>
      <c r="VC185" s="47"/>
      <c r="VD185" s="47"/>
      <c r="VE185" s="47"/>
      <c r="VF185" s="47"/>
    </row>
    <row r="186" spans="1:578" s="41" customFormat="1" ht="23.25" customHeight="1" x14ac:dyDescent="0.2">
      <c r="A186" s="39" t="s">
        <v>342</v>
      </c>
      <c r="B186" s="90" t="str">
        <f>'дод 3'!A220</f>
        <v>9770</v>
      </c>
      <c r="C186" s="90" t="str">
        <f>'дод 3'!B220</f>
        <v>0180</v>
      </c>
      <c r="D186" s="42" t="str">
        <f>'дод 3'!C220</f>
        <v xml:space="preserve">Інші субвенції з місцевого бюджету </v>
      </c>
      <c r="E186" s="65">
        <v>664000</v>
      </c>
      <c r="F186" s="65"/>
      <c r="G186" s="65"/>
      <c r="H186" s="65">
        <v>202200</v>
      </c>
      <c r="I186" s="65"/>
      <c r="J186" s="65"/>
      <c r="K186" s="130">
        <f t="shared" si="41"/>
        <v>30.451807228915662</v>
      </c>
      <c r="L186" s="65">
        <f t="shared" si="45"/>
        <v>0</v>
      </c>
      <c r="M186" s="65"/>
      <c r="N186" s="65"/>
      <c r="O186" s="65"/>
      <c r="P186" s="65"/>
      <c r="Q186" s="65"/>
      <c r="R186" s="65">
        <f t="shared" si="43"/>
        <v>0</v>
      </c>
      <c r="S186" s="65"/>
      <c r="T186" s="65"/>
      <c r="U186" s="65"/>
      <c r="V186" s="65"/>
      <c r="W186" s="65"/>
      <c r="X186" s="132"/>
      <c r="Y186" s="65">
        <f t="shared" si="42"/>
        <v>202200</v>
      </c>
      <c r="Z186" s="203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  <c r="JD186" s="47"/>
      <c r="JE186" s="47"/>
      <c r="JF186" s="47"/>
      <c r="JG186" s="47"/>
      <c r="JH186" s="47"/>
      <c r="JI186" s="47"/>
      <c r="JJ186" s="47"/>
      <c r="JK186" s="47"/>
      <c r="JL186" s="47"/>
      <c r="JM186" s="47"/>
      <c r="JN186" s="47"/>
      <c r="JO186" s="47"/>
      <c r="JP186" s="47"/>
      <c r="JQ186" s="47"/>
      <c r="JR186" s="47"/>
      <c r="JS186" s="47"/>
      <c r="JT186" s="47"/>
      <c r="JU186" s="47"/>
      <c r="JV186" s="47"/>
      <c r="JW186" s="47"/>
      <c r="JX186" s="47"/>
      <c r="JY186" s="47"/>
      <c r="JZ186" s="47"/>
      <c r="KA186" s="47"/>
      <c r="KB186" s="47"/>
      <c r="KC186" s="47"/>
      <c r="KD186" s="47"/>
      <c r="KE186" s="47"/>
      <c r="KF186" s="47"/>
      <c r="KG186" s="47"/>
      <c r="KH186" s="47"/>
      <c r="KI186" s="47"/>
      <c r="KJ186" s="47"/>
      <c r="KK186" s="47"/>
      <c r="KL186" s="47"/>
      <c r="KM186" s="47"/>
      <c r="KN186" s="47"/>
      <c r="KO186" s="47"/>
      <c r="KP186" s="47"/>
      <c r="KQ186" s="47"/>
      <c r="KR186" s="47"/>
      <c r="KS186" s="47"/>
      <c r="KT186" s="47"/>
      <c r="KU186" s="47"/>
      <c r="KV186" s="47"/>
      <c r="KW186" s="47"/>
      <c r="KX186" s="47"/>
      <c r="KY186" s="47"/>
      <c r="KZ186" s="47"/>
      <c r="LA186" s="47"/>
      <c r="LB186" s="47"/>
      <c r="LC186" s="47"/>
      <c r="LD186" s="47"/>
      <c r="LE186" s="47"/>
      <c r="LF186" s="47"/>
      <c r="LG186" s="47"/>
      <c r="LH186" s="47"/>
      <c r="LI186" s="47"/>
      <c r="LJ186" s="47"/>
      <c r="LK186" s="47"/>
      <c r="LL186" s="47"/>
      <c r="LM186" s="47"/>
      <c r="LN186" s="47"/>
      <c r="LO186" s="47"/>
      <c r="LP186" s="47"/>
      <c r="LQ186" s="47"/>
      <c r="LR186" s="47"/>
      <c r="LS186" s="47"/>
      <c r="LT186" s="47"/>
      <c r="LU186" s="47"/>
      <c r="LV186" s="47"/>
      <c r="LW186" s="47"/>
      <c r="LX186" s="47"/>
      <c r="LY186" s="47"/>
      <c r="LZ186" s="47"/>
      <c r="MA186" s="47"/>
      <c r="MB186" s="47"/>
      <c r="MC186" s="47"/>
      <c r="MD186" s="47"/>
      <c r="ME186" s="47"/>
      <c r="MF186" s="47"/>
      <c r="MG186" s="47"/>
      <c r="MH186" s="47"/>
      <c r="MI186" s="47"/>
      <c r="MJ186" s="47"/>
      <c r="MK186" s="47"/>
      <c r="ML186" s="47"/>
      <c r="MM186" s="47"/>
      <c r="MN186" s="47"/>
      <c r="MO186" s="47"/>
      <c r="MP186" s="47"/>
      <c r="MQ186" s="47"/>
      <c r="MR186" s="47"/>
      <c r="MS186" s="47"/>
      <c r="MT186" s="47"/>
      <c r="MU186" s="47"/>
      <c r="MV186" s="47"/>
      <c r="MW186" s="47"/>
      <c r="MX186" s="47"/>
      <c r="MY186" s="47"/>
      <c r="MZ186" s="47"/>
      <c r="NA186" s="47"/>
      <c r="NB186" s="47"/>
      <c r="NC186" s="47"/>
      <c r="ND186" s="47"/>
      <c r="NE186" s="47"/>
      <c r="NF186" s="47"/>
      <c r="NG186" s="47"/>
      <c r="NH186" s="47"/>
      <c r="NI186" s="47"/>
      <c r="NJ186" s="47"/>
      <c r="NK186" s="47"/>
      <c r="NL186" s="47"/>
      <c r="NM186" s="47"/>
      <c r="NN186" s="47"/>
      <c r="NO186" s="47"/>
      <c r="NP186" s="47"/>
      <c r="NQ186" s="47"/>
      <c r="NR186" s="47"/>
      <c r="NS186" s="47"/>
      <c r="NT186" s="47"/>
      <c r="NU186" s="47"/>
      <c r="NV186" s="47"/>
      <c r="NW186" s="47"/>
      <c r="NX186" s="47"/>
      <c r="NY186" s="47"/>
      <c r="NZ186" s="47"/>
      <c r="OA186" s="47"/>
      <c r="OB186" s="47"/>
      <c r="OC186" s="47"/>
      <c r="OD186" s="47"/>
      <c r="OE186" s="47"/>
      <c r="OF186" s="47"/>
      <c r="OG186" s="47"/>
      <c r="OH186" s="47"/>
      <c r="OI186" s="47"/>
      <c r="OJ186" s="47"/>
      <c r="OK186" s="47"/>
      <c r="OL186" s="47"/>
      <c r="OM186" s="47"/>
      <c r="ON186" s="47"/>
      <c r="OO186" s="47"/>
      <c r="OP186" s="47"/>
      <c r="OQ186" s="47"/>
      <c r="OR186" s="47"/>
      <c r="OS186" s="47"/>
      <c r="OT186" s="47"/>
      <c r="OU186" s="47"/>
      <c r="OV186" s="47"/>
      <c r="OW186" s="47"/>
      <c r="OX186" s="47"/>
      <c r="OY186" s="47"/>
      <c r="OZ186" s="47"/>
      <c r="PA186" s="47"/>
      <c r="PB186" s="47"/>
      <c r="PC186" s="47"/>
      <c r="PD186" s="47"/>
      <c r="PE186" s="47"/>
      <c r="PF186" s="47"/>
      <c r="PG186" s="47"/>
      <c r="PH186" s="47"/>
      <c r="PI186" s="47"/>
      <c r="PJ186" s="47"/>
      <c r="PK186" s="47"/>
      <c r="PL186" s="47"/>
      <c r="PM186" s="47"/>
      <c r="PN186" s="47"/>
      <c r="PO186" s="47"/>
      <c r="PP186" s="47"/>
      <c r="PQ186" s="47"/>
      <c r="PR186" s="47"/>
      <c r="PS186" s="47"/>
      <c r="PT186" s="47"/>
      <c r="PU186" s="47"/>
      <c r="PV186" s="47"/>
      <c r="PW186" s="47"/>
      <c r="PX186" s="47"/>
      <c r="PY186" s="47"/>
      <c r="PZ186" s="47"/>
      <c r="QA186" s="47"/>
      <c r="QB186" s="47"/>
      <c r="QC186" s="47"/>
      <c r="QD186" s="47"/>
      <c r="QE186" s="47"/>
      <c r="QF186" s="47"/>
      <c r="QG186" s="47"/>
      <c r="QH186" s="47"/>
      <c r="QI186" s="47"/>
      <c r="QJ186" s="47"/>
      <c r="QK186" s="47"/>
      <c r="QL186" s="47"/>
      <c r="QM186" s="47"/>
      <c r="QN186" s="47"/>
      <c r="QO186" s="47"/>
      <c r="QP186" s="47"/>
      <c r="QQ186" s="47"/>
      <c r="QR186" s="47"/>
      <c r="QS186" s="47"/>
      <c r="QT186" s="47"/>
      <c r="QU186" s="47"/>
      <c r="QV186" s="47"/>
      <c r="QW186" s="47"/>
      <c r="QX186" s="47"/>
      <c r="QY186" s="47"/>
      <c r="QZ186" s="47"/>
      <c r="RA186" s="47"/>
      <c r="RB186" s="47"/>
      <c r="RC186" s="47"/>
      <c r="RD186" s="47"/>
      <c r="RE186" s="47"/>
      <c r="RF186" s="47"/>
      <c r="RG186" s="47"/>
      <c r="RH186" s="47"/>
      <c r="RI186" s="47"/>
      <c r="RJ186" s="47"/>
      <c r="RK186" s="47"/>
      <c r="RL186" s="47"/>
      <c r="RM186" s="47"/>
      <c r="RN186" s="47"/>
      <c r="RO186" s="47"/>
      <c r="RP186" s="47"/>
      <c r="RQ186" s="47"/>
      <c r="RR186" s="47"/>
      <c r="RS186" s="47"/>
      <c r="RT186" s="47"/>
      <c r="RU186" s="47"/>
      <c r="RV186" s="47"/>
      <c r="RW186" s="47"/>
      <c r="RX186" s="47"/>
      <c r="RY186" s="47"/>
      <c r="RZ186" s="47"/>
      <c r="SA186" s="47"/>
      <c r="SB186" s="47"/>
      <c r="SC186" s="47"/>
      <c r="SD186" s="47"/>
      <c r="SE186" s="47"/>
      <c r="SF186" s="47"/>
      <c r="SG186" s="47"/>
      <c r="SH186" s="47"/>
      <c r="SI186" s="47"/>
      <c r="SJ186" s="47"/>
      <c r="SK186" s="47"/>
      <c r="SL186" s="47"/>
      <c r="SM186" s="47"/>
      <c r="SN186" s="47"/>
      <c r="SO186" s="47"/>
      <c r="SP186" s="47"/>
      <c r="SQ186" s="47"/>
      <c r="SR186" s="47"/>
      <c r="SS186" s="47"/>
      <c r="ST186" s="47"/>
      <c r="SU186" s="47"/>
      <c r="SV186" s="47"/>
      <c r="SW186" s="47"/>
      <c r="SX186" s="47"/>
      <c r="SY186" s="47"/>
      <c r="SZ186" s="47"/>
      <c r="TA186" s="47"/>
      <c r="TB186" s="47"/>
      <c r="TC186" s="47"/>
      <c r="TD186" s="47"/>
      <c r="TE186" s="47"/>
      <c r="TF186" s="47"/>
      <c r="TG186" s="47"/>
      <c r="TH186" s="47"/>
      <c r="TI186" s="47"/>
      <c r="TJ186" s="47"/>
      <c r="TK186" s="47"/>
      <c r="TL186" s="47"/>
      <c r="TM186" s="47"/>
      <c r="TN186" s="47"/>
      <c r="TO186" s="47"/>
      <c r="TP186" s="47"/>
      <c r="TQ186" s="47"/>
      <c r="TR186" s="47"/>
      <c r="TS186" s="47"/>
      <c r="TT186" s="47"/>
      <c r="TU186" s="47"/>
      <c r="TV186" s="47"/>
      <c r="TW186" s="47"/>
      <c r="TX186" s="47"/>
      <c r="TY186" s="47"/>
      <c r="TZ186" s="47"/>
      <c r="UA186" s="47"/>
      <c r="UB186" s="47"/>
      <c r="UC186" s="47"/>
      <c r="UD186" s="47"/>
      <c r="UE186" s="47"/>
      <c r="UF186" s="47"/>
      <c r="UG186" s="47"/>
      <c r="UH186" s="47"/>
      <c r="UI186" s="47"/>
      <c r="UJ186" s="47"/>
      <c r="UK186" s="47"/>
      <c r="UL186" s="47"/>
      <c r="UM186" s="47"/>
      <c r="UN186" s="47"/>
      <c r="UO186" s="47"/>
      <c r="UP186" s="47"/>
      <c r="UQ186" s="47"/>
      <c r="UR186" s="47"/>
      <c r="US186" s="47"/>
      <c r="UT186" s="47"/>
      <c r="UU186" s="47"/>
      <c r="UV186" s="47"/>
      <c r="UW186" s="47"/>
      <c r="UX186" s="47"/>
      <c r="UY186" s="47"/>
      <c r="UZ186" s="47"/>
      <c r="VA186" s="47"/>
      <c r="VB186" s="47"/>
      <c r="VC186" s="47"/>
      <c r="VD186" s="47"/>
      <c r="VE186" s="47"/>
      <c r="VF186" s="47"/>
    </row>
    <row r="187" spans="1:578" s="57" customFormat="1" ht="21" customHeight="1" x14ac:dyDescent="0.2">
      <c r="A187" s="62" t="s">
        <v>254</v>
      </c>
      <c r="B187" s="97"/>
      <c r="C187" s="97"/>
      <c r="D187" s="56" t="s">
        <v>51</v>
      </c>
      <c r="E187" s="79">
        <v>4507740</v>
      </c>
      <c r="F187" s="79">
        <f t="shared" ref="F187:W187" si="46">F188</f>
        <v>3409100</v>
      </c>
      <c r="G187" s="79">
        <f t="shared" si="46"/>
        <v>46280</v>
      </c>
      <c r="H187" s="79">
        <f t="shared" si="46"/>
        <v>769984.07000000007</v>
      </c>
      <c r="I187" s="79">
        <f t="shared" si="46"/>
        <v>615074.80000000005</v>
      </c>
      <c r="J187" s="79">
        <f t="shared" si="46"/>
        <v>17603.2</v>
      </c>
      <c r="K187" s="129">
        <f t="shared" si="41"/>
        <v>17.081377142426142</v>
      </c>
      <c r="L187" s="79">
        <f t="shared" si="46"/>
        <v>570300</v>
      </c>
      <c r="M187" s="79">
        <f t="shared" si="46"/>
        <v>570300</v>
      </c>
      <c r="N187" s="79">
        <f t="shared" si="46"/>
        <v>0</v>
      </c>
      <c r="O187" s="79">
        <f t="shared" si="46"/>
        <v>0</v>
      </c>
      <c r="P187" s="79">
        <f t="shared" si="46"/>
        <v>0</v>
      </c>
      <c r="Q187" s="79">
        <f t="shared" si="46"/>
        <v>570300</v>
      </c>
      <c r="R187" s="79">
        <f t="shared" si="46"/>
        <v>495483.33</v>
      </c>
      <c r="S187" s="79">
        <f t="shared" si="46"/>
        <v>495483.33</v>
      </c>
      <c r="T187" s="79">
        <f t="shared" si="46"/>
        <v>0</v>
      </c>
      <c r="U187" s="79">
        <f t="shared" si="46"/>
        <v>0</v>
      </c>
      <c r="V187" s="79">
        <f t="shared" si="46"/>
        <v>0</v>
      </c>
      <c r="W187" s="79">
        <f t="shared" si="46"/>
        <v>495483.33</v>
      </c>
      <c r="X187" s="131">
        <f t="shared" si="44"/>
        <v>86.881173066806952</v>
      </c>
      <c r="Y187" s="79">
        <f t="shared" si="42"/>
        <v>1265467.4000000001</v>
      </c>
      <c r="Z187" s="20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  <c r="HP187" s="73"/>
      <c r="HQ187" s="73"/>
      <c r="HR187" s="73"/>
      <c r="HS187" s="73"/>
      <c r="HT187" s="73"/>
      <c r="HU187" s="73"/>
      <c r="HV187" s="73"/>
      <c r="HW187" s="73"/>
      <c r="HX187" s="73"/>
      <c r="HY187" s="73"/>
      <c r="HZ187" s="73"/>
      <c r="IA187" s="73"/>
      <c r="IB187" s="73"/>
      <c r="IC187" s="73"/>
      <c r="ID187" s="73"/>
      <c r="IE187" s="73"/>
      <c r="IF187" s="73"/>
      <c r="IG187" s="73"/>
      <c r="IH187" s="73"/>
      <c r="II187" s="73"/>
      <c r="IJ187" s="73"/>
      <c r="IK187" s="73"/>
      <c r="IL187" s="73"/>
      <c r="IM187" s="73"/>
      <c r="IN187" s="73"/>
      <c r="IO187" s="73"/>
      <c r="IP187" s="73"/>
      <c r="IQ187" s="73"/>
      <c r="IR187" s="73"/>
      <c r="IS187" s="73"/>
      <c r="IT187" s="73"/>
      <c r="IU187" s="73"/>
      <c r="IV187" s="73"/>
      <c r="IW187" s="73"/>
      <c r="IX187" s="73"/>
      <c r="IY187" s="73"/>
      <c r="IZ187" s="73"/>
      <c r="JA187" s="73"/>
      <c r="JB187" s="73"/>
      <c r="JC187" s="73"/>
      <c r="JD187" s="73"/>
      <c r="JE187" s="73"/>
      <c r="JF187" s="73"/>
      <c r="JG187" s="73"/>
      <c r="JH187" s="73"/>
      <c r="JI187" s="73"/>
      <c r="JJ187" s="73"/>
      <c r="JK187" s="73"/>
      <c r="JL187" s="73"/>
      <c r="JM187" s="73"/>
      <c r="JN187" s="73"/>
      <c r="JO187" s="73"/>
      <c r="JP187" s="73"/>
      <c r="JQ187" s="73"/>
      <c r="JR187" s="73"/>
      <c r="JS187" s="73"/>
      <c r="JT187" s="73"/>
      <c r="JU187" s="73"/>
      <c r="JV187" s="73"/>
      <c r="JW187" s="73"/>
      <c r="JX187" s="73"/>
      <c r="JY187" s="73"/>
      <c r="JZ187" s="73"/>
      <c r="KA187" s="73"/>
      <c r="KB187" s="73"/>
      <c r="KC187" s="73"/>
      <c r="KD187" s="73"/>
      <c r="KE187" s="73"/>
      <c r="KF187" s="73"/>
      <c r="KG187" s="73"/>
      <c r="KH187" s="73"/>
      <c r="KI187" s="73"/>
      <c r="KJ187" s="73"/>
      <c r="KK187" s="73"/>
      <c r="KL187" s="73"/>
      <c r="KM187" s="73"/>
      <c r="KN187" s="73"/>
      <c r="KO187" s="73"/>
      <c r="KP187" s="73"/>
      <c r="KQ187" s="73"/>
      <c r="KR187" s="73"/>
      <c r="KS187" s="73"/>
      <c r="KT187" s="73"/>
      <c r="KU187" s="73"/>
      <c r="KV187" s="73"/>
      <c r="KW187" s="73"/>
      <c r="KX187" s="73"/>
      <c r="KY187" s="73"/>
      <c r="KZ187" s="73"/>
      <c r="LA187" s="73"/>
      <c r="LB187" s="73"/>
      <c r="LC187" s="73"/>
      <c r="LD187" s="73"/>
      <c r="LE187" s="73"/>
      <c r="LF187" s="73"/>
      <c r="LG187" s="73"/>
      <c r="LH187" s="73"/>
      <c r="LI187" s="73"/>
      <c r="LJ187" s="73"/>
      <c r="LK187" s="73"/>
      <c r="LL187" s="73"/>
      <c r="LM187" s="73"/>
      <c r="LN187" s="73"/>
      <c r="LO187" s="73"/>
      <c r="LP187" s="73"/>
      <c r="LQ187" s="73"/>
      <c r="LR187" s="73"/>
      <c r="LS187" s="73"/>
      <c r="LT187" s="73"/>
      <c r="LU187" s="73"/>
      <c r="LV187" s="73"/>
      <c r="LW187" s="73"/>
      <c r="LX187" s="73"/>
      <c r="LY187" s="73"/>
      <c r="LZ187" s="73"/>
      <c r="MA187" s="73"/>
      <c r="MB187" s="73"/>
      <c r="MC187" s="73"/>
      <c r="MD187" s="73"/>
      <c r="ME187" s="73"/>
      <c r="MF187" s="73"/>
      <c r="MG187" s="73"/>
      <c r="MH187" s="73"/>
      <c r="MI187" s="73"/>
      <c r="MJ187" s="73"/>
      <c r="MK187" s="73"/>
      <c r="ML187" s="73"/>
      <c r="MM187" s="73"/>
      <c r="MN187" s="73"/>
      <c r="MO187" s="73"/>
      <c r="MP187" s="73"/>
      <c r="MQ187" s="73"/>
      <c r="MR187" s="73"/>
      <c r="MS187" s="73"/>
      <c r="MT187" s="73"/>
      <c r="MU187" s="73"/>
      <c r="MV187" s="73"/>
      <c r="MW187" s="73"/>
      <c r="MX187" s="73"/>
      <c r="MY187" s="73"/>
      <c r="MZ187" s="73"/>
      <c r="NA187" s="73"/>
      <c r="NB187" s="73"/>
      <c r="NC187" s="73"/>
      <c r="ND187" s="73"/>
      <c r="NE187" s="73"/>
      <c r="NF187" s="73"/>
      <c r="NG187" s="73"/>
      <c r="NH187" s="73"/>
      <c r="NI187" s="73"/>
      <c r="NJ187" s="73"/>
      <c r="NK187" s="73"/>
      <c r="NL187" s="73"/>
      <c r="NM187" s="73"/>
      <c r="NN187" s="73"/>
      <c r="NO187" s="73"/>
      <c r="NP187" s="73"/>
      <c r="NQ187" s="73"/>
      <c r="NR187" s="73"/>
      <c r="NS187" s="73"/>
      <c r="NT187" s="73"/>
      <c r="NU187" s="73"/>
      <c r="NV187" s="73"/>
      <c r="NW187" s="73"/>
      <c r="NX187" s="73"/>
      <c r="NY187" s="73"/>
      <c r="NZ187" s="73"/>
      <c r="OA187" s="73"/>
      <c r="OB187" s="73"/>
      <c r="OC187" s="73"/>
      <c r="OD187" s="73"/>
      <c r="OE187" s="73"/>
      <c r="OF187" s="73"/>
      <c r="OG187" s="73"/>
      <c r="OH187" s="73"/>
      <c r="OI187" s="73"/>
      <c r="OJ187" s="73"/>
      <c r="OK187" s="73"/>
      <c r="OL187" s="73"/>
      <c r="OM187" s="73"/>
      <c r="ON187" s="73"/>
      <c r="OO187" s="73"/>
      <c r="OP187" s="73"/>
      <c r="OQ187" s="73"/>
      <c r="OR187" s="73"/>
      <c r="OS187" s="73"/>
      <c r="OT187" s="73"/>
      <c r="OU187" s="73"/>
      <c r="OV187" s="73"/>
      <c r="OW187" s="73"/>
      <c r="OX187" s="73"/>
      <c r="OY187" s="73"/>
      <c r="OZ187" s="73"/>
      <c r="PA187" s="73"/>
      <c r="PB187" s="73"/>
      <c r="PC187" s="73"/>
      <c r="PD187" s="73"/>
      <c r="PE187" s="73"/>
      <c r="PF187" s="73"/>
      <c r="PG187" s="73"/>
      <c r="PH187" s="73"/>
      <c r="PI187" s="73"/>
      <c r="PJ187" s="73"/>
      <c r="PK187" s="73"/>
      <c r="PL187" s="73"/>
      <c r="PM187" s="73"/>
      <c r="PN187" s="73"/>
      <c r="PO187" s="73"/>
      <c r="PP187" s="73"/>
      <c r="PQ187" s="73"/>
      <c r="PR187" s="73"/>
      <c r="PS187" s="73"/>
      <c r="PT187" s="73"/>
      <c r="PU187" s="73"/>
      <c r="PV187" s="73"/>
      <c r="PW187" s="73"/>
      <c r="PX187" s="73"/>
      <c r="PY187" s="73"/>
      <c r="PZ187" s="73"/>
      <c r="QA187" s="73"/>
      <c r="QB187" s="73"/>
      <c r="QC187" s="73"/>
      <c r="QD187" s="73"/>
      <c r="QE187" s="73"/>
      <c r="QF187" s="73"/>
      <c r="QG187" s="73"/>
      <c r="QH187" s="73"/>
      <c r="QI187" s="73"/>
      <c r="QJ187" s="73"/>
      <c r="QK187" s="73"/>
      <c r="QL187" s="73"/>
      <c r="QM187" s="73"/>
      <c r="QN187" s="73"/>
      <c r="QO187" s="73"/>
      <c r="QP187" s="73"/>
      <c r="QQ187" s="73"/>
      <c r="QR187" s="73"/>
      <c r="QS187" s="73"/>
      <c r="QT187" s="73"/>
      <c r="QU187" s="73"/>
      <c r="QV187" s="73"/>
      <c r="QW187" s="73"/>
      <c r="QX187" s="73"/>
      <c r="QY187" s="73"/>
      <c r="QZ187" s="73"/>
      <c r="RA187" s="73"/>
      <c r="RB187" s="73"/>
      <c r="RC187" s="73"/>
      <c r="RD187" s="73"/>
      <c r="RE187" s="73"/>
      <c r="RF187" s="73"/>
      <c r="RG187" s="73"/>
      <c r="RH187" s="73"/>
      <c r="RI187" s="73"/>
      <c r="RJ187" s="73"/>
      <c r="RK187" s="73"/>
      <c r="RL187" s="73"/>
      <c r="RM187" s="73"/>
      <c r="RN187" s="73"/>
      <c r="RO187" s="73"/>
      <c r="RP187" s="73"/>
      <c r="RQ187" s="73"/>
      <c r="RR187" s="73"/>
      <c r="RS187" s="73"/>
      <c r="RT187" s="73"/>
      <c r="RU187" s="73"/>
      <c r="RV187" s="73"/>
      <c r="RW187" s="73"/>
      <c r="RX187" s="73"/>
      <c r="RY187" s="73"/>
      <c r="RZ187" s="73"/>
      <c r="SA187" s="73"/>
      <c r="SB187" s="73"/>
      <c r="SC187" s="73"/>
      <c r="SD187" s="73"/>
      <c r="SE187" s="73"/>
      <c r="SF187" s="73"/>
      <c r="SG187" s="73"/>
      <c r="SH187" s="73"/>
      <c r="SI187" s="73"/>
      <c r="SJ187" s="73"/>
      <c r="SK187" s="73"/>
      <c r="SL187" s="73"/>
      <c r="SM187" s="73"/>
      <c r="SN187" s="73"/>
      <c r="SO187" s="73"/>
      <c r="SP187" s="73"/>
      <c r="SQ187" s="73"/>
      <c r="SR187" s="73"/>
      <c r="SS187" s="73"/>
      <c r="ST187" s="73"/>
      <c r="SU187" s="73"/>
      <c r="SV187" s="73"/>
      <c r="SW187" s="73"/>
      <c r="SX187" s="73"/>
      <c r="SY187" s="73"/>
      <c r="SZ187" s="73"/>
      <c r="TA187" s="73"/>
      <c r="TB187" s="73"/>
      <c r="TC187" s="73"/>
      <c r="TD187" s="73"/>
      <c r="TE187" s="73"/>
      <c r="TF187" s="73"/>
      <c r="TG187" s="73"/>
      <c r="TH187" s="73"/>
      <c r="TI187" s="73"/>
      <c r="TJ187" s="73"/>
      <c r="TK187" s="73"/>
      <c r="TL187" s="73"/>
      <c r="TM187" s="73"/>
      <c r="TN187" s="73"/>
      <c r="TO187" s="73"/>
      <c r="TP187" s="73"/>
      <c r="TQ187" s="73"/>
      <c r="TR187" s="73"/>
      <c r="TS187" s="73"/>
      <c r="TT187" s="73"/>
      <c r="TU187" s="73"/>
      <c r="TV187" s="73"/>
      <c r="TW187" s="73"/>
      <c r="TX187" s="73"/>
      <c r="TY187" s="73"/>
      <c r="TZ187" s="73"/>
      <c r="UA187" s="73"/>
      <c r="UB187" s="73"/>
      <c r="UC187" s="73"/>
      <c r="UD187" s="73"/>
      <c r="UE187" s="73"/>
      <c r="UF187" s="73"/>
      <c r="UG187" s="73"/>
      <c r="UH187" s="73"/>
      <c r="UI187" s="73"/>
      <c r="UJ187" s="73"/>
      <c r="UK187" s="73"/>
      <c r="UL187" s="73"/>
      <c r="UM187" s="73"/>
      <c r="UN187" s="73"/>
      <c r="UO187" s="73"/>
      <c r="UP187" s="73"/>
      <c r="UQ187" s="73"/>
      <c r="UR187" s="73"/>
      <c r="US187" s="73"/>
      <c r="UT187" s="73"/>
      <c r="UU187" s="73"/>
      <c r="UV187" s="73"/>
      <c r="UW187" s="73"/>
      <c r="UX187" s="73"/>
      <c r="UY187" s="73"/>
      <c r="UZ187" s="73"/>
      <c r="VA187" s="73"/>
      <c r="VB187" s="73"/>
      <c r="VC187" s="73"/>
      <c r="VD187" s="73"/>
      <c r="VE187" s="73"/>
      <c r="VF187" s="73"/>
    </row>
    <row r="188" spans="1:578" s="75" customFormat="1" ht="21.75" customHeight="1" x14ac:dyDescent="0.2">
      <c r="A188" s="63" t="s">
        <v>255</v>
      </c>
      <c r="B188" s="98"/>
      <c r="C188" s="98"/>
      <c r="D188" s="61" t="s">
        <v>51</v>
      </c>
      <c r="E188" s="78">
        <v>4507740</v>
      </c>
      <c r="F188" s="78">
        <f t="shared" ref="F188:Q188" si="47">F190+F191+F192+F193</f>
        <v>3409100</v>
      </c>
      <c r="G188" s="78">
        <f t="shared" si="47"/>
        <v>46280</v>
      </c>
      <c r="H188" s="78">
        <f>H190+H191+H192+H193</f>
        <v>769984.07000000007</v>
      </c>
      <c r="I188" s="78">
        <f>I190+I191+I192+I193</f>
        <v>615074.80000000005</v>
      </c>
      <c r="J188" s="78">
        <f>J190+J191+J192+J193</f>
        <v>17603.2</v>
      </c>
      <c r="K188" s="129">
        <f t="shared" si="41"/>
        <v>17.081377142426142</v>
      </c>
      <c r="L188" s="78">
        <f t="shared" si="47"/>
        <v>570300</v>
      </c>
      <c r="M188" s="78">
        <f>M190+M191+M192+M193</f>
        <v>570300</v>
      </c>
      <c r="N188" s="78">
        <f t="shared" si="47"/>
        <v>0</v>
      </c>
      <c r="O188" s="78">
        <f t="shared" si="47"/>
        <v>0</v>
      </c>
      <c r="P188" s="78">
        <f t="shared" si="47"/>
        <v>0</v>
      </c>
      <c r="Q188" s="78">
        <f t="shared" si="47"/>
        <v>570300</v>
      </c>
      <c r="R188" s="78">
        <f t="shared" ref="R188:W188" si="48">R190+R191+R192+R193</f>
        <v>495483.33</v>
      </c>
      <c r="S188" s="78">
        <f t="shared" ref="S188" si="49">S190+S191+S192+S193</f>
        <v>495483.33</v>
      </c>
      <c r="T188" s="78">
        <f t="shared" si="48"/>
        <v>0</v>
      </c>
      <c r="U188" s="78">
        <f t="shared" si="48"/>
        <v>0</v>
      </c>
      <c r="V188" s="78">
        <f t="shared" si="48"/>
        <v>0</v>
      </c>
      <c r="W188" s="78">
        <f t="shared" si="48"/>
        <v>495483.33</v>
      </c>
      <c r="X188" s="131">
        <f t="shared" si="44"/>
        <v>86.881173066806952</v>
      </c>
      <c r="Y188" s="79">
        <f t="shared" si="42"/>
        <v>1265467.4000000001</v>
      </c>
      <c r="Z188" s="203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  <c r="HN188" s="74"/>
      <c r="HO188" s="74"/>
      <c r="HP188" s="74"/>
      <c r="HQ188" s="74"/>
      <c r="HR188" s="74"/>
      <c r="HS188" s="74"/>
      <c r="HT188" s="74"/>
      <c r="HU188" s="74"/>
      <c r="HV188" s="74"/>
      <c r="HW188" s="74"/>
      <c r="HX188" s="74"/>
      <c r="HY188" s="74"/>
      <c r="HZ188" s="74"/>
      <c r="IA188" s="74"/>
      <c r="IB188" s="74"/>
      <c r="IC188" s="74"/>
      <c r="ID188" s="74"/>
      <c r="IE188" s="74"/>
      <c r="IF188" s="74"/>
      <c r="IG188" s="74"/>
      <c r="IH188" s="74"/>
      <c r="II188" s="74"/>
      <c r="IJ188" s="74"/>
      <c r="IK188" s="74"/>
      <c r="IL188" s="74"/>
      <c r="IM188" s="74"/>
      <c r="IN188" s="74"/>
      <c r="IO188" s="74"/>
      <c r="IP188" s="74"/>
      <c r="IQ188" s="74"/>
      <c r="IR188" s="74"/>
      <c r="IS188" s="74"/>
      <c r="IT188" s="74"/>
      <c r="IU188" s="74"/>
      <c r="IV188" s="74"/>
      <c r="IW188" s="74"/>
      <c r="IX188" s="74"/>
      <c r="IY188" s="74"/>
      <c r="IZ188" s="74"/>
      <c r="JA188" s="74"/>
      <c r="JB188" s="74"/>
      <c r="JC188" s="74"/>
      <c r="JD188" s="74"/>
      <c r="JE188" s="74"/>
      <c r="JF188" s="74"/>
      <c r="JG188" s="74"/>
      <c r="JH188" s="74"/>
      <c r="JI188" s="74"/>
      <c r="JJ188" s="74"/>
      <c r="JK188" s="74"/>
      <c r="JL188" s="74"/>
      <c r="JM188" s="74"/>
      <c r="JN188" s="74"/>
      <c r="JO188" s="74"/>
      <c r="JP188" s="74"/>
      <c r="JQ188" s="74"/>
      <c r="JR188" s="74"/>
      <c r="JS188" s="74"/>
      <c r="JT188" s="74"/>
      <c r="JU188" s="74"/>
      <c r="JV188" s="74"/>
      <c r="JW188" s="74"/>
      <c r="JX188" s="74"/>
      <c r="JY188" s="74"/>
      <c r="JZ188" s="74"/>
      <c r="KA188" s="74"/>
      <c r="KB188" s="74"/>
      <c r="KC188" s="74"/>
      <c r="KD188" s="74"/>
      <c r="KE188" s="74"/>
      <c r="KF188" s="74"/>
      <c r="KG188" s="74"/>
      <c r="KH188" s="74"/>
      <c r="KI188" s="74"/>
      <c r="KJ188" s="74"/>
      <c r="KK188" s="74"/>
      <c r="KL188" s="74"/>
      <c r="KM188" s="74"/>
      <c r="KN188" s="74"/>
      <c r="KO188" s="74"/>
      <c r="KP188" s="74"/>
      <c r="KQ188" s="74"/>
      <c r="KR188" s="74"/>
      <c r="KS188" s="74"/>
      <c r="KT188" s="74"/>
      <c r="KU188" s="74"/>
      <c r="KV188" s="74"/>
      <c r="KW188" s="74"/>
      <c r="KX188" s="74"/>
      <c r="KY188" s="74"/>
      <c r="KZ188" s="74"/>
      <c r="LA188" s="74"/>
      <c r="LB188" s="74"/>
      <c r="LC188" s="74"/>
      <c r="LD188" s="74"/>
      <c r="LE188" s="74"/>
      <c r="LF188" s="74"/>
      <c r="LG188" s="74"/>
      <c r="LH188" s="74"/>
      <c r="LI188" s="74"/>
      <c r="LJ188" s="74"/>
      <c r="LK188" s="74"/>
      <c r="LL188" s="74"/>
      <c r="LM188" s="74"/>
      <c r="LN188" s="74"/>
      <c r="LO188" s="74"/>
      <c r="LP188" s="74"/>
      <c r="LQ188" s="74"/>
      <c r="LR188" s="74"/>
      <c r="LS188" s="74"/>
      <c r="LT188" s="74"/>
      <c r="LU188" s="74"/>
      <c r="LV188" s="74"/>
      <c r="LW188" s="74"/>
      <c r="LX188" s="74"/>
      <c r="LY188" s="74"/>
      <c r="LZ188" s="74"/>
      <c r="MA188" s="74"/>
      <c r="MB188" s="74"/>
      <c r="MC188" s="74"/>
      <c r="MD188" s="74"/>
      <c r="ME188" s="74"/>
      <c r="MF188" s="74"/>
      <c r="MG188" s="74"/>
      <c r="MH188" s="74"/>
      <c r="MI188" s="74"/>
      <c r="MJ188" s="74"/>
      <c r="MK188" s="74"/>
      <c r="ML188" s="74"/>
      <c r="MM188" s="74"/>
      <c r="MN188" s="74"/>
      <c r="MO188" s="74"/>
      <c r="MP188" s="74"/>
      <c r="MQ188" s="74"/>
      <c r="MR188" s="74"/>
      <c r="MS188" s="74"/>
      <c r="MT188" s="74"/>
      <c r="MU188" s="74"/>
      <c r="MV188" s="74"/>
      <c r="MW188" s="74"/>
      <c r="MX188" s="74"/>
      <c r="MY188" s="74"/>
      <c r="MZ188" s="74"/>
      <c r="NA188" s="74"/>
      <c r="NB188" s="74"/>
      <c r="NC188" s="74"/>
      <c r="ND188" s="74"/>
      <c r="NE188" s="74"/>
      <c r="NF188" s="74"/>
      <c r="NG188" s="74"/>
      <c r="NH188" s="74"/>
      <c r="NI188" s="74"/>
      <c r="NJ188" s="74"/>
      <c r="NK188" s="74"/>
      <c r="NL188" s="74"/>
      <c r="NM188" s="74"/>
      <c r="NN188" s="74"/>
      <c r="NO188" s="74"/>
      <c r="NP188" s="74"/>
      <c r="NQ188" s="74"/>
      <c r="NR188" s="74"/>
      <c r="NS188" s="74"/>
      <c r="NT188" s="74"/>
      <c r="NU188" s="74"/>
      <c r="NV188" s="74"/>
      <c r="NW188" s="74"/>
      <c r="NX188" s="74"/>
      <c r="NY188" s="74"/>
      <c r="NZ188" s="74"/>
      <c r="OA188" s="74"/>
      <c r="OB188" s="74"/>
      <c r="OC188" s="74"/>
      <c r="OD188" s="74"/>
      <c r="OE188" s="74"/>
      <c r="OF188" s="74"/>
      <c r="OG188" s="74"/>
      <c r="OH188" s="74"/>
      <c r="OI188" s="74"/>
      <c r="OJ188" s="74"/>
      <c r="OK188" s="74"/>
      <c r="OL188" s="74"/>
      <c r="OM188" s="74"/>
      <c r="ON188" s="74"/>
      <c r="OO188" s="74"/>
      <c r="OP188" s="74"/>
      <c r="OQ188" s="74"/>
      <c r="OR188" s="74"/>
      <c r="OS188" s="74"/>
      <c r="OT188" s="74"/>
      <c r="OU188" s="74"/>
      <c r="OV188" s="74"/>
      <c r="OW188" s="74"/>
      <c r="OX188" s="74"/>
      <c r="OY188" s="74"/>
      <c r="OZ188" s="74"/>
      <c r="PA188" s="74"/>
      <c r="PB188" s="74"/>
      <c r="PC188" s="74"/>
      <c r="PD188" s="74"/>
      <c r="PE188" s="74"/>
      <c r="PF188" s="74"/>
      <c r="PG188" s="74"/>
      <c r="PH188" s="74"/>
      <c r="PI188" s="74"/>
      <c r="PJ188" s="74"/>
      <c r="PK188" s="74"/>
      <c r="PL188" s="74"/>
      <c r="PM188" s="74"/>
      <c r="PN188" s="74"/>
      <c r="PO188" s="74"/>
      <c r="PP188" s="74"/>
      <c r="PQ188" s="74"/>
      <c r="PR188" s="74"/>
      <c r="PS188" s="74"/>
      <c r="PT188" s="74"/>
      <c r="PU188" s="74"/>
      <c r="PV188" s="74"/>
      <c r="PW188" s="74"/>
      <c r="PX188" s="74"/>
      <c r="PY188" s="74"/>
      <c r="PZ188" s="74"/>
      <c r="QA188" s="74"/>
      <c r="QB188" s="74"/>
      <c r="QC188" s="74"/>
      <c r="QD188" s="74"/>
      <c r="QE188" s="74"/>
      <c r="QF188" s="74"/>
      <c r="QG188" s="74"/>
      <c r="QH188" s="74"/>
      <c r="QI188" s="74"/>
      <c r="QJ188" s="74"/>
      <c r="QK188" s="74"/>
      <c r="QL188" s="74"/>
      <c r="QM188" s="74"/>
      <c r="QN188" s="74"/>
      <c r="QO188" s="74"/>
      <c r="QP188" s="74"/>
      <c r="QQ188" s="74"/>
      <c r="QR188" s="74"/>
      <c r="QS188" s="74"/>
      <c r="QT188" s="74"/>
      <c r="QU188" s="74"/>
      <c r="QV188" s="74"/>
      <c r="QW188" s="74"/>
      <c r="QX188" s="74"/>
      <c r="QY188" s="74"/>
      <c r="QZ188" s="74"/>
      <c r="RA188" s="74"/>
      <c r="RB188" s="74"/>
      <c r="RC188" s="74"/>
      <c r="RD188" s="74"/>
      <c r="RE188" s="74"/>
      <c r="RF188" s="74"/>
      <c r="RG188" s="74"/>
      <c r="RH188" s="74"/>
      <c r="RI188" s="74"/>
      <c r="RJ188" s="74"/>
      <c r="RK188" s="74"/>
      <c r="RL188" s="74"/>
      <c r="RM188" s="74"/>
      <c r="RN188" s="74"/>
      <c r="RO188" s="74"/>
      <c r="RP188" s="74"/>
      <c r="RQ188" s="74"/>
      <c r="RR188" s="74"/>
      <c r="RS188" s="74"/>
      <c r="RT188" s="74"/>
      <c r="RU188" s="74"/>
      <c r="RV188" s="74"/>
      <c r="RW188" s="74"/>
      <c r="RX188" s="74"/>
      <c r="RY188" s="74"/>
      <c r="RZ188" s="74"/>
      <c r="SA188" s="74"/>
      <c r="SB188" s="74"/>
      <c r="SC188" s="74"/>
      <c r="SD188" s="74"/>
      <c r="SE188" s="74"/>
      <c r="SF188" s="74"/>
      <c r="SG188" s="74"/>
      <c r="SH188" s="74"/>
      <c r="SI188" s="74"/>
      <c r="SJ188" s="74"/>
      <c r="SK188" s="74"/>
      <c r="SL188" s="74"/>
      <c r="SM188" s="74"/>
      <c r="SN188" s="74"/>
      <c r="SO188" s="74"/>
      <c r="SP188" s="74"/>
      <c r="SQ188" s="74"/>
      <c r="SR188" s="74"/>
      <c r="SS188" s="74"/>
      <c r="ST188" s="74"/>
      <c r="SU188" s="74"/>
      <c r="SV188" s="74"/>
      <c r="SW188" s="74"/>
      <c r="SX188" s="74"/>
      <c r="SY188" s="74"/>
      <c r="SZ188" s="74"/>
      <c r="TA188" s="74"/>
      <c r="TB188" s="74"/>
      <c r="TC188" s="74"/>
      <c r="TD188" s="74"/>
      <c r="TE188" s="74"/>
      <c r="TF188" s="74"/>
      <c r="TG188" s="74"/>
      <c r="TH188" s="74"/>
      <c r="TI188" s="74"/>
      <c r="TJ188" s="74"/>
      <c r="TK188" s="74"/>
      <c r="TL188" s="74"/>
      <c r="TM188" s="74"/>
      <c r="TN188" s="74"/>
      <c r="TO188" s="74"/>
      <c r="TP188" s="74"/>
      <c r="TQ188" s="74"/>
      <c r="TR188" s="74"/>
      <c r="TS188" s="74"/>
      <c r="TT188" s="74"/>
      <c r="TU188" s="74"/>
      <c r="TV188" s="74"/>
      <c r="TW188" s="74"/>
      <c r="TX188" s="74"/>
      <c r="TY188" s="74"/>
      <c r="TZ188" s="74"/>
      <c r="UA188" s="74"/>
      <c r="UB188" s="74"/>
      <c r="UC188" s="74"/>
      <c r="UD188" s="74"/>
      <c r="UE188" s="74"/>
      <c r="UF188" s="74"/>
      <c r="UG188" s="74"/>
      <c r="UH188" s="74"/>
      <c r="UI188" s="74"/>
      <c r="UJ188" s="74"/>
      <c r="UK188" s="74"/>
      <c r="UL188" s="74"/>
      <c r="UM188" s="74"/>
      <c r="UN188" s="74"/>
      <c r="UO188" s="74"/>
      <c r="UP188" s="74"/>
      <c r="UQ188" s="74"/>
      <c r="UR188" s="74"/>
      <c r="US188" s="74"/>
      <c r="UT188" s="74"/>
      <c r="UU188" s="74"/>
      <c r="UV188" s="74"/>
      <c r="UW188" s="74"/>
      <c r="UX188" s="74"/>
      <c r="UY188" s="74"/>
      <c r="UZ188" s="74"/>
      <c r="VA188" s="74"/>
      <c r="VB188" s="74"/>
      <c r="VC188" s="74"/>
      <c r="VD188" s="74"/>
      <c r="VE188" s="74"/>
      <c r="VF188" s="74"/>
    </row>
    <row r="189" spans="1:578" s="75" customFormat="1" x14ac:dyDescent="0.2">
      <c r="A189" s="62"/>
      <c r="B189" s="97"/>
      <c r="C189" s="97"/>
      <c r="D189" s="56" t="s">
        <v>344</v>
      </c>
      <c r="E189" s="79">
        <v>0</v>
      </c>
      <c r="F189" s="79">
        <f t="shared" ref="F189:Q189" si="50">F194</f>
        <v>0</v>
      </c>
      <c r="G189" s="79">
        <f t="shared" si="50"/>
        <v>0</v>
      </c>
      <c r="H189" s="79"/>
      <c r="I189" s="79"/>
      <c r="J189" s="79"/>
      <c r="K189" s="129"/>
      <c r="L189" s="79">
        <f t="shared" si="50"/>
        <v>0</v>
      </c>
      <c r="M189" s="79"/>
      <c r="N189" s="79">
        <f t="shared" si="50"/>
        <v>0</v>
      </c>
      <c r="O189" s="79">
        <f t="shared" si="50"/>
        <v>0</v>
      </c>
      <c r="P189" s="79">
        <f t="shared" si="50"/>
        <v>0</v>
      </c>
      <c r="Q189" s="79">
        <f t="shared" si="50"/>
        <v>0</v>
      </c>
      <c r="R189" s="79">
        <f t="shared" ref="R189" si="51">R194</f>
        <v>0</v>
      </c>
      <c r="S189" s="79"/>
      <c r="T189" s="78"/>
      <c r="U189" s="78"/>
      <c r="V189" s="78"/>
      <c r="W189" s="78"/>
      <c r="X189" s="131"/>
      <c r="Y189" s="79">
        <f t="shared" si="42"/>
        <v>0</v>
      </c>
      <c r="Z189" s="203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  <c r="HN189" s="74"/>
      <c r="HO189" s="74"/>
      <c r="HP189" s="74"/>
      <c r="HQ189" s="74"/>
      <c r="HR189" s="74"/>
      <c r="HS189" s="74"/>
      <c r="HT189" s="74"/>
      <c r="HU189" s="74"/>
      <c r="HV189" s="74"/>
      <c r="HW189" s="74"/>
      <c r="HX189" s="74"/>
      <c r="HY189" s="74"/>
      <c r="HZ189" s="74"/>
      <c r="IA189" s="74"/>
      <c r="IB189" s="74"/>
      <c r="IC189" s="74"/>
      <c r="ID189" s="74"/>
      <c r="IE189" s="74"/>
      <c r="IF189" s="74"/>
      <c r="IG189" s="74"/>
      <c r="IH189" s="74"/>
      <c r="II189" s="74"/>
      <c r="IJ189" s="74"/>
      <c r="IK189" s="74"/>
      <c r="IL189" s="74"/>
      <c r="IM189" s="74"/>
      <c r="IN189" s="74"/>
      <c r="IO189" s="74"/>
      <c r="IP189" s="74"/>
      <c r="IQ189" s="74"/>
      <c r="IR189" s="74"/>
      <c r="IS189" s="74"/>
      <c r="IT189" s="74"/>
      <c r="IU189" s="74"/>
      <c r="IV189" s="74"/>
      <c r="IW189" s="74"/>
      <c r="IX189" s="74"/>
      <c r="IY189" s="74"/>
      <c r="IZ189" s="74"/>
      <c r="JA189" s="74"/>
      <c r="JB189" s="74"/>
      <c r="JC189" s="74"/>
      <c r="JD189" s="74"/>
      <c r="JE189" s="74"/>
      <c r="JF189" s="74"/>
      <c r="JG189" s="74"/>
      <c r="JH189" s="74"/>
      <c r="JI189" s="74"/>
      <c r="JJ189" s="74"/>
      <c r="JK189" s="74"/>
      <c r="JL189" s="74"/>
      <c r="JM189" s="74"/>
      <c r="JN189" s="74"/>
      <c r="JO189" s="74"/>
      <c r="JP189" s="74"/>
      <c r="JQ189" s="74"/>
      <c r="JR189" s="74"/>
      <c r="JS189" s="74"/>
      <c r="JT189" s="74"/>
      <c r="JU189" s="74"/>
      <c r="JV189" s="74"/>
      <c r="JW189" s="74"/>
      <c r="JX189" s="74"/>
      <c r="JY189" s="74"/>
      <c r="JZ189" s="74"/>
      <c r="KA189" s="74"/>
      <c r="KB189" s="74"/>
      <c r="KC189" s="74"/>
      <c r="KD189" s="74"/>
      <c r="KE189" s="74"/>
      <c r="KF189" s="74"/>
      <c r="KG189" s="74"/>
      <c r="KH189" s="74"/>
      <c r="KI189" s="74"/>
      <c r="KJ189" s="74"/>
      <c r="KK189" s="74"/>
      <c r="KL189" s="74"/>
      <c r="KM189" s="74"/>
      <c r="KN189" s="74"/>
      <c r="KO189" s="74"/>
      <c r="KP189" s="74"/>
      <c r="KQ189" s="74"/>
      <c r="KR189" s="74"/>
      <c r="KS189" s="74"/>
      <c r="KT189" s="74"/>
      <c r="KU189" s="74"/>
      <c r="KV189" s="74"/>
      <c r="KW189" s="74"/>
      <c r="KX189" s="74"/>
      <c r="KY189" s="74"/>
      <c r="KZ189" s="74"/>
      <c r="LA189" s="74"/>
      <c r="LB189" s="74"/>
      <c r="LC189" s="74"/>
      <c r="LD189" s="74"/>
      <c r="LE189" s="74"/>
      <c r="LF189" s="74"/>
      <c r="LG189" s="74"/>
      <c r="LH189" s="74"/>
      <c r="LI189" s="74"/>
      <c r="LJ189" s="74"/>
      <c r="LK189" s="74"/>
      <c r="LL189" s="74"/>
      <c r="LM189" s="74"/>
      <c r="LN189" s="74"/>
      <c r="LO189" s="74"/>
      <c r="LP189" s="74"/>
      <c r="LQ189" s="74"/>
      <c r="LR189" s="74"/>
      <c r="LS189" s="74"/>
      <c r="LT189" s="74"/>
      <c r="LU189" s="74"/>
      <c r="LV189" s="74"/>
      <c r="LW189" s="74"/>
      <c r="LX189" s="74"/>
      <c r="LY189" s="74"/>
      <c r="LZ189" s="74"/>
      <c r="MA189" s="74"/>
      <c r="MB189" s="74"/>
      <c r="MC189" s="74"/>
      <c r="MD189" s="74"/>
      <c r="ME189" s="74"/>
      <c r="MF189" s="74"/>
      <c r="MG189" s="74"/>
      <c r="MH189" s="74"/>
      <c r="MI189" s="74"/>
      <c r="MJ189" s="74"/>
      <c r="MK189" s="74"/>
      <c r="ML189" s="74"/>
      <c r="MM189" s="74"/>
      <c r="MN189" s="74"/>
      <c r="MO189" s="74"/>
      <c r="MP189" s="74"/>
      <c r="MQ189" s="74"/>
      <c r="MR189" s="74"/>
      <c r="MS189" s="74"/>
      <c r="MT189" s="74"/>
      <c r="MU189" s="74"/>
      <c r="MV189" s="74"/>
      <c r="MW189" s="74"/>
      <c r="MX189" s="74"/>
      <c r="MY189" s="74"/>
      <c r="MZ189" s="74"/>
      <c r="NA189" s="74"/>
      <c r="NB189" s="74"/>
      <c r="NC189" s="74"/>
      <c r="ND189" s="74"/>
      <c r="NE189" s="74"/>
      <c r="NF189" s="74"/>
      <c r="NG189" s="74"/>
      <c r="NH189" s="74"/>
      <c r="NI189" s="74"/>
      <c r="NJ189" s="74"/>
      <c r="NK189" s="74"/>
      <c r="NL189" s="74"/>
      <c r="NM189" s="74"/>
      <c r="NN189" s="74"/>
      <c r="NO189" s="74"/>
      <c r="NP189" s="74"/>
      <c r="NQ189" s="74"/>
      <c r="NR189" s="74"/>
      <c r="NS189" s="74"/>
      <c r="NT189" s="74"/>
      <c r="NU189" s="74"/>
      <c r="NV189" s="74"/>
      <c r="NW189" s="74"/>
      <c r="NX189" s="74"/>
      <c r="NY189" s="74"/>
      <c r="NZ189" s="74"/>
      <c r="OA189" s="74"/>
      <c r="OB189" s="74"/>
      <c r="OC189" s="74"/>
      <c r="OD189" s="74"/>
      <c r="OE189" s="74"/>
      <c r="OF189" s="74"/>
      <c r="OG189" s="74"/>
      <c r="OH189" s="74"/>
      <c r="OI189" s="74"/>
      <c r="OJ189" s="74"/>
      <c r="OK189" s="74"/>
      <c r="OL189" s="74"/>
      <c r="OM189" s="74"/>
      <c r="ON189" s="74"/>
      <c r="OO189" s="74"/>
      <c r="OP189" s="74"/>
      <c r="OQ189" s="74"/>
      <c r="OR189" s="74"/>
      <c r="OS189" s="74"/>
      <c r="OT189" s="74"/>
      <c r="OU189" s="74"/>
      <c r="OV189" s="74"/>
      <c r="OW189" s="74"/>
      <c r="OX189" s="74"/>
      <c r="OY189" s="74"/>
      <c r="OZ189" s="74"/>
      <c r="PA189" s="74"/>
      <c r="PB189" s="74"/>
      <c r="PC189" s="74"/>
      <c r="PD189" s="74"/>
      <c r="PE189" s="74"/>
      <c r="PF189" s="74"/>
      <c r="PG189" s="74"/>
      <c r="PH189" s="74"/>
      <c r="PI189" s="74"/>
      <c r="PJ189" s="74"/>
      <c r="PK189" s="74"/>
      <c r="PL189" s="74"/>
      <c r="PM189" s="74"/>
      <c r="PN189" s="74"/>
      <c r="PO189" s="74"/>
      <c r="PP189" s="74"/>
      <c r="PQ189" s="74"/>
      <c r="PR189" s="74"/>
      <c r="PS189" s="74"/>
      <c r="PT189" s="74"/>
      <c r="PU189" s="74"/>
      <c r="PV189" s="74"/>
      <c r="PW189" s="74"/>
      <c r="PX189" s="74"/>
      <c r="PY189" s="74"/>
      <c r="PZ189" s="74"/>
      <c r="QA189" s="74"/>
      <c r="QB189" s="74"/>
      <c r="QC189" s="74"/>
      <c r="QD189" s="74"/>
      <c r="QE189" s="74"/>
      <c r="QF189" s="74"/>
      <c r="QG189" s="74"/>
      <c r="QH189" s="74"/>
      <c r="QI189" s="74"/>
      <c r="QJ189" s="74"/>
      <c r="QK189" s="74"/>
      <c r="QL189" s="74"/>
      <c r="QM189" s="74"/>
      <c r="QN189" s="74"/>
      <c r="QO189" s="74"/>
      <c r="QP189" s="74"/>
      <c r="QQ189" s="74"/>
      <c r="QR189" s="74"/>
      <c r="QS189" s="74"/>
      <c r="QT189" s="74"/>
      <c r="QU189" s="74"/>
      <c r="QV189" s="74"/>
      <c r="QW189" s="74"/>
      <c r="QX189" s="74"/>
      <c r="QY189" s="74"/>
      <c r="QZ189" s="74"/>
      <c r="RA189" s="74"/>
      <c r="RB189" s="74"/>
      <c r="RC189" s="74"/>
      <c r="RD189" s="74"/>
      <c r="RE189" s="74"/>
      <c r="RF189" s="74"/>
      <c r="RG189" s="74"/>
      <c r="RH189" s="74"/>
      <c r="RI189" s="74"/>
      <c r="RJ189" s="74"/>
      <c r="RK189" s="74"/>
      <c r="RL189" s="74"/>
      <c r="RM189" s="74"/>
      <c r="RN189" s="74"/>
      <c r="RO189" s="74"/>
      <c r="RP189" s="74"/>
      <c r="RQ189" s="74"/>
      <c r="RR189" s="74"/>
      <c r="RS189" s="74"/>
      <c r="RT189" s="74"/>
      <c r="RU189" s="74"/>
      <c r="RV189" s="74"/>
      <c r="RW189" s="74"/>
      <c r="RX189" s="74"/>
      <c r="RY189" s="74"/>
      <c r="RZ189" s="74"/>
      <c r="SA189" s="74"/>
      <c r="SB189" s="74"/>
      <c r="SC189" s="74"/>
      <c r="SD189" s="74"/>
      <c r="SE189" s="74"/>
      <c r="SF189" s="74"/>
      <c r="SG189" s="74"/>
      <c r="SH189" s="74"/>
      <c r="SI189" s="74"/>
      <c r="SJ189" s="74"/>
      <c r="SK189" s="74"/>
      <c r="SL189" s="74"/>
      <c r="SM189" s="74"/>
      <c r="SN189" s="74"/>
      <c r="SO189" s="74"/>
      <c r="SP189" s="74"/>
      <c r="SQ189" s="74"/>
      <c r="SR189" s="74"/>
      <c r="SS189" s="74"/>
      <c r="ST189" s="74"/>
      <c r="SU189" s="74"/>
      <c r="SV189" s="74"/>
      <c r="SW189" s="74"/>
      <c r="SX189" s="74"/>
      <c r="SY189" s="74"/>
      <c r="SZ189" s="74"/>
      <c r="TA189" s="74"/>
      <c r="TB189" s="74"/>
      <c r="TC189" s="74"/>
      <c r="TD189" s="74"/>
      <c r="TE189" s="74"/>
      <c r="TF189" s="74"/>
      <c r="TG189" s="74"/>
      <c r="TH189" s="74"/>
      <c r="TI189" s="74"/>
      <c r="TJ189" s="74"/>
      <c r="TK189" s="74"/>
      <c r="TL189" s="74"/>
      <c r="TM189" s="74"/>
      <c r="TN189" s="74"/>
      <c r="TO189" s="74"/>
      <c r="TP189" s="74"/>
      <c r="TQ189" s="74"/>
      <c r="TR189" s="74"/>
      <c r="TS189" s="74"/>
      <c r="TT189" s="74"/>
      <c r="TU189" s="74"/>
      <c r="TV189" s="74"/>
      <c r="TW189" s="74"/>
      <c r="TX189" s="74"/>
      <c r="TY189" s="74"/>
      <c r="TZ189" s="74"/>
      <c r="UA189" s="74"/>
      <c r="UB189" s="74"/>
      <c r="UC189" s="74"/>
      <c r="UD189" s="74"/>
      <c r="UE189" s="74"/>
      <c r="UF189" s="74"/>
      <c r="UG189" s="74"/>
      <c r="UH189" s="74"/>
      <c r="UI189" s="74"/>
      <c r="UJ189" s="74"/>
      <c r="UK189" s="74"/>
      <c r="UL189" s="74"/>
      <c r="UM189" s="74"/>
      <c r="UN189" s="74"/>
      <c r="UO189" s="74"/>
      <c r="UP189" s="74"/>
      <c r="UQ189" s="74"/>
      <c r="UR189" s="74"/>
      <c r="US189" s="74"/>
      <c r="UT189" s="74"/>
      <c r="UU189" s="74"/>
      <c r="UV189" s="74"/>
      <c r="UW189" s="74"/>
      <c r="UX189" s="74"/>
      <c r="UY189" s="74"/>
      <c r="UZ189" s="74"/>
      <c r="VA189" s="74"/>
      <c r="VB189" s="74"/>
      <c r="VC189" s="74"/>
      <c r="VD189" s="74"/>
      <c r="VE189" s="74"/>
      <c r="VF189" s="74"/>
    </row>
    <row r="190" spans="1:578" s="41" customFormat="1" ht="42.75" customHeight="1" x14ac:dyDescent="0.2">
      <c r="A190" s="39" t="s">
        <v>256</v>
      </c>
      <c r="B190" s="90" t="str">
        <f>'дод 3'!A16</f>
        <v>0160</v>
      </c>
      <c r="C190" s="90" t="str">
        <f>'дод 3'!B16</f>
        <v>0111</v>
      </c>
      <c r="D190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90" s="65">
        <v>4319300</v>
      </c>
      <c r="F190" s="65">
        <v>3409100</v>
      </c>
      <c r="G190" s="65">
        <f>45780+500</f>
        <v>46280</v>
      </c>
      <c r="H190" s="65">
        <v>767434.17</v>
      </c>
      <c r="I190" s="65">
        <v>615074.80000000005</v>
      </c>
      <c r="J190" s="65">
        <v>17603.2</v>
      </c>
      <c r="K190" s="130">
        <f t="shared" si="41"/>
        <v>17.767558863704767</v>
      </c>
      <c r="L190" s="65">
        <f t="shared" si="45"/>
        <v>530000</v>
      </c>
      <c r="M190" s="65">
        <v>530000</v>
      </c>
      <c r="N190" s="65"/>
      <c r="O190" s="65"/>
      <c r="P190" s="65"/>
      <c r="Q190" s="65">
        <f>30000+500000</f>
        <v>530000</v>
      </c>
      <c r="R190" s="65">
        <f t="shared" si="43"/>
        <v>495483.33</v>
      </c>
      <c r="S190" s="65">
        <v>495483.33</v>
      </c>
      <c r="T190" s="65"/>
      <c r="U190" s="65"/>
      <c r="V190" s="65"/>
      <c r="W190" s="65">
        <v>495483.33</v>
      </c>
      <c r="X190" s="132">
        <f t="shared" si="44"/>
        <v>93.487420754716993</v>
      </c>
      <c r="Y190" s="65">
        <f t="shared" si="42"/>
        <v>1262917.5</v>
      </c>
      <c r="Z190" s="203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47"/>
      <c r="KC190" s="47"/>
      <c r="KD190" s="47"/>
      <c r="KE190" s="47"/>
      <c r="KF190" s="47"/>
      <c r="KG190" s="47"/>
      <c r="KH190" s="47"/>
      <c r="KI190" s="47"/>
      <c r="KJ190" s="47"/>
      <c r="KK190" s="47"/>
      <c r="KL190" s="47"/>
      <c r="KM190" s="47"/>
      <c r="KN190" s="47"/>
      <c r="KO190" s="47"/>
      <c r="KP190" s="47"/>
      <c r="KQ190" s="47"/>
      <c r="KR190" s="47"/>
      <c r="KS190" s="47"/>
      <c r="KT190" s="47"/>
      <c r="KU190" s="47"/>
      <c r="KV190" s="47"/>
      <c r="KW190" s="47"/>
      <c r="KX190" s="47"/>
      <c r="KY190" s="47"/>
      <c r="KZ190" s="47"/>
      <c r="LA190" s="47"/>
      <c r="LB190" s="47"/>
      <c r="LC190" s="47"/>
      <c r="LD190" s="47"/>
      <c r="LE190" s="47"/>
      <c r="LF190" s="47"/>
      <c r="LG190" s="47"/>
      <c r="LH190" s="47"/>
      <c r="LI190" s="47"/>
      <c r="LJ190" s="47"/>
      <c r="LK190" s="47"/>
      <c r="LL190" s="47"/>
      <c r="LM190" s="47"/>
      <c r="LN190" s="47"/>
      <c r="LO190" s="47"/>
      <c r="LP190" s="47"/>
      <c r="LQ190" s="47"/>
      <c r="LR190" s="47"/>
      <c r="LS190" s="47"/>
      <c r="LT190" s="47"/>
      <c r="LU190" s="47"/>
      <c r="LV190" s="47"/>
      <c r="LW190" s="47"/>
      <c r="LX190" s="47"/>
      <c r="LY190" s="47"/>
      <c r="LZ190" s="47"/>
      <c r="MA190" s="47"/>
      <c r="MB190" s="47"/>
      <c r="MC190" s="47"/>
      <c r="MD190" s="47"/>
      <c r="ME190" s="47"/>
      <c r="MF190" s="47"/>
      <c r="MG190" s="47"/>
      <c r="MH190" s="47"/>
      <c r="MI190" s="47"/>
      <c r="MJ190" s="47"/>
      <c r="MK190" s="47"/>
      <c r="ML190" s="47"/>
      <c r="MM190" s="47"/>
      <c r="MN190" s="47"/>
      <c r="MO190" s="47"/>
      <c r="MP190" s="47"/>
      <c r="MQ190" s="47"/>
      <c r="MR190" s="47"/>
      <c r="MS190" s="47"/>
      <c r="MT190" s="47"/>
      <c r="MU190" s="47"/>
      <c r="MV190" s="47"/>
      <c r="MW190" s="47"/>
      <c r="MX190" s="47"/>
      <c r="MY190" s="47"/>
      <c r="MZ190" s="47"/>
      <c r="NA190" s="47"/>
      <c r="NB190" s="47"/>
      <c r="NC190" s="47"/>
      <c r="ND190" s="47"/>
      <c r="NE190" s="47"/>
      <c r="NF190" s="47"/>
      <c r="NG190" s="47"/>
      <c r="NH190" s="47"/>
      <c r="NI190" s="47"/>
      <c r="NJ190" s="47"/>
      <c r="NK190" s="47"/>
      <c r="NL190" s="47"/>
      <c r="NM190" s="47"/>
      <c r="NN190" s="47"/>
      <c r="NO190" s="47"/>
      <c r="NP190" s="47"/>
      <c r="NQ190" s="47"/>
      <c r="NR190" s="47"/>
      <c r="NS190" s="47"/>
      <c r="NT190" s="47"/>
      <c r="NU190" s="47"/>
      <c r="NV190" s="47"/>
      <c r="NW190" s="47"/>
      <c r="NX190" s="47"/>
      <c r="NY190" s="47"/>
      <c r="NZ190" s="47"/>
      <c r="OA190" s="47"/>
      <c r="OB190" s="47"/>
      <c r="OC190" s="47"/>
      <c r="OD190" s="47"/>
      <c r="OE190" s="47"/>
      <c r="OF190" s="47"/>
      <c r="OG190" s="47"/>
      <c r="OH190" s="47"/>
      <c r="OI190" s="47"/>
      <c r="OJ190" s="47"/>
      <c r="OK190" s="47"/>
      <c r="OL190" s="47"/>
      <c r="OM190" s="47"/>
      <c r="ON190" s="47"/>
      <c r="OO190" s="47"/>
      <c r="OP190" s="47"/>
      <c r="OQ190" s="47"/>
      <c r="OR190" s="47"/>
      <c r="OS190" s="47"/>
      <c r="OT190" s="47"/>
      <c r="OU190" s="47"/>
      <c r="OV190" s="47"/>
      <c r="OW190" s="47"/>
      <c r="OX190" s="47"/>
      <c r="OY190" s="47"/>
      <c r="OZ190" s="47"/>
      <c r="PA190" s="47"/>
      <c r="PB190" s="47"/>
      <c r="PC190" s="47"/>
      <c r="PD190" s="47"/>
      <c r="PE190" s="47"/>
      <c r="PF190" s="47"/>
      <c r="PG190" s="47"/>
      <c r="PH190" s="47"/>
      <c r="PI190" s="47"/>
      <c r="PJ190" s="47"/>
      <c r="PK190" s="47"/>
      <c r="PL190" s="47"/>
      <c r="PM190" s="47"/>
      <c r="PN190" s="47"/>
      <c r="PO190" s="47"/>
      <c r="PP190" s="47"/>
      <c r="PQ190" s="47"/>
      <c r="PR190" s="47"/>
      <c r="PS190" s="47"/>
      <c r="PT190" s="47"/>
      <c r="PU190" s="47"/>
      <c r="PV190" s="47"/>
      <c r="PW190" s="47"/>
      <c r="PX190" s="47"/>
      <c r="PY190" s="47"/>
      <c r="PZ190" s="47"/>
      <c r="QA190" s="47"/>
      <c r="QB190" s="47"/>
      <c r="QC190" s="47"/>
      <c r="QD190" s="47"/>
      <c r="QE190" s="47"/>
      <c r="QF190" s="47"/>
      <c r="QG190" s="47"/>
      <c r="QH190" s="47"/>
      <c r="QI190" s="47"/>
      <c r="QJ190" s="47"/>
      <c r="QK190" s="47"/>
      <c r="QL190" s="47"/>
      <c r="QM190" s="47"/>
      <c r="QN190" s="47"/>
      <c r="QO190" s="47"/>
      <c r="QP190" s="47"/>
      <c r="QQ190" s="47"/>
      <c r="QR190" s="47"/>
      <c r="QS190" s="47"/>
      <c r="QT190" s="47"/>
      <c r="QU190" s="47"/>
      <c r="QV190" s="47"/>
      <c r="QW190" s="47"/>
      <c r="QX190" s="47"/>
      <c r="QY190" s="47"/>
      <c r="QZ190" s="47"/>
      <c r="RA190" s="47"/>
      <c r="RB190" s="47"/>
      <c r="RC190" s="47"/>
      <c r="RD190" s="47"/>
      <c r="RE190" s="47"/>
      <c r="RF190" s="47"/>
      <c r="RG190" s="47"/>
      <c r="RH190" s="47"/>
      <c r="RI190" s="47"/>
      <c r="RJ190" s="47"/>
      <c r="RK190" s="47"/>
      <c r="RL190" s="47"/>
      <c r="RM190" s="47"/>
      <c r="RN190" s="47"/>
      <c r="RO190" s="47"/>
      <c r="RP190" s="47"/>
      <c r="RQ190" s="47"/>
      <c r="RR190" s="47"/>
      <c r="RS190" s="47"/>
      <c r="RT190" s="47"/>
      <c r="RU190" s="47"/>
      <c r="RV190" s="47"/>
      <c r="RW190" s="47"/>
      <c r="RX190" s="47"/>
      <c r="RY190" s="47"/>
      <c r="RZ190" s="47"/>
      <c r="SA190" s="47"/>
      <c r="SB190" s="47"/>
      <c r="SC190" s="47"/>
      <c r="SD190" s="47"/>
      <c r="SE190" s="47"/>
      <c r="SF190" s="47"/>
      <c r="SG190" s="47"/>
      <c r="SH190" s="47"/>
      <c r="SI190" s="47"/>
      <c r="SJ190" s="47"/>
      <c r="SK190" s="47"/>
      <c r="SL190" s="47"/>
      <c r="SM190" s="47"/>
      <c r="SN190" s="47"/>
      <c r="SO190" s="47"/>
      <c r="SP190" s="47"/>
      <c r="SQ190" s="47"/>
      <c r="SR190" s="47"/>
      <c r="SS190" s="47"/>
      <c r="ST190" s="47"/>
      <c r="SU190" s="47"/>
      <c r="SV190" s="47"/>
      <c r="SW190" s="47"/>
      <c r="SX190" s="47"/>
      <c r="SY190" s="47"/>
      <c r="SZ190" s="47"/>
      <c r="TA190" s="47"/>
      <c r="TB190" s="47"/>
      <c r="TC190" s="47"/>
      <c r="TD190" s="47"/>
      <c r="TE190" s="47"/>
      <c r="TF190" s="47"/>
      <c r="TG190" s="47"/>
      <c r="TH190" s="47"/>
      <c r="TI190" s="47"/>
      <c r="TJ190" s="47"/>
      <c r="TK190" s="47"/>
      <c r="TL190" s="47"/>
      <c r="TM190" s="47"/>
      <c r="TN190" s="47"/>
      <c r="TO190" s="47"/>
      <c r="TP190" s="47"/>
      <c r="TQ190" s="47"/>
      <c r="TR190" s="47"/>
      <c r="TS190" s="47"/>
      <c r="TT190" s="47"/>
      <c r="TU190" s="47"/>
      <c r="TV190" s="47"/>
      <c r="TW190" s="47"/>
      <c r="TX190" s="47"/>
      <c r="TY190" s="47"/>
      <c r="TZ190" s="47"/>
      <c r="UA190" s="47"/>
      <c r="UB190" s="47"/>
      <c r="UC190" s="47"/>
      <c r="UD190" s="47"/>
      <c r="UE190" s="47"/>
      <c r="UF190" s="47"/>
      <c r="UG190" s="47"/>
      <c r="UH190" s="47"/>
      <c r="UI190" s="47"/>
      <c r="UJ190" s="47"/>
      <c r="UK190" s="47"/>
      <c r="UL190" s="47"/>
      <c r="UM190" s="47"/>
      <c r="UN190" s="47"/>
      <c r="UO190" s="47"/>
      <c r="UP190" s="47"/>
      <c r="UQ190" s="47"/>
      <c r="UR190" s="47"/>
      <c r="US190" s="47"/>
      <c r="UT190" s="47"/>
      <c r="UU190" s="47"/>
      <c r="UV190" s="47"/>
      <c r="UW190" s="47"/>
      <c r="UX190" s="47"/>
      <c r="UY190" s="47"/>
      <c r="UZ190" s="47"/>
      <c r="VA190" s="47"/>
      <c r="VB190" s="47"/>
      <c r="VC190" s="47"/>
      <c r="VD190" s="47"/>
      <c r="VE190" s="47"/>
      <c r="VF190" s="47"/>
    </row>
    <row r="191" spans="1:578" s="41" customFormat="1" ht="60" x14ac:dyDescent="0.2">
      <c r="A191" s="64" t="s">
        <v>588</v>
      </c>
      <c r="B191" s="90">
        <v>3111</v>
      </c>
      <c r="C191" s="90">
        <v>1040</v>
      </c>
      <c r="D191" s="40" t="s">
        <v>586</v>
      </c>
      <c r="E191" s="65">
        <v>88440</v>
      </c>
      <c r="F191" s="65"/>
      <c r="G191" s="65"/>
      <c r="H191" s="65"/>
      <c r="I191" s="65"/>
      <c r="J191" s="65"/>
      <c r="K191" s="130">
        <f t="shared" si="41"/>
        <v>0</v>
      </c>
      <c r="L191" s="65">
        <f t="shared" si="45"/>
        <v>40300</v>
      </c>
      <c r="M191" s="65">
        <v>40300</v>
      </c>
      <c r="N191" s="65"/>
      <c r="O191" s="65"/>
      <c r="P191" s="65"/>
      <c r="Q191" s="65">
        <v>40300</v>
      </c>
      <c r="R191" s="65">
        <f t="shared" si="43"/>
        <v>0</v>
      </c>
      <c r="S191" s="65"/>
      <c r="T191" s="65"/>
      <c r="U191" s="65"/>
      <c r="V191" s="65"/>
      <c r="W191" s="65"/>
      <c r="X191" s="132">
        <f t="shared" si="44"/>
        <v>0</v>
      </c>
      <c r="Y191" s="65">
        <f t="shared" si="42"/>
        <v>0</v>
      </c>
      <c r="Z191" s="203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47"/>
      <c r="KC191" s="47"/>
      <c r="KD191" s="47"/>
      <c r="KE191" s="47"/>
      <c r="KF191" s="47"/>
      <c r="KG191" s="47"/>
      <c r="KH191" s="47"/>
      <c r="KI191" s="47"/>
      <c r="KJ191" s="47"/>
      <c r="KK191" s="47"/>
      <c r="KL191" s="47"/>
      <c r="KM191" s="47"/>
      <c r="KN191" s="47"/>
      <c r="KO191" s="47"/>
      <c r="KP191" s="47"/>
      <c r="KQ191" s="47"/>
      <c r="KR191" s="47"/>
      <c r="KS191" s="47"/>
      <c r="KT191" s="47"/>
      <c r="KU191" s="47"/>
      <c r="KV191" s="47"/>
      <c r="KW191" s="47"/>
      <c r="KX191" s="47"/>
      <c r="KY191" s="47"/>
      <c r="KZ191" s="47"/>
      <c r="LA191" s="47"/>
      <c r="LB191" s="47"/>
      <c r="LC191" s="47"/>
      <c r="LD191" s="47"/>
      <c r="LE191" s="47"/>
      <c r="LF191" s="47"/>
      <c r="LG191" s="47"/>
      <c r="LH191" s="47"/>
      <c r="LI191" s="47"/>
      <c r="LJ191" s="47"/>
      <c r="LK191" s="47"/>
      <c r="LL191" s="47"/>
      <c r="LM191" s="47"/>
      <c r="LN191" s="47"/>
      <c r="LO191" s="47"/>
      <c r="LP191" s="47"/>
      <c r="LQ191" s="47"/>
      <c r="LR191" s="47"/>
      <c r="LS191" s="47"/>
      <c r="LT191" s="47"/>
      <c r="LU191" s="47"/>
      <c r="LV191" s="47"/>
      <c r="LW191" s="47"/>
      <c r="LX191" s="47"/>
      <c r="LY191" s="47"/>
      <c r="LZ191" s="47"/>
      <c r="MA191" s="47"/>
      <c r="MB191" s="47"/>
      <c r="MC191" s="47"/>
      <c r="MD191" s="47"/>
      <c r="ME191" s="47"/>
      <c r="MF191" s="47"/>
      <c r="MG191" s="47"/>
      <c r="MH191" s="47"/>
      <c r="MI191" s="47"/>
      <c r="MJ191" s="47"/>
      <c r="MK191" s="47"/>
      <c r="ML191" s="47"/>
      <c r="MM191" s="47"/>
      <c r="MN191" s="47"/>
      <c r="MO191" s="47"/>
      <c r="MP191" s="47"/>
      <c r="MQ191" s="47"/>
      <c r="MR191" s="47"/>
      <c r="MS191" s="47"/>
      <c r="MT191" s="47"/>
      <c r="MU191" s="47"/>
      <c r="MV191" s="47"/>
      <c r="MW191" s="47"/>
      <c r="MX191" s="47"/>
      <c r="MY191" s="47"/>
      <c r="MZ191" s="47"/>
      <c r="NA191" s="47"/>
      <c r="NB191" s="47"/>
      <c r="NC191" s="47"/>
      <c r="ND191" s="47"/>
      <c r="NE191" s="47"/>
      <c r="NF191" s="47"/>
      <c r="NG191" s="47"/>
      <c r="NH191" s="47"/>
      <c r="NI191" s="47"/>
      <c r="NJ191" s="47"/>
      <c r="NK191" s="47"/>
      <c r="NL191" s="47"/>
      <c r="NM191" s="47"/>
      <c r="NN191" s="47"/>
      <c r="NO191" s="47"/>
      <c r="NP191" s="47"/>
      <c r="NQ191" s="47"/>
      <c r="NR191" s="47"/>
      <c r="NS191" s="47"/>
      <c r="NT191" s="47"/>
      <c r="NU191" s="47"/>
      <c r="NV191" s="47"/>
      <c r="NW191" s="47"/>
      <c r="NX191" s="47"/>
      <c r="NY191" s="47"/>
      <c r="NZ191" s="47"/>
      <c r="OA191" s="47"/>
      <c r="OB191" s="47"/>
      <c r="OC191" s="47"/>
      <c r="OD191" s="47"/>
      <c r="OE191" s="47"/>
      <c r="OF191" s="47"/>
      <c r="OG191" s="47"/>
      <c r="OH191" s="47"/>
      <c r="OI191" s="47"/>
      <c r="OJ191" s="47"/>
      <c r="OK191" s="47"/>
      <c r="OL191" s="47"/>
      <c r="OM191" s="47"/>
      <c r="ON191" s="47"/>
      <c r="OO191" s="47"/>
      <c r="OP191" s="47"/>
      <c r="OQ191" s="47"/>
      <c r="OR191" s="47"/>
      <c r="OS191" s="47"/>
      <c r="OT191" s="47"/>
      <c r="OU191" s="47"/>
      <c r="OV191" s="47"/>
      <c r="OW191" s="47"/>
      <c r="OX191" s="47"/>
      <c r="OY191" s="47"/>
      <c r="OZ191" s="47"/>
      <c r="PA191" s="47"/>
      <c r="PB191" s="47"/>
      <c r="PC191" s="47"/>
      <c r="PD191" s="47"/>
      <c r="PE191" s="47"/>
      <c r="PF191" s="47"/>
      <c r="PG191" s="47"/>
      <c r="PH191" s="47"/>
      <c r="PI191" s="47"/>
      <c r="PJ191" s="47"/>
      <c r="PK191" s="47"/>
      <c r="PL191" s="47"/>
      <c r="PM191" s="47"/>
      <c r="PN191" s="47"/>
      <c r="PO191" s="47"/>
      <c r="PP191" s="47"/>
      <c r="PQ191" s="47"/>
      <c r="PR191" s="47"/>
      <c r="PS191" s="47"/>
      <c r="PT191" s="47"/>
      <c r="PU191" s="47"/>
      <c r="PV191" s="47"/>
      <c r="PW191" s="47"/>
      <c r="PX191" s="47"/>
      <c r="PY191" s="47"/>
      <c r="PZ191" s="47"/>
      <c r="QA191" s="47"/>
      <c r="QB191" s="47"/>
      <c r="QC191" s="47"/>
      <c r="QD191" s="47"/>
      <c r="QE191" s="47"/>
      <c r="QF191" s="47"/>
      <c r="QG191" s="47"/>
      <c r="QH191" s="47"/>
      <c r="QI191" s="47"/>
      <c r="QJ191" s="47"/>
      <c r="QK191" s="47"/>
      <c r="QL191" s="47"/>
      <c r="QM191" s="47"/>
      <c r="QN191" s="47"/>
      <c r="QO191" s="47"/>
      <c r="QP191" s="47"/>
      <c r="QQ191" s="47"/>
      <c r="QR191" s="47"/>
      <c r="QS191" s="47"/>
      <c r="QT191" s="47"/>
      <c r="QU191" s="47"/>
      <c r="QV191" s="47"/>
      <c r="QW191" s="47"/>
      <c r="QX191" s="47"/>
      <c r="QY191" s="47"/>
      <c r="QZ191" s="47"/>
      <c r="RA191" s="47"/>
      <c r="RB191" s="47"/>
      <c r="RC191" s="47"/>
      <c r="RD191" s="47"/>
      <c r="RE191" s="47"/>
      <c r="RF191" s="47"/>
      <c r="RG191" s="47"/>
      <c r="RH191" s="47"/>
      <c r="RI191" s="47"/>
      <c r="RJ191" s="47"/>
      <c r="RK191" s="47"/>
      <c r="RL191" s="47"/>
      <c r="RM191" s="47"/>
      <c r="RN191" s="47"/>
      <c r="RO191" s="47"/>
      <c r="RP191" s="47"/>
      <c r="RQ191" s="47"/>
      <c r="RR191" s="47"/>
      <c r="RS191" s="47"/>
      <c r="RT191" s="47"/>
      <c r="RU191" s="47"/>
      <c r="RV191" s="47"/>
      <c r="RW191" s="47"/>
      <c r="RX191" s="47"/>
      <c r="RY191" s="47"/>
      <c r="RZ191" s="47"/>
      <c r="SA191" s="47"/>
      <c r="SB191" s="47"/>
      <c r="SC191" s="47"/>
      <c r="SD191" s="47"/>
      <c r="SE191" s="47"/>
      <c r="SF191" s="47"/>
      <c r="SG191" s="47"/>
      <c r="SH191" s="47"/>
      <c r="SI191" s="47"/>
      <c r="SJ191" s="47"/>
      <c r="SK191" s="47"/>
      <c r="SL191" s="47"/>
      <c r="SM191" s="47"/>
      <c r="SN191" s="47"/>
      <c r="SO191" s="47"/>
      <c r="SP191" s="47"/>
      <c r="SQ191" s="47"/>
      <c r="SR191" s="47"/>
      <c r="SS191" s="47"/>
      <c r="ST191" s="47"/>
      <c r="SU191" s="47"/>
      <c r="SV191" s="47"/>
      <c r="SW191" s="47"/>
      <c r="SX191" s="47"/>
      <c r="SY191" s="47"/>
      <c r="SZ191" s="47"/>
      <c r="TA191" s="47"/>
      <c r="TB191" s="47"/>
      <c r="TC191" s="47"/>
      <c r="TD191" s="47"/>
      <c r="TE191" s="47"/>
      <c r="TF191" s="47"/>
      <c r="TG191" s="47"/>
      <c r="TH191" s="47"/>
      <c r="TI191" s="47"/>
      <c r="TJ191" s="47"/>
      <c r="TK191" s="47"/>
      <c r="TL191" s="47"/>
      <c r="TM191" s="47"/>
      <c r="TN191" s="47"/>
      <c r="TO191" s="47"/>
      <c r="TP191" s="47"/>
      <c r="TQ191" s="47"/>
      <c r="TR191" s="47"/>
      <c r="TS191" s="47"/>
      <c r="TT191" s="47"/>
      <c r="TU191" s="47"/>
      <c r="TV191" s="47"/>
      <c r="TW191" s="47"/>
      <c r="TX191" s="47"/>
      <c r="TY191" s="47"/>
      <c r="TZ191" s="47"/>
      <c r="UA191" s="47"/>
      <c r="UB191" s="47"/>
      <c r="UC191" s="47"/>
      <c r="UD191" s="47"/>
      <c r="UE191" s="47"/>
      <c r="UF191" s="47"/>
      <c r="UG191" s="47"/>
      <c r="UH191" s="47"/>
      <c r="UI191" s="47"/>
      <c r="UJ191" s="47"/>
      <c r="UK191" s="47"/>
      <c r="UL191" s="47"/>
      <c r="UM191" s="47"/>
      <c r="UN191" s="47"/>
      <c r="UO191" s="47"/>
      <c r="UP191" s="47"/>
      <c r="UQ191" s="47"/>
      <c r="UR191" s="47"/>
      <c r="US191" s="47"/>
      <c r="UT191" s="47"/>
      <c r="UU191" s="47"/>
      <c r="UV191" s="47"/>
      <c r="UW191" s="47"/>
      <c r="UX191" s="47"/>
      <c r="UY191" s="47"/>
      <c r="UZ191" s="47"/>
      <c r="VA191" s="47"/>
      <c r="VB191" s="47"/>
      <c r="VC191" s="47"/>
      <c r="VD191" s="47"/>
      <c r="VE191" s="47"/>
      <c r="VF191" s="47"/>
    </row>
    <row r="192" spans="1:578" s="41" customFormat="1" ht="36.75" customHeight="1" x14ac:dyDescent="0.2">
      <c r="A192" s="39" t="s">
        <v>257</v>
      </c>
      <c r="B192" s="90" t="str">
        <f>'дод 3'!A106</f>
        <v>3112</v>
      </c>
      <c r="C192" s="90" t="str">
        <f>'дод 3'!B106</f>
        <v>1040</v>
      </c>
      <c r="D192" s="42" t="str">
        <f>'дод 3'!C106</f>
        <v>Заходи державної політики з питань дітей та їх соціального захисту</v>
      </c>
      <c r="E192" s="65">
        <v>100000</v>
      </c>
      <c r="F192" s="65"/>
      <c r="G192" s="65"/>
      <c r="H192" s="65">
        <v>2549.9</v>
      </c>
      <c r="I192" s="65"/>
      <c r="J192" s="65"/>
      <c r="K192" s="130">
        <f t="shared" si="41"/>
        <v>2.5499000000000001</v>
      </c>
      <c r="L192" s="65">
        <f t="shared" si="45"/>
        <v>0</v>
      </c>
      <c r="M192" s="65"/>
      <c r="N192" s="65"/>
      <c r="O192" s="65"/>
      <c r="P192" s="65"/>
      <c r="Q192" s="65"/>
      <c r="R192" s="65">
        <f t="shared" si="43"/>
        <v>0</v>
      </c>
      <c r="S192" s="65"/>
      <c r="T192" s="65"/>
      <c r="U192" s="65"/>
      <c r="V192" s="65"/>
      <c r="W192" s="65"/>
      <c r="X192" s="132"/>
      <c r="Y192" s="65">
        <f t="shared" si="42"/>
        <v>2549.9</v>
      </c>
      <c r="Z192" s="203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47"/>
      <c r="KC192" s="47"/>
      <c r="KD192" s="47"/>
      <c r="KE192" s="47"/>
      <c r="KF192" s="47"/>
      <c r="KG192" s="47"/>
      <c r="KH192" s="47"/>
      <c r="KI192" s="47"/>
      <c r="KJ192" s="47"/>
      <c r="KK192" s="47"/>
      <c r="KL192" s="47"/>
      <c r="KM192" s="47"/>
      <c r="KN192" s="47"/>
      <c r="KO192" s="47"/>
      <c r="KP192" s="47"/>
      <c r="KQ192" s="47"/>
      <c r="KR192" s="47"/>
      <c r="KS192" s="47"/>
      <c r="KT192" s="47"/>
      <c r="KU192" s="47"/>
      <c r="KV192" s="47"/>
      <c r="KW192" s="47"/>
      <c r="KX192" s="47"/>
      <c r="KY192" s="47"/>
      <c r="KZ192" s="47"/>
      <c r="LA192" s="47"/>
      <c r="LB192" s="47"/>
      <c r="LC192" s="47"/>
      <c r="LD192" s="47"/>
      <c r="LE192" s="47"/>
      <c r="LF192" s="47"/>
      <c r="LG192" s="47"/>
      <c r="LH192" s="47"/>
      <c r="LI192" s="47"/>
      <c r="LJ192" s="47"/>
      <c r="LK192" s="47"/>
      <c r="LL192" s="47"/>
      <c r="LM192" s="47"/>
      <c r="LN192" s="47"/>
      <c r="LO192" s="47"/>
      <c r="LP192" s="47"/>
      <c r="LQ192" s="47"/>
      <c r="LR192" s="47"/>
      <c r="LS192" s="47"/>
      <c r="LT192" s="47"/>
      <c r="LU192" s="47"/>
      <c r="LV192" s="47"/>
      <c r="LW192" s="47"/>
      <c r="LX192" s="47"/>
      <c r="LY192" s="47"/>
      <c r="LZ192" s="47"/>
      <c r="MA192" s="47"/>
      <c r="MB192" s="47"/>
      <c r="MC192" s="47"/>
      <c r="MD192" s="47"/>
      <c r="ME192" s="47"/>
      <c r="MF192" s="47"/>
      <c r="MG192" s="47"/>
      <c r="MH192" s="47"/>
      <c r="MI192" s="47"/>
      <c r="MJ192" s="47"/>
      <c r="MK192" s="47"/>
      <c r="ML192" s="47"/>
      <c r="MM192" s="47"/>
      <c r="MN192" s="47"/>
      <c r="MO192" s="47"/>
      <c r="MP192" s="47"/>
      <c r="MQ192" s="47"/>
      <c r="MR192" s="47"/>
      <c r="MS192" s="47"/>
      <c r="MT192" s="47"/>
      <c r="MU192" s="47"/>
      <c r="MV192" s="47"/>
      <c r="MW192" s="47"/>
      <c r="MX192" s="47"/>
      <c r="MY192" s="47"/>
      <c r="MZ192" s="47"/>
      <c r="NA192" s="47"/>
      <c r="NB192" s="47"/>
      <c r="NC192" s="47"/>
      <c r="ND192" s="47"/>
      <c r="NE192" s="47"/>
      <c r="NF192" s="47"/>
      <c r="NG192" s="47"/>
      <c r="NH192" s="47"/>
      <c r="NI192" s="47"/>
      <c r="NJ192" s="47"/>
      <c r="NK192" s="47"/>
      <c r="NL192" s="47"/>
      <c r="NM192" s="47"/>
      <c r="NN192" s="47"/>
      <c r="NO192" s="47"/>
      <c r="NP192" s="47"/>
      <c r="NQ192" s="47"/>
      <c r="NR192" s="47"/>
      <c r="NS192" s="47"/>
      <c r="NT192" s="47"/>
      <c r="NU192" s="47"/>
      <c r="NV192" s="47"/>
      <c r="NW192" s="47"/>
      <c r="NX192" s="47"/>
      <c r="NY192" s="47"/>
      <c r="NZ192" s="47"/>
      <c r="OA192" s="47"/>
      <c r="OB192" s="47"/>
      <c r="OC192" s="47"/>
      <c r="OD192" s="47"/>
      <c r="OE192" s="47"/>
      <c r="OF192" s="47"/>
      <c r="OG192" s="47"/>
      <c r="OH192" s="47"/>
      <c r="OI192" s="47"/>
      <c r="OJ192" s="47"/>
      <c r="OK192" s="47"/>
      <c r="OL192" s="47"/>
      <c r="OM192" s="47"/>
      <c r="ON192" s="47"/>
      <c r="OO192" s="47"/>
      <c r="OP192" s="47"/>
      <c r="OQ192" s="47"/>
      <c r="OR192" s="47"/>
      <c r="OS192" s="47"/>
      <c r="OT192" s="47"/>
      <c r="OU192" s="47"/>
      <c r="OV192" s="47"/>
      <c r="OW192" s="47"/>
      <c r="OX192" s="47"/>
      <c r="OY192" s="47"/>
      <c r="OZ192" s="47"/>
      <c r="PA192" s="47"/>
      <c r="PB192" s="47"/>
      <c r="PC192" s="47"/>
      <c r="PD192" s="47"/>
      <c r="PE192" s="47"/>
      <c r="PF192" s="47"/>
      <c r="PG192" s="47"/>
      <c r="PH192" s="47"/>
      <c r="PI192" s="47"/>
      <c r="PJ192" s="47"/>
      <c r="PK192" s="47"/>
      <c r="PL192" s="47"/>
      <c r="PM192" s="47"/>
      <c r="PN192" s="47"/>
      <c r="PO192" s="47"/>
      <c r="PP192" s="47"/>
      <c r="PQ192" s="47"/>
      <c r="PR192" s="47"/>
      <c r="PS192" s="47"/>
      <c r="PT192" s="47"/>
      <c r="PU192" s="47"/>
      <c r="PV192" s="47"/>
      <c r="PW192" s="47"/>
      <c r="PX192" s="47"/>
      <c r="PY192" s="47"/>
      <c r="PZ192" s="47"/>
      <c r="QA192" s="47"/>
      <c r="QB192" s="47"/>
      <c r="QC192" s="47"/>
      <c r="QD192" s="47"/>
      <c r="QE192" s="47"/>
      <c r="QF192" s="47"/>
      <c r="QG192" s="47"/>
      <c r="QH192" s="47"/>
      <c r="QI192" s="47"/>
      <c r="QJ192" s="47"/>
      <c r="QK192" s="47"/>
      <c r="QL192" s="47"/>
      <c r="QM192" s="47"/>
      <c r="QN192" s="47"/>
      <c r="QO192" s="47"/>
      <c r="QP192" s="47"/>
      <c r="QQ192" s="47"/>
      <c r="QR192" s="47"/>
      <c r="QS192" s="47"/>
      <c r="QT192" s="47"/>
      <c r="QU192" s="47"/>
      <c r="QV192" s="47"/>
      <c r="QW192" s="47"/>
      <c r="QX192" s="47"/>
      <c r="QY192" s="47"/>
      <c r="QZ192" s="47"/>
      <c r="RA192" s="47"/>
      <c r="RB192" s="47"/>
      <c r="RC192" s="47"/>
      <c r="RD192" s="47"/>
      <c r="RE192" s="47"/>
      <c r="RF192" s="47"/>
      <c r="RG192" s="47"/>
      <c r="RH192" s="47"/>
      <c r="RI192" s="47"/>
      <c r="RJ192" s="47"/>
      <c r="RK192" s="47"/>
      <c r="RL192" s="47"/>
      <c r="RM192" s="47"/>
      <c r="RN192" s="47"/>
      <c r="RO192" s="47"/>
      <c r="RP192" s="47"/>
      <c r="RQ192" s="47"/>
      <c r="RR192" s="47"/>
      <c r="RS192" s="47"/>
      <c r="RT192" s="47"/>
      <c r="RU192" s="47"/>
      <c r="RV192" s="47"/>
      <c r="RW192" s="47"/>
      <c r="RX192" s="47"/>
      <c r="RY192" s="47"/>
      <c r="RZ192" s="47"/>
      <c r="SA192" s="47"/>
      <c r="SB192" s="47"/>
      <c r="SC192" s="47"/>
      <c r="SD192" s="47"/>
      <c r="SE192" s="47"/>
      <c r="SF192" s="47"/>
      <c r="SG192" s="47"/>
      <c r="SH192" s="47"/>
      <c r="SI192" s="47"/>
      <c r="SJ192" s="47"/>
      <c r="SK192" s="47"/>
      <c r="SL192" s="47"/>
      <c r="SM192" s="47"/>
      <c r="SN192" s="47"/>
      <c r="SO192" s="47"/>
      <c r="SP192" s="47"/>
      <c r="SQ192" s="47"/>
      <c r="SR192" s="47"/>
      <c r="SS192" s="47"/>
      <c r="ST192" s="47"/>
      <c r="SU192" s="47"/>
      <c r="SV192" s="47"/>
      <c r="SW192" s="47"/>
      <c r="SX192" s="47"/>
      <c r="SY192" s="47"/>
      <c r="SZ192" s="47"/>
      <c r="TA192" s="47"/>
      <c r="TB192" s="47"/>
      <c r="TC192" s="47"/>
      <c r="TD192" s="47"/>
      <c r="TE192" s="47"/>
      <c r="TF192" s="47"/>
      <c r="TG192" s="47"/>
      <c r="TH192" s="47"/>
      <c r="TI192" s="47"/>
      <c r="TJ192" s="47"/>
      <c r="TK192" s="47"/>
      <c r="TL192" s="47"/>
      <c r="TM192" s="47"/>
      <c r="TN192" s="47"/>
      <c r="TO192" s="47"/>
      <c r="TP192" s="47"/>
      <c r="TQ192" s="47"/>
      <c r="TR192" s="47"/>
      <c r="TS192" s="47"/>
      <c r="TT192" s="47"/>
      <c r="TU192" s="47"/>
      <c r="TV192" s="47"/>
      <c r="TW192" s="47"/>
      <c r="TX192" s="47"/>
      <c r="TY192" s="47"/>
      <c r="TZ192" s="47"/>
      <c r="UA192" s="47"/>
      <c r="UB192" s="47"/>
      <c r="UC192" s="47"/>
      <c r="UD192" s="47"/>
      <c r="UE192" s="47"/>
      <c r="UF192" s="47"/>
      <c r="UG192" s="47"/>
      <c r="UH192" s="47"/>
      <c r="UI192" s="47"/>
      <c r="UJ192" s="47"/>
      <c r="UK192" s="47"/>
      <c r="UL192" s="47"/>
      <c r="UM192" s="47"/>
      <c r="UN192" s="47"/>
      <c r="UO192" s="47"/>
      <c r="UP192" s="47"/>
      <c r="UQ192" s="47"/>
      <c r="UR192" s="47"/>
      <c r="US192" s="47"/>
      <c r="UT192" s="47"/>
      <c r="UU192" s="47"/>
      <c r="UV192" s="47"/>
      <c r="UW192" s="47"/>
      <c r="UX192" s="47"/>
      <c r="UY192" s="47"/>
      <c r="UZ192" s="47"/>
      <c r="VA192" s="47"/>
      <c r="VB192" s="47"/>
      <c r="VC192" s="47"/>
      <c r="VD192" s="47"/>
      <c r="VE192" s="47"/>
      <c r="VF192" s="47"/>
    </row>
    <row r="193" spans="1:578" s="41" customFormat="1" ht="60" hidden="1" customHeight="1" x14ac:dyDescent="0.2">
      <c r="A193" s="39" t="s">
        <v>547</v>
      </c>
      <c r="B193" s="90" t="s">
        <v>549</v>
      </c>
      <c r="C193" s="90" t="s">
        <v>98</v>
      </c>
      <c r="D193" s="42" t="s">
        <v>548</v>
      </c>
      <c r="E193" s="65">
        <v>0</v>
      </c>
      <c r="F193" s="65"/>
      <c r="G193" s="65"/>
      <c r="H193" s="65"/>
      <c r="I193" s="65"/>
      <c r="J193" s="65"/>
      <c r="K193" s="129" t="e">
        <f t="shared" si="41"/>
        <v>#DIV/0!</v>
      </c>
      <c r="L193" s="65">
        <f t="shared" si="45"/>
        <v>0</v>
      </c>
      <c r="M193" s="65"/>
      <c r="N193" s="65"/>
      <c r="O193" s="65"/>
      <c r="P193" s="65"/>
      <c r="Q193" s="65"/>
      <c r="R193" s="65">
        <f t="shared" si="43"/>
        <v>0</v>
      </c>
      <c r="S193" s="65"/>
      <c r="T193" s="65"/>
      <c r="U193" s="65"/>
      <c r="V193" s="65"/>
      <c r="W193" s="65"/>
      <c r="X193" s="131" t="e">
        <f t="shared" si="44"/>
        <v>#DIV/0!</v>
      </c>
      <c r="Y193" s="79">
        <f t="shared" si="42"/>
        <v>0</v>
      </c>
      <c r="Z193" s="203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  <c r="JD193" s="47"/>
      <c r="JE193" s="47"/>
      <c r="JF193" s="47"/>
      <c r="JG193" s="47"/>
      <c r="JH193" s="47"/>
      <c r="JI193" s="47"/>
      <c r="JJ193" s="47"/>
      <c r="JK193" s="47"/>
      <c r="JL193" s="47"/>
      <c r="JM193" s="47"/>
      <c r="JN193" s="47"/>
      <c r="JO193" s="47"/>
      <c r="JP193" s="47"/>
      <c r="JQ193" s="47"/>
      <c r="JR193" s="47"/>
      <c r="JS193" s="47"/>
      <c r="JT193" s="47"/>
      <c r="JU193" s="47"/>
      <c r="JV193" s="47"/>
      <c r="JW193" s="47"/>
      <c r="JX193" s="47"/>
      <c r="JY193" s="47"/>
      <c r="JZ193" s="47"/>
      <c r="KA193" s="47"/>
      <c r="KB193" s="47"/>
      <c r="KC193" s="47"/>
      <c r="KD193" s="47"/>
      <c r="KE193" s="47"/>
      <c r="KF193" s="47"/>
      <c r="KG193" s="47"/>
      <c r="KH193" s="47"/>
      <c r="KI193" s="47"/>
      <c r="KJ193" s="47"/>
      <c r="KK193" s="47"/>
      <c r="KL193" s="47"/>
      <c r="KM193" s="47"/>
      <c r="KN193" s="47"/>
      <c r="KO193" s="47"/>
      <c r="KP193" s="47"/>
      <c r="KQ193" s="47"/>
      <c r="KR193" s="47"/>
      <c r="KS193" s="47"/>
      <c r="KT193" s="47"/>
      <c r="KU193" s="47"/>
      <c r="KV193" s="47"/>
      <c r="KW193" s="47"/>
      <c r="KX193" s="47"/>
      <c r="KY193" s="47"/>
      <c r="KZ193" s="47"/>
      <c r="LA193" s="47"/>
      <c r="LB193" s="47"/>
      <c r="LC193" s="47"/>
      <c r="LD193" s="47"/>
      <c r="LE193" s="47"/>
      <c r="LF193" s="47"/>
      <c r="LG193" s="47"/>
      <c r="LH193" s="47"/>
      <c r="LI193" s="47"/>
      <c r="LJ193" s="47"/>
      <c r="LK193" s="47"/>
      <c r="LL193" s="47"/>
      <c r="LM193" s="47"/>
      <c r="LN193" s="47"/>
      <c r="LO193" s="47"/>
      <c r="LP193" s="47"/>
      <c r="LQ193" s="47"/>
      <c r="LR193" s="47"/>
      <c r="LS193" s="47"/>
      <c r="LT193" s="47"/>
      <c r="LU193" s="47"/>
      <c r="LV193" s="47"/>
      <c r="LW193" s="47"/>
      <c r="LX193" s="47"/>
      <c r="LY193" s="47"/>
      <c r="LZ193" s="47"/>
      <c r="MA193" s="47"/>
      <c r="MB193" s="47"/>
      <c r="MC193" s="47"/>
      <c r="MD193" s="47"/>
      <c r="ME193" s="47"/>
      <c r="MF193" s="47"/>
      <c r="MG193" s="47"/>
      <c r="MH193" s="47"/>
      <c r="MI193" s="47"/>
      <c r="MJ193" s="47"/>
      <c r="MK193" s="47"/>
      <c r="ML193" s="47"/>
      <c r="MM193" s="47"/>
      <c r="MN193" s="47"/>
      <c r="MO193" s="47"/>
      <c r="MP193" s="47"/>
      <c r="MQ193" s="47"/>
      <c r="MR193" s="47"/>
      <c r="MS193" s="47"/>
      <c r="MT193" s="47"/>
      <c r="MU193" s="47"/>
      <c r="MV193" s="47"/>
      <c r="MW193" s="47"/>
      <c r="MX193" s="47"/>
      <c r="MY193" s="47"/>
      <c r="MZ193" s="47"/>
      <c r="NA193" s="47"/>
      <c r="NB193" s="47"/>
      <c r="NC193" s="47"/>
      <c r="ND193" s="47"/>
      <c r="NE193" s="47"/>
      <c r="NF193" s="47"/>
      <c r="NG193" s="47"/>
      <c r="NH193" s="47"/>
      <c r="NI193" s="47"/>
      <c r="NJ193" s="47"/>
      <c r="NK193" s="47"/>
      <c r="NL193" s="47"/>
      <c r="NM193" s="47"/>
      <c r="NN193" s="47"/>
      <c r="NO193" s="47"/>
      <c r="NP193" s="47"/>
      <c r="NQ193" s="47"/>
      <c r="NR193" s="47"/>
      <c r="NS193" s="47"/>
      <c r="NT193" s="47"/>
      <c r="NU193" s="47"/>
      <c r="NV193" s="47"/>
      <c r="NW193" s="47"/>
      <c r="NX193" s="47"/>
      <c r="NY193" s="47"/>
      <c r="NZ193" s="47"/>
      <c r="OA193" s="47"/>
      <c r="OB193" s="47"/>
      <c r="OC193" s="47"/>
      <c r="OD193" s="47"/>
      <c r="OE193" s="47"/>
      <c r="OF193" s="47"/>
      <c r="OG193" s="47"/>
      <c r="OH193" s="47"/>
      <c r="OI193" s="47"/>
      <c r="OJ193" s="47"/>
      <c r="OK193" s="47"/>
      <c r="OL193" s="47"/>
      <c r="OM193" s="47"/>
      <c r="ON193" s="47"/>
      <c r="OO193" s="47"/>
      <c r="OP193" s="47"/>
      <c r="OQ193" s="47"/>
      <c r="OR193" s="47"/>
      <c r="OS193" s="47"/>
      <c r="OT193" s="47"/>
      <c r="OU193" s="47"/>
      <c r="OV193" s="47"/>
      <c r="OW193" s="47"/>
      <c r="OX193" s="47"/>
      <c r="OY193" s="47"/>
      <c r="OZ193" s="47"/>
      <c r="PA193" s="47"/>
      <c r="PB193" s="47"/>
      <c r="PC193" s="47"/>
      <c r="PD193" s="47"/>
      <c r="PE193" s="47"/>
      <c r="PF193" s="47"/>
      <c r="PG193" s="47"/>
      <c r="PH193" s="47"/>
      <c r="PI193" s="47"/>
      <c r="PJ193" s="47"/>
      <c r="PK193" s="47"/>
      <c r="PL193" s="47"/>
      <c r="PM193" s="47"/>
      <c r="PN193" s="47"/>
      <c r="PO193" s="47"/>
      <c r="PP193" s="47"/>
      <c r="PQ193" s="47"/>
      <c r="PR193" s="47"/>
      <c r="PS193" s="47"/>
      <c r="PT193" s="47"/>
      <c r="PU193" s="47"/>
      <c r="PV193" s="47"/>
      <c r="PW193" s="47"/>
      <c r="PX193" s="47"/>
      <c r="PY193" s="47"/>
      <c r="PZ193" s="47"/>
      <c r="QA193" s="47"/>
      <c r="QB193" s="47"/>
      <c r="QC193" s="47"/>
      <c r="QD193" s="47"/>
      <c r="QE193" s="47"/>
      <c r="QF193" s="47"/>
      <c r="QG193" s="47"/>
      <c r="QH193" s="47"/>
      <c r="QI193" s="47"/>
      <c r="QJ193" s="47"/>
      <c r="QK193" s="47"/>
      <c r="QL193" s="47"/>
      <c r="QM193" s="47"/>
      <c r="QN193" s="47"/>
      <c r="QO193" s="47"/>
      <c r="QP193" s="47"/>
      <c r="QQ193" s="47"/>
      <c r="QR193" s="47"/>
      <c r="QS193" s="47"/>
      <c r="QT193" s="47"/>
      <c r="QU193" s="47"/>
      <c r="QV193" s="47"/>
      <c r="QW193" s="47"/>
      <c r="QX193" s="47"/>
      <c r="QY193" s="47"/>
      <c r="QZ193" s="47"/>
      <c r="RA193" s="47"/>
      <c r="RB193" s="47"/>
      <c r="RC193" s="47"/>
      <c r="RD193" s="47"/>
      <c r="RE193" s="47"/>
      <c r="RF193" s="47"/>
      <c r="RG193" s="47"/>
      <c r="RH193" s="47"/>
      <c r="RI193" s="47"/>
      <c r="RJ193" s="47"/>
      <c r="RK193" s="47"/>
      <c r="RL193" s="47"/>
      <c r="RM193" s="47"/>
      <c r="RN193" s="47"/>
      <c r="RO193" s="47"/>
      <c r="RP193" s="47"/>
      <c r="RQ193" s="47"/>
      <c r="RR193" s="47"/>
      <c r="RS193" s="47"/>
      <c r="RT193" s="47"/>
      <c r="RU193" s="47"/>
      <c r="RV193" s="47"/>
      <c r="RW193" s="47"/>
      <c r="RX193" s="47"/>
      <c r="RY193" s="47"/>
      <c r="RZ193" s="47"/>
      <c r="SA193" s="47"/>
      <c r="SB193" s="47"/>
      <c r="SC193" s="47"/>
      <c r="SD193" s="47"/>
      <c r="SE193" s="47"/>
      <c r="SF193" s="47"/>
      <c r="SG193" s="47"/>
      <c r="SH193" s="47"/>
      <c r="SI193" s="47"/>
      <c r="SJ193" s="47"/>
      <c r="SK193" s="47"/>
      <c r="SL193" s="47"/>
      <c r="SM193" s="47"/>
      <c r="SN193" s="47"/>
      <c r="SO193" s="47"/>
      <c r="SP193" s="47"/>
      <c r="SQ193" s="47"/>
      <c r="SR193" s="47"/>
      <c r="SS193" s="47"/>
      <c r="ST193" s="47"/>
      <c r="SU193" s="47"/>
      <c r="SV193" s="47"/>
      <c r="SW193" s="47"/>
      <c r="SX193" s="47"/>
      <c r="SY193" s="47"/>
      <c r="SZ193" s="47"/>
      <c r="TA193" s="47"/>
      <c r="TB193" s="47"/>
      <c r="TC193" s="47"/>
      <c r="TD193" s="47"/>
      <c r="TE193" s="47"/>
      <c r="TF193" s="47"/>
      <c r="TG193" s="47"/>
      <c r="TH193" s="47"/>
      <c r="TI193" s="47"/>
      <c r="TJ193" s="47"/>
      <c r="TK193" s="47"/>
      <c r="TL193" s="47"/>
      <c r="TM193" s="47"/>
      <c r="TN193" s="47"/>
      <c r="TO193" s="47"/>
      <c r="TP193" s="47"/>
      <c r="TQ193" s="47"/>
      <c r="TR193" s="47"/>
      <c r="TS193" s="47"/>
      <c r="TT193" s="47"/>
      <c r="TU193" s="47"/>
      <c r="TV193" s="47"/>
      <c r="TW193" s="47"/>
      <c r="TX193" s="47"/>
      <c r="TY193" s="47"/>
      <c r="TZ193" s="47"/>
      <c r="UA193" s="47"/>
      <c r="UB193" s="47"/>
      <c r="UC193" s="47"/>
      <c r="UD193" s="47"/>
      <c r="UE193" s="47"/>
      <c r="UF193" s="47"/>
      <c r="UG193" s="47"/>
      <c r="UH193" s="47"/>
      <c r="UI193" s="47"/>
      <c r="UJ193" s="47"/>
      <c r="UK193" s="47"/>
      <c r="UL193" s="47"/>
      <c r="UM193" s="47"/>
      <c r="UN193" s="47"/>
      <c r="UO193" s="47"/>
      <c r="UP193" s="47"/>
      <c r="UQ193" s="47"/>
      <c r="UR193" s="47"/>
      <c r="US193" s="47"/>
      <c r="UT193" s="47"/>
      <c r="UU193" s="47"/>
      <c r="UV193" s="47"/>
      <c r="UW193" s="47"/>
      <c r="UX193" s="47"/>
      <c r="UY193" s="47"/>
      <c r="UZ193" s="47"/>
      <c r="VA193" s="47"/>
      <c r="VB193" s="47"/>
      <c r="VC193" s="47"/>
      <c r="VD193" s="47"/>
      <c r="VE193" s="47"/>
      <c r="VF193" s="47"/>
    </row>
    <row r="194" spans="1:578" s="41" customFormat="1" ht="15" hidden="1" customHeight="1" x14ac:dyDescent="0.2">
      <c r="A194" s="39"/>
      <c r="B194" s="90"/>
      <c r="C194" s="90"/>
      <c r="D194" s="42" t="s">
        <v>344</v>
      </c>
      <c r="E194" s="65">
        <v>0</v>
      </c>
      <c r="F194" s="65"/>
      <c r="G194" s="65"/>
      <c r="H194" s="65"/>
      <c r="I194" s="65"/>
      <c r="J194" s="65"/>
      <c r="K194" s="129" t="e">
        <f t="shared" si="41"/>
        <v>#DIV/0!</v>
      </c>
      <c r="L194" s="65">
        <f t="shared" si="45"/>
        <v>0</v>
      </c>
      <c r="M194" s="65"/>
      <c r="N194" s="65"/>
      <c r="O194" s="65"/>
      <c r="P194" s="65"/>
      <c r="Q194" s="65"/>
      <c r="R194" s="65">
        <f t="shared" si="43"/>
        <v>0</v>
      </c>
      <c r="S194" s="65"/>
      <c r="T194" s="65"/>
      <c r="U194" s="65"/>
      <c r="V194" s="65"/>
      <c r="W194" s="65"/>
      <c r="X194" s="131" t="e">
        <f t="shared" si="44"/>
        <v>#DIV/0!</v>
      </c>
      <c r="Y194" s="79">
        <f t="shared" si="42"/>
        <v>0</v>
      </c>
      <c r="Z194" s="203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  <c r="JD194" s="47"/>
      <c r="JE194" s="47"/>
      <c r="JF194" s="47"/>
      <c r="JG194" s="47"/>
      <c r="JH194" s="47"/>
      <c r="JI194" s="47"/>
      <c r="JJ194" s="47"/>
      <c r="JK194" s="47"/>
      <c r="JL194" s="47"/>
      <c r="JM194" s="47"/>
      <c r="JN194" s="47"/>
      <c r="JO194" s="47"/>
      <c r="JP194" s="47"/>
      <c r="JQ194" s="47"/>
      <c r="JR194" s="47"/>
      <c r="JS194" s="47"/>
      <c r="JT194" s="47"/>
      <c r="JU194" s="47"/>
      <c r="JV194" s="47"/>
      <c r="JW194" s="47"/>
      <c r="JX194" s="47"/>
      <c r="JY194" s="47"/>
      <c r="JZ194" s="47"/>
      <c r="KA194" s="47"/>
      <c r="KB194" s="47"/>
      <c r="KC194" s="47"/>
      <c r="KD194" s="47"/>
      <c r="KE194" s="47"/>
      <c r="KF194" s="47"/>
      <c r="KG194" s="47"/>
      <c r="KH194" s="47"/>
      <c r="KI194" s="47"/>
      <c r="KJ194" s="47"/>
      <c r="KK194" s="47"/>
      <c r="KL194" s="47"/>
      <c r="KM194" s="47"/>
      <c r="KN194" s="47"/>
      <c r="KO194" s="47"/>
      <c r="KP194" s="47"/>
      <c r="KQ194" s="47"/>
      <c r="KR194" s="47"/>
      <c r="KS194" s="47"/>
      <c r="KT194" s="47"/>
      <c r="KU194" s="47"/>
      <c r="KV194" s="47"/>
      <c r="KW194" s="47"/>
      <c r="KX194" s="47"/>
      <c r="KY194" s="47"/>
      <c r="KZ194" s="47"/>
      <c r="LA194" s="47"/>
      <c r="LB194" s="47"/>
      <c r="LC194" s="47"/>
      <c r="LD194" s="47"/>
      <c r="LE194" s="47"/>
      <c r="LF194" s="47"/>
      <c r="LG194" s="47"/>
      <c r="LH194" s="47"/>
      <c r="LI194" s="47"/>
      <c r="LJ194" s="47"/>
      <c r="LK194" s="47"/>
      <c r="LL194" s="47"/>
      <c r="LM194" s="47"/>
      <c r="LN194" s="47"/>
      <c r="LO194" s="47"/>
      <c r="LP194" s="47"/>
      <c r="LQ194" s="47"/>
      <c r="LR194" s="47"/>
      <c r="LS194" s="47"/>
      <c r="LT194" s="47"/>
      <c r="LU194" s="47"/>
      <c r="LV194" s="47"/>
      <c r="LW194" s="47"/>
      <c r="LX194" s="47"/>
      <c r="LY194" s="47"/>
      <c r="LZ194" s="47"/>
      <c r="MA194" s="47"/>
      <c r="MB194" s="47"/>
      <c r="MC194" s="47"/>
      <c r="MD194" s="47"/>
      <c r="ME194" s="47"/>
      <c r="MF194" s="47"/>
      <c r="MG194" s="47"/>
      <c r="MH194" s="47"/>
      <c r="MI194" s="47"/>
      <c r="MJ194" s="47"/>
      <c r="MK194" s="47"/>
      <c r="ML194" s="47"/>
      <c r="MM194" s="47"/>
      <c r="MN194" s="47"/>
      <c r="MO194" s="47"/>
      <c r="MP194" s="47"/>
      <c r="MQ194" s="47"/>
      <c r="MR194" s="47"/>
      <c r="MS194" s="47"/>
      <c r="MT194" s="47"/>
      <c r="MU194" s="47"/>
      <c r="MV194" s="47"/>
      <c r="MW194" s="47"/>
      <c r="MX194" s="47"/>
      <c r="MY194" s="47"/>
      <c r="MZ194" s="47"/>
      <c r="NA194" s="47"/>
      <c r="NB194" s="47"/>
      <c r="NC194" s="47"/>
      <c r="ND194" s="47"/>
      <c r="NE194" s="47"/>
      <c r="NF194" s="47"/>
      <c r="NG194" s="47"/>
      <c r="NH194" s="47"/>
      <c r="NI194" s="47"/>
      <c r="NJ194" s="47"/>
      <c r="NK194" s="47"/>
      <c r="NL194" s="47"/>
      <c r="NM194" s="47"/>
      <c r="NN194" s="47"/>
      <c r="NO194" s="47"/>
      <c r="NP194" s="47"/>
      <c r="NQ194" s="47"/>
      <c r="NR194" s="47"/>
      <c r="NS194" s="47"/>
      <c r="NT194" s="47"/>
      <c r="NU194" s="47"/>
      <c r="NV194" s="47"/>
      <c r="NW194" s="47"/>
      <c r="NX194" s="47"/>
      <c r="NY194" s="47"/>
      <c r="NZ194" s="47"/>
      <c r="OA194" s="47"/>
      <c r="OB194" s="47"/>
      <c r="OC194" s="47"/>
      <c r="OD194" s="47"/>
      <c r="OE194" s="47"/>
      <c r="OF194" s="47"/>
      <c r="OG194" s="47"/>
      <c r="OH194" s="47"/>
      <c r="OI194" s="47"/>
      <c r="OJ194" s="47"/>
      <c r="OK194" s="47"/>
      <c r="OL194" s="47"/>
      <c r="OM194" s="47"/>
      <c r="ON194" s="47"/>
      <c r="OO194" s="47"/>
      <c r="OP194" s="47"/>
      <c r="OQ194" s="47"/>
      <c r="OR194" s="47"/>
      <c r="OS194" s="47"/>
      <c r="OT194" s="47"/>
      <c r="OU194" s="47"/>
      <c r="OV194" s="47"/>
      <c r="OW194" s="47"/>
      <c r="OX194" s="47"/>
      <c r="OY194" s="47"/>
      <c r="OZ194" s="47"/>
      <c r="PA194" s="47"/>
      <c r="PB194" s="47"/>
      <c r="PC194" s="47"/>
      <c r="PD194" s="47"/>
      <c r="PE194" s="47"/>
      <c r="PF194" s="47"/>
      <c r="PG194" s="47"/>
      <c r="PH194" s="47"/>
      <c r="PI194" s="47"/>
      <c r="PJ194" s="47"/>
      <c r="PK194" s="47"/>
      <c r="PL194" s="47"/>
      <c r="PM194" s="47"/>
      <c r="PN194" s="47"/>
      <c r="PO194" s="47"/>
      <c r="PP194" s="47"/>
      <c r="PQ194" s="47"/>
      <c r="PR194" s="47"/>
      <c r="PS194" s="47"/>
      <c r="PT194" s="47"/>
      <c r="PU194" s="47"/>
      <c r="PV194" s="47"/>
      <c r="PW194" s="47"/>
      <c r="PX194" s="47"/>
      <c r="PY194" s="47"/>
      <c r="PZ194" s="47"/>
      <c r="QA194" s="47"/>
      <c r="QB194" s="47"/>
      <c r="QC194" s="47"/>
      <c r="QD194" s="47"/>
      <c r="QE194" s="47"/>
      <c r="QF194" s="47"/>
      <c r="QG194" s="47"/>
      <c r="QH194" s="47"/>
      <c r="QI194" s="47"/>
      <c r="QJ194" s="47"/>
      <c r="QK194" s="47"/>
      <c r="QL194" s="47"/>
      <c r="QM194" s="47"/>
      <c r="QN194" s="47"/>
      <c r="QO194" s="47"/>
      <c r="QP194" s="47"/>
      <c r="QQ194" s="47"/>
      <c r="QR194" s="47"/>
      <c r="QS194" s="47"/>
      <c r="QT194" s="47"/>
      <c r="QU194" s="47"/>
      <c r="QV194" s="47"/>
      <c r="QW194" s="47"/>
      <c r="QX194" s="47"/>
      <c r="QY194" s="47"/>
      <c r="QZ194" s="47"/>
      <c r="RA194" s="47"/>
      <c r="RB194" s="47"/>
      <c r="RC194" s="47"/>
      <c r="RD194" s="47"/>
      <c r="RE194" s="47"/>
      <c r="RF194" s="47"/>
      <c r="RG194" s="47"/>
      <c r="RH194" s="47"/>
      <c r="RI194" s="47"/>
      <c r="RJ194" s="47"/>
      <c r="RK194" s="47"/>
      <c r="RL194" s="47"/>
      <c r="RM194" s="47"/>
      <c r="RN194" s="47"/>
      <c r="RO194" s="47"/>
      <c r="RP194" s="47"/>
      <c r="RQ194" s="47"/>
      <c r="RR194" s="47"/>
      <c r="RS194" s="47"/>
      <c r="RT194" s="47"/>
      <c r="RU194" s="47"/>
      <c r="RV194" s="47"/>
      <c r="RW194" s="47"/>
      <c r="RX194" s="47"/>
      <c r="RY194" s="47"/>
      <c r="RZ194" s="47"/>
      <c r="SA194" s="47"/>
      <c r="SB194" s="47"/>
      <c r="SC194" s="47"/>
      <c r="SD194" s="47"/>
      <c r="SE194" s="47"/>
      <c r="SF194" s="47"/>
      <c r="SG194" s="47"/>
      <c r="SH194" s="47"/>
      <c r="SI194" s="47"/>
      <c r="SJ194" s="47"/>
      <c r="SK194" s="47"/>
      <c r="SL194" s="47"/>
      <c r="SM194" s="47"/>
      <c r="SN194" s="47"/>
      <c r="SO194" s="47"/>
      <c r="SP194" s="47"/>
      <c r="SQ194" s="47"/>
      <c r="SR194" s="47"/>
      <c r="SS194" s="47"/>
      <c r="ST194" s="47"/>
      <c r="SU194" s="47"/>
      <c r="SV194" s="47"/>
      <c r="SW194" s="47"/>
      <c r="SX194" s="47"/>
      <c r="SY194" s="47"/>
      <c r="SZ194" s="47"/>
      <c r="TA194" s="47"/>
      <c r="TB194" s="47"/>
      <c r="TC194" s="47"/>
      <c r="TD194" s="47"/>
      <c r="TE194" s="47"/>
      <c r="TF194" s="47"/>
      <c r="TG194" s="47"/>
      <c r="TH194" s="47"/>
      <c r="TI194" s="47"/>
      <c r="TJ194" s="47"/>
      <c r="TK194" s="47"/>
      <c r="TL194" s="47"/>
      <c r="TM194" s="47"/>
      <c r="TN194" s="47"/>
      <c r="TO194" s="47"/>
      <c r="TP194" s="47"/>
      <c r="TQ194" s="47"/>
      <c r="TR194" s="47"/>
      <c r="TS194" s="47"/>
      <c r="TT194" s="47"/>
      <c r="TU194" s="47"/>
      <c r="TV194" s="47"/>
      <c r="TW194" s="47"/>
      <c r="TX194" s="47"/>
      <c r="TY194" s="47"/>
      <c r="TZ194" s="47"/>
      <c r="UA194" s="47"/>
      <c r="UB194" s="47"/>
      <c r="UC194" s="47"/>
      <c r="UD194" s="47"/>
      <c r="UE194" s="47"/>
      <c r="UF194" s="47"/>
      <c r="UG194" s="47"/>
      <c r="UH194" s="47"/>
      <c r="UI194" s="47"/>
      <c r="UJ194" s="47"/>
      <c r="UK194" s="47"/>
      <c r="UL194" s="47"/>
      <c r="UM194" s="47"/>
      <c r="UN194" s="47"/>
      <c r="UO194" s="47"/>
      <c r="UP194" s="47"/>
      <c r="UQ194" s="47"/>
      <c r="UR194" s="47"/>
      <c r="US194" s="47"/>
      <c r="UT194" s="47"/>
      <c r="UU194" s="47"/>
      <c r="UV194" s="47"/>
      <c r="UW194" s="47"/>
      <c r="UX194" s="47"/>
      <c r="UY194" s="47"/>
      <c r="UZ194" s="47"/>
      <c r="VA194" s="47"/>
      <c r="VB194" s="47"/>
      <c r="VC194" s="47"/>
      <c r="VD194" s="47"/>
      <c r="VE194" s="47"/>
      <c r="VF194" s="47"/>
    </row>
    <row r="195" spans="1:578" s="57" customFormat="1" ht="22.5" customHeight="1" x14ac:dyDescent="0.2">
      <c r="A195" s="55" t="s">
        <v>43</v>
      </c>
      <c r="B195" s="99"/>
      <c r="C195" s="99"/>
      <c r="D195" s="56" t="s">
        <v>53</v>
      </c>
      <c r="E195" s="79">
        <v>57810200</v>
      </c>
      <c r="F195" s="79">
        <f t="shared" ref="F195:W195" si="52">F196</f>
        <v>42029000</v>
      </c>
      <c r="G195" s="79">
        <f t="shared" si="52"/>
        <v>2274111</v>
      </c>
      <c r="H195" s="79">
        <f t="shared" si="52"/>
        <v>13055562.02</v>
      </c>
      <c r="I195" s="79">
        <f t="shared" si="52"/>
        <v>9526395.8999999985</v>
      </c>
      <c r="J195" s="79">
        <f t="shared" si="52"/>
        <v>1258305.54</v>
      </c>
      <c r="K195" s="129">
        <f t="shared" si="41"/>
        <v>22.583492221095931</v>
      </c>
      <c r="L195" s="79">
        <f t="shared" si="52"/>
        <v>3955580</v>
      </c>
      <c r="M195" s="79">
        <f t="shared" si="52"/>
        <v>1421000</v>
      </c>
      <c r="N195" s="79">
        <f t="shared" si="52"/>
        <v>2529860</v>
      </c>
      <c r="O195" s="79">
        <f t="shared" si="52"/>
        <v>2048504</v>
      </c>
      <c r="P195" s="79">
        <f t="shared" si="52"/>
        <v>0</v>
      </c>
      <c r="Q195" s="79">
        <f t="shared" si="52"/>
        <v>1425720</v>
      </c>
      <c r="R195" s="79">
        <f t="shared" si="52"/>
        <v>812724.33000000007</v>
      </c>
      <c r="S195" s="79">
        <f t="shared" si="52"/>
        <v>19000</v>
      </c>
      <c r="T195" s="79">
        <f t="shared" si="52"/>
        <v>742803.59000000008</v>
      </c>
      <c r="U195" s="79">
        <f t="shared" si="52"/>
        <v>594982.84</v>
      </c>
      <c r="V195" s="79">
        <f t="shared" si="52"/>
        <v>0</v>
      </c>
      <c r="W195" s="79">
        <f t="shared" si="52"/>
        <v>69920.740000000005</v>
      </c>
      <c r="X195" s="131">
        <f t="shared" si="44"/>
        <v>20.546274629763523</v>
      </c>
      <c r="Y195" s="79">
        <f t="shared" si="42"/>
        <v>13868286.35</v>
      </c>
      <c r="Z195" s="20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  <c r="HP195" s="73"/>
      <c r="HQ195" s="73"/>
      <c r="HR195" s="73"/>
      <c r="HS195" s="73"/>
      <c r="HT195" s="73"/>
      <c r="HU195" s="73"/>
      <c r="HV195" s="73"/>
      <c r="HW195" s="73"/>
      <c r="HX195" s="73"/>
      <c r="HY195" s="73"/>
      <c r="HZ195" s="73"/>
      <c r="IA195" s="73"/>
      <c r="IB195" s="73"/>
      <c r="IC195" s="73"/>
      <c r="ID195" s="73"/>
      <c r="IE195" s="73"/>
      <c r="IF195" s="73"/>
      <c r="IG195" s="73"/>
      <c r="IH195" s="73"/>
      <c r="II195" s="73"/>
      <c r="IJ195" s="73"/>
      <c r="IK195" s="73"/>
      <c r="IL195" s="73"/>
      <c r="IM195" s="73"/>
      <c r="IN195" s="73"/>
      <c r="IO195" s="73"/>
      <c r="IP195" s="73"/>
      <c r="IQ195" s="73"/>
      <c r="IR195" s="73"/>
      <c r="IS195" s="73"/>
      <c r="IT195" s="73"/>
      <c r="IU195" s="73"/>
      <c r="IV195" s="73"/>
      <c r="IW195" s="73"/>
      <c r="IX195" s="73"/>
      <c r="IY195" s="73"/>
      <c r="IZ195" s="73"/>
      <c r="JA195" s="73"/>
      <c r="JB195" s="73"/>
      <c r="JC195" s="73"/>
      <c r="JD195" s="73"/>
      <c r="JE195" s="73"/>
      <c r="JF195" s="73"/>
      <c r="JG195" s="73"/>
      <c r="JH195" s="73"/>
      <c r="JI195" s="73"/>
      <c r="JJ195" s="73"/>
      <c r="JK195" s="73"/>
      <c r="JL195" s="73"/>
      <c r="JM195" s="73"/>
      <c r="JN195" s="73"/>
      <c r="JO195" s="73"/>
      <c r="JP195" s="73"/>
      <c r="JQ195" s="73"/>
      <c r="JR195" s="73"/>
      <c r="JS195" s="73"/>
      <c r="JT195" s="73"/>
      <c r="JU195" s="73"/>
      <c r="JV195" s="73"/>
      <c r="JW195" s="73"/>
      <c r="JX195" s="73"/>
      <c r="JY195" s="73"/>
      <c r="JZ195" s="73"/>
      <c r="KA195" s="73"/>
      <c r="KB195" s="73"/>
      <c r="KC195" s="73"/>
      <c r="KD195" s="73"/>
      <c r="KE195" s="73"/>
      <c r="KF195" s="73"/>
      <c r="KG195" s="73"/>
      <c r="KH195" s="73"/>
      <c r="KI195" s="73"/>
      <c r="KJ195" s="73"/>
      <c r="KK195" s="73"/>
      <c r="KL195" s="73"/>
      <c r="KM195" s="73"/>
      <c r="KN195" s="73"/>
      <c r="KO195" s="73"/>
      <c r="KP195" s="73"/>
      <c r="KQ195" s="73"/>
      <c r="KR195" s="73"/>
      <c r="KS195" s="73"/>
      <c r="KT195" s="73"/>
      <c r="KU195" s="73"/>
      <c r="KV195" s="73"/>
      <c r="KW195" s="73"/>
      <c r="KX195" s="73"/>
      <c r="KY195" s="73"/>
      <c r="KZ195" s="73"/>
      <c r="LA195" s="73"/>
      <c r="LB195" s="73"/>
      <c r="LC195" s="73"/>
      <c r="LD195" s="73"/>
      <c r="LE195" s="73"/>
      <c r="LF195" s="73"/>
      <c r="LG195" s="73"/>
      <c r="LH195" s="73"/>
      <c r="LI195" s="73"/>
      <c r="LJ195" s="73"/>
      <c r="LK195" s="73"/>
      <c r="LL195" s="73"/>
      <c r="LM195" s="73"/>
      <c r="LN195" s="73"/>
      <c r="LO195" s="73"/>
      <c r="LP195" s="73"/>
      <c r="LQ195" s="73"/>
      <c r="LR195" s="73"/>
      <c r="LS195" s="73"/>
      <c r="LT195" s="73"/>
      <c r="LU195" s="73"/>
      <c r="LV195" s="73"/>
      <c r="LW195" s="73"/>
      <c r="LX195" s="73"/>
      <c r="LY195" s="73"/>
      <c r="LZ195" s="73"/>
      <c r="MA195" s="73"/>
      <c r="MB195" s="73"/>
      <c r="MC195" s="73"/>
      <c r="MD195" s="73"/>
      <c r="ME195" s="73"/>
      <c r="MF195" s="73"/>
      <c r="MG195" s="73"/>
      <c r="MH195" s="73"/>
      <c r="MI195" s="73"/>
      <c r="MJ195" s="73"/>
      <c r="MK195" s="73"/>
      <c r="ML195" s="73"/>
      <c r="MM195" s="73"/>
      <c r="MN195" s="73"/>
      <c r="MO195" s="73"/>
      <c r="MP195" s="73"/>
      <c r="MQ195" s="73"/>
      <c r="MR195" s="73"/>
      <c r="MS195" s="73"/>
      <c r="MT195" s="73"/>
      <c r="MU195" s="73"/>
      <c r="MV195" s="73"/>
      <c r="MW195" s="73"/>
      <c r="MX195" s="73"/>
      <c r="MY195" s="73"/>
      <c r="MZ195" s="73"/>
      <c r="NA195" s="73"/>
      <c r="NB195" s="73"/>
      <c r="NC195" s="73"/>
      <c r="ND195" s="73"/>
      <c r="NE195" s="73"/>
      <c r="NF195" s="73"/>
      <c r="NG195" s="73"/>
      <c r="NH195" s="73"/>
      <c r="NI195" s="73"/>
      <c r="NJ195" s="73"/>
      <c r="NK195" s="73"/>
      <c r="NL195" s="73"/>
      <c r="NM195" s="73"/>
      <c r="NN195" s="73"/>
      <c r="NO195" s="73"/>
      <c r="NP195" s="73"/>
      <c r="NQ195" s="73"/>
      <c r="NR195" s="73"/>
      <c r="NS195" s="73"/>
      <c r="NT195" s="73"/>
      <c r="NU195" s="73"/>
      <c r="NV195" s="73"/>
      <c r="NW195" s="73"/>
      <c r="NX195" s="73"/>
      <c r="NY195" s="73"/>
      <c r="NZ195" s="73"/>
      <c r="OA195" s="73"/>
      <c r="OB195" s="73"/>
      <c r="OC195" s="73"/>
      <c r="OD195" s="73"/>
      <c r="OE195" s="73"/>
      <c r="OF195" s="73"/>
      <c r="OG195" s="73"/>
      <c r="OH195" s="73"/>
      <c r="OI195" s="73"/>
      <c r="OJ195" s="73"/>
      <c r="OK195" s="73"/>
      <c r="OL195" s="73"/>
      <c r="OM195" s="73"/>
      <c r="ON195" s="73"/>
      <c r="OO195" s="73"/>
      <c r="OP195" s="73"/>
      <c r="OQ195" s="73"/>
      <c r="OR195" s="73"/>
      <c r="OS195" s="73"/>
      <c r="OT195" s="73"/>
      <c r="OU195" s="73"/>
      <c r="OV195" s="73"/>
      <c r="OW195" s="73"/>
      <c r="OX195" s="73"/>
      <c r="OY195" s="73"/>
      <c r="OZ195" s="73"/>
      <c r="PA195" s="73"/>
      <c r="PB195" s="73"/>
      <c r="PC195" s="73"/>
      <c r="PD195" s="73"/>
      <c r="PE195" s="73"/>
      <c r="PF195" s="73"/>
      <c r="PG195" s="73"/>
      <c r="PH195" s="73"/>
      <c r="PI195" s="73"/>
      <c r="PJ195" s="73"/>
      <c r="PK195" s="73"/>
      <c r="PL195" s="73"/>
      <c r="PM195" s="73"/>
      <c r="PN195" s="73"/>
      <c r="PO195" s="73"/>
      <c r="PP195" s="73"/>
      <c r="PQ195" s="73"/>
      <c r="PR195" s="73"/>
      <c r="PS195" s="73"/>
      <c r="PT195" s="73"/>
      <c r="PU195" s="73"/>
      <c r="PV195" s="73"/>
      <c r="PW195" s="73"/>
      <c r="PX195" s="73"/>
      <c r="PY195" s="73"/>
      <c r="PZ195" s="73"/>
      <c r="QA195" s="73"/>
      <c r="QB195" s="73"/>
      <c r="QC195" s="73"/>
      <c r="QD195" s="73"/>
      <c r="QE195" s="73"/>
      <c r="QF195" s="73"/>
      <c r="QG195" s="73"/>
      <c r="QH195" s="73"/>
      <c r="QI195" s="73"/>
      <c r="QJ195" s="73"/>
      <c r="QK195" s="73"/>
      <c r="QL195" s="73"/>
      <c r="QM195" s="73"/>
      <c r="QN195" s="73"/>
      <c r="QO195" s="73"/>
      <c r="QP195" s="73"/>
      <c r="QQ195" s="73"/>
      <c r="QR195" s="73"/>
      <c r="QS195" s="73"/>
      <c r="QT195" s="73"/>
      <c r="QU195" s="73"/>
      <c r="QV195" s="73"/>
      <c r="QW195" s="73"/>
      <c r="QX195" s="73"/>
      <c r="QY195" s="73"/>
      <c r="QZ195" s="73"/>
      <c r="RA195" s="73"/>
      <c r="RB195" s="73"/>
      <c r="RC195" s="73"/>
      <c r="RD195" s="73"/>
      <c r="RE195" s="73"/>
      <c r="RF195" s="73"/>
      <c r="RG195" s="73"/>
      <c r="RH195" s="73"/>
      <c r="RI195" s="73"/>
      <c r="RJ195" s="73"/>
      <c r="RK195" s="73"/>
      <c r="RL195" s="73"/>
      <c r="RM195" s="73"/>
      <c r="RN195" s="73"/>
      <c r="RO195" s="73"/>
      <c r="RP195" s="73"/>
      <c r="RQ195" s="73"/>
      <c r="RR195" s="73"/>
      <c r="RS195" s="73"/>
      <c r="RT195" s="73"/>
      <c r="RU195" s="73"/>
      <c r="RV195" s="73"/>
      <c r="RW195" s="73"/>
      <c r="RX195" s="73"/>
      <c r="RY195" s="73"/>
      <c r="RZ195" s="73"/>
      <c r="SA195" s="73"/>
      <c r="SB195" s="73"/>
      <c r="SC195" s="73"/>
      <c r="SD195" s="73"/>
      <c r="SE195" s="73"/>
      <c r="SF195" s="73"/>
      <c r="SG195" s="73"/>
      <c r="SH195" s="73"/>
      <c r="SI195" s="73"/>
      <c r="SJ195" s="73"/>
      <c r="SK195" s="73"/>
      <c r="SL195" s="73"/>
      <c r="SM195" s="73"/>
      <c r="SN195" s="73"/>
      <c r="SO195" s="73"/>
      <c r="SP195" s="73"/>
      <c r="SQ195" s="73"/>
      <c r="SR195" s="73"/>
      <c r="SS195" s="73"/>
      <c r="ST195" s="73"/>
      <c r="SU195" s="73"/>
      <c r="SV195" s="73"/>
      <c r="SW195" s="73"/>
      <c r="SX195" s="73"/>
      <c r="SY195" s="73"/>
      <c r="SZ195" s="73"/>
      <c r="TA195" s="73"/>
      <c r="TB195" s="73"/>
      <c r="TC195" s="73"/>
      <c r="TD195" s="73"/>
      <c r="TE195" s="73"/>
      <c r="TF195" s="73"/>
      <c r="TG195" s="73"/>
      <c r="TH195" s="73"/>
      <c r="TI195" s="73"/>
      <c r="TJ195" s="73"/>
      <c r="TK195" s="73"/>
      <c r="TL195" s="73"/>
      <c r="TM195" s="73"/>
      <c r="TN195" s="73"/>
      <c r="TO195" s="73"/>
      <c r="TP195" s="73"/>
      <c r="TQ195" s="73"/>
      <c r="TR195" s="73"/>
      <c r="TS195" s="73"/>
      <c r="TT195" s="73"/>
      <c r="TU195" s="73"/>
      <c r="TV195" s="73"/>
      <c r="TW195" s="73"/>
      <c r="TX195" s="73"/>
      <c r="TY195" s="73"/>
      <c r="TZ195" s="73"/>
      <c r="UA195" s="73"/>
      <c r="UB195" s="73"/>
      <c r="UC195" s="73"/>
      <c r="UD195" s="73"/>
      <c r="UE195" s="73"/>
      <c r="UF195" s="73"/>
      <c r="UG195" s="73"/>
      <c r="UH195" s="73"/>
      <c r="UI195" s="73"/>
      <c r="UJ195" s="73"/>
      <c r="UK195" s="73"/>
      <c r="UL195" s="73"/>
      <c r="UM195" s="73"/>
      <c r="UN195" s="73"/>
      <c r="UO195" s="73"/>
      <c r="UP195" s="73"/>
      <c r="UQ195" s="73"/>
      <c r="UR195" s="73"/>
      <c r="US195" s="73"/>
      <c r="UT195" s="73"/>
      <c r="UU195" s="73"/>
      <c r="UV195" s="73"/>
      <c r="UW195" s="73"/>
      <c r="UX195" s="73"/>
      <c r="UY195" s="73"/>
      <c r="UZ195" s="73"/>
      <c r="VA195" s="73"/>
      <c r="VB195" s="73"/>
      <c r="VC195" s="73"/>
      <c r="VD195" s="73"/>
      <c r="VE195" s="73"/>
      <c r="VF195" s="73"/>
    </row>
    <row r="196" spans="1:578" s="75" customFormat="1" ht="24.75" customHeight="1" x14ac:dyDescent="0.2">
      <c r="A196" s="60" t="s">
        <v>258</v>
      </c>
      <c r="B196" s="100"/>
      <c r="C196" s="100"/>
      <c r="D196" s="61" t="s">
        <v>53</v>
      </c>
      <c r="E196" s="78">
        <v>57810200</v>
      </c>
      <c r="F196" s="78">
        <f t="shared" ref="F196:Q196" si="53">F198+F199+F200+F201+F202+F203+F205</f>
        <v>42029000</v>
      </c>
      <c r="G196" s="78">
        <f t="shared" si="53"/>
        <v>2274111</v>
      </c>
      <c r="H196" s="78">
        <f>H198+H199+H200+H201+H202+H203+H205</f>
        <v>13055562.02</v>
      </c>
      <c r="I196" s="78">
        <f>I198+I199+I200+I201+I202+I203+I205</f>
        <v>9526395.8999999985</v>
      </c>
      <c r="J196" s="78">
        <f>J198+J199+J200+J201+J202+J203+J205</f>
        <v>1258305.54</v>
      </c>
      <c r="K196" s="129">
        <f t="shared" si="41"/>
        <v>22.583492221095931</v>
      </c>
      <c r="L196" s="78">
        <f t="shared" si="53"/>
        <v>3955580</v>
      </c>
      <c r="M196" s="78">
        <f t="shared" ref="M196" si="54">M198+M199+M200+M201+M202+M203+M205</f>
        <v>1421000</v>
      </c>
      <c r="N196" s="78">
        <f t="shared" si="53"/>
        <v>2529860</v>
      </c>
      <c r="O196" s="78">
        <f t="shared" si="53"/>
        <v>2048504</v>
      </c>
      <c r="P196" s="78">
        <f t="shared" si="53"/>
        <v>0</v>
      </c>
      <c r="Q196" s="78">
        <f t="shared" si="53"/>
        <v>1425720</v>
      </c>
      <c r="R196" s="78">
        <f t="shared" ref="R196:W196" si="55">R198+R199+R200+R201+R202+R203+R205</f>
        <v>812724.33000000007</v>
      </c>
      <c r="S196" s="78">
        <f t="shared" ref="S196" si="56">S198+S199+S200+S201+S202+S203+S205</f>
        <v>19000</v>
      </c>
      <c r="T196" s="78">
        <f t="shared" si="55"/>
        <v>742803.59000000008</v>
      </c>
      <c r="U196" s="78">
        <f t="shared" si="55"/>
        <v>594982.84</v>
      </c>
      <c r="V196" s="78">
        <f t="shared" si="55"/>
        <v>0</v>
      </c>
      <c r="W196" s="78">
        <f t="shared" si="55"/>
        <v>69920.740000000005</v>
      </c>
      <c r="X196" s="131">
        <f t="shared" si="44"/>
        <v>20.546274629763523</v>
      </c>
      <c r="Y196" s="79">
        <f t="shared" si="42"/>
        <v>13868286.35</v>
      </c>
      <c r="Z196" s="203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4"/>
      <c r="II196" s="74"/>
      <c r="IJ196" s="74"/>
      <c r="IK196" s="74"/>
      <c r="IL196" s="74"/>
      <c r="IM196" s="74"/>
      <c r="IN196" s="74"/>
      <c r="IO196" s="74"/>
      <c r="IP196" s="74"/>
      <c r="IQ196" s="74"/>
      <c r="IR196" s="74"/>
      <c r="IS196" s="74"/>
      <c r="IT196" s="74"/>
      <c r="IU196" s="74"/>
      <c r="IV196" s="74"/>
      <c r="IW196" s="74"/>
      <c r="IX196" s="74"/>
      <c r="IY196" s="74"/>
      <c r="IZ196" s="74"/>
      <c r="JA196" s="74"/>
      <c r="JB196" s="74"/>
      <c r="JC196" s="74"/>
      <c r="JD196" s="74"/>
      <c r="JE196" s="74"/>
      <c r="JF196" s="74"/>
      <c r="JG196" s="74"/>
      <c r="JH196" s="74"/>
      <c r="JI196" s="74"/>
      <c r="JJ196" s="74"/>
      <c r="JK196" s="74"/>
      <c r="JL196" s="74"/>
      <c r="JM196" s="74"/>
      <c r="JN196" s="74"/>
      <c r="JO196" s="74"/>
      <c r="JP196" s="74"/>
      <c r="JQ196" s="74"/>
      <c r="JR196" s="74"/>
      <c r="JS196" s="74"/>
      <c r="JT196" s="74"/>
      <c r="JU196" s="74"/>
      <c r="JV196" s="74"/>
      <c r="JW196" s="74"/>
      <c r="JX196" s="74"/>
      <c r="JY196" s="74"/>
      <c r="JZ196" s="74"/>
      <c r="KA196" s="74"/>
      <c r="KB196" s="74"/>
      <c r="KC196" s="74"/>
      <c r="KD196" s="74"/>
      <c r="KE196" s="74"/>
      <c r="KF196" s="74"/>
      <c r="KG196" s="74"/>
      <c r="KH196" s="74"/>
      <c r="KI196" s="74"/>
      <c r="KJ196" s="74"/>
      <c r="KK196" s="74"/>
      <c r="KL196" s="74"/>
      <c r="KM196" s="74"/>
      <c r="KN196" s="74"/>
      <c r="KO196" s="74"/>
      <c r="KP196" s="74"/>
      <c r="KQ196" s="74"/>
      <c r="KR196" s="74"/>
      <c r="KS196" s="74"/>
      <c r="KT196" s="74"/>
      <c r="KU196" s="74"/>
      <c r="KV196" s="74"/>
      <c r="KW196" s="74"/>
      <c r="KX196" s="74"/>
      <c r="KY196" s="74"/>
      <c r="KZ196" s="74"/>
      <c r="LA196" s="74"/>
      <c r="LB196" s="74"/>
      <c r="LC196" s="74"/>
      <c r="LD196" s="74"/>
      <c r="LE196" s="74"/>
      <c r="LF196" s="74"/>
      <c r="LG196" s="74"/>
      <c r="LH196" s="74"/>
      <c r="LI196" s="74"/>
      <c r="LJ196" s="74"/>
      <c r="LK196" s="74"/>
      <c r="LL196" s="74"/>
      <c r="LM196" s="74"/>
      <c r="LN196" s="74"/>
      <c r="LO196" s="74"/>
      <c r="LP196" s="74"/>
      <c r="LQ196" s="74"/>
      <c r="LR196" s="74"/>
      <c r="LS196" s="74"/>
      <c r="LT196" s="74"/>
      <c r="LU196" s="74"/>
      <c r="LV196" s="74"/>
      <c r="LW196" s="74"/>
      <c r="LX196" s="74"/>
      <c r="LY196" s="74"/>
      <c r="LZ196" s="74"/>
      <c r="MA196" s="74"/>
      <c r="MB196" s="74"/>
      <c r="MC196" s="74"/>
      <c r="MD196" s="74"/>
      <c r="ME196" s="74"/>
      <c r="MF196" s="74"/>
      <c r="MG196" s="74"/>
      <c r="MH196" s="74"/>
      <c r="MI196" s="74"/>
      <c r="MJ196" s="74"/>
      <c r="MK196" s="74"/>
      <c r="ML196" s="74"/>
      <c r="MM196" s="74"/>
      <c r="MN196" s="74"/>
      <c r="MO196" s="74"/>
      <c r="MP196" s="74"/>
      <c r="MQ196" s="74"/>
      <c r="MR196" s="74"/>
      <c r="MS196" s="74"/>
      <c r="MT196" s="74"/>
      <c r="MU196" s="74"/>
      <c r="MV196" s="74"/>
      <c r="MW196" s="74"/>
      <c r="MX196" s="74"/>
      <c r="MY196" s="74"/>
      <c r="MZ196" s="74"/>
      <c r="NA196" s="74"/>
      <c r="NB196" s="74"/>
      <c r="NC196" s="74"/>
      <c r="ND196" s="74"/>
      <c r="NE196" s="74"/>
      <c r="NF196" s="74"/>
      <c r="NG196" s="74"/>
      <c r="NH196" s="74"/>
      <c r="NI196" s="74"/>
      <c r="NJ196" s="74"/>
      <c r="NK196" s="74"/>
      <c r="NL196" s="74"/>
      <c r="NM196" s="74"/>
      <c r="NN196" s="74"/>
      <c r="NO196" s="74"/>
      <c r="NP196" s="74"/>
      <c r="NQ196" s="74"/>
      <c r="NR196" s="74"/>
      <c r="NS196" s="74"/>
      <c r="NT196" s="74"/>
      <c r="NU196" s="74"/>
      <c r="NV196" s="74"/>
      <c r="NW196" s="74"/>
      <c r="NX196" s="74"/>
      <c r="NY196" s="74"/>
      <c r="NZ196" s="74"/>
      <c r="OA196" s="74"/>
      <c r="OB196" s="74"/>
      <c r="OC196" s="74"/>
      <c r="OD196" s="74"/>
      <c r="OE196" s="74"/>
      <c r="OF196" s="74"/>
      <c r="OG196" s="74"/>
      <c r="OH196" s="74"/>
      <c r="OI196" s="74"/>
      <c r="OJ196" s="74"/>
      <c r="OK196" s="74"/>
      <c r="OL196" s="74"/>
      <c r="OM196" s="74"/>
      <c r="ON196" s="74"/>
      <c r="OO196" s="74"/>
      <c r="OP196" s="74"/>
      <c r="OQ196" s="74"/>
      <c r="OR196" s="74"/>
      <c r="OS196" s="74"/>
      <c r="OT196" s="74"/>
      <c r="OU196" s="74"/>
      <c r="OV196" s="74"/>
      <c r="OW196" s="74"/>
      <c r="OX196" s="74"/>
      <c r="OY196" s="74"/>
      <c r="OZ196" s="74"/>
      <c r="PA196" s="74"/>
      <c r="PB196" s="74"/>
      <c r="PC196" s="74"/>
      <c r="PD196" s="74"/>
      <c r="PE196" s="74"/>
      <c r="PF196" s="74"/>
      <c r="PG196" s="74"/>
      <c r="PH196" s="74"/>
      <c r="PI196" s="74"/>
      <c r="PJ196" s="74"/>
      <c r="PK196" s="74"/>
      <c r="PL196" s="74"/>
      <c r="PM196" s="74"/>
      <c r="PN196" s="74"/>
      <c r="PO196" s="74"/>
      <c r="PP196" s="74"/>
      <c r="PQ196" s="74"/>
      <c r="PR196" s="74"/>
      <c r="PS196" s="74"/>
      <c r="PT196" s="74"/>
      <c r="PU196" s="74"/>
      <c r="PV196" s="74"/>
      <c r="PW196" s="74"/>
      <c r="PX196" s="74"/>
      <c r="PY196" s="74"/>
      <c r="PZ196" s="74"/>
      <c r="QA196" s="74"/>
      <c r="QB196" s="74"/>
      <c r="QC196" s="74"/>
      <c r="QD196" s="74"/>
      <c r="QE196" s="74"/>
      <c r="QF196" s="74"/>
      <c r="QG196" s="74"/>
      <c r="QH196" s="74"/>
      <c r="QI196" s="74"/>
      <c r="QJ196" s="74"/>
      <c r="QK196" s="74"/>
      <c r="QL196" s="74"/>
      <c r="QM196" s="74"/>
      <c r="QN196" s="74"/>
      <c r="QO196" s="74"/>
      <c r="QP196" s="74"/>
      <c r="QQ196" s="74"/>
      <c r="QR196" s="74"/>
      <c r="QS196" s="74"/>
      <c r="QT196" s="74"/>
      <c r="QU196" s="74"/>
      <c r="QV196" s="74"/>
      <c r="QW196" s="74"/>
      <c r="QX196" s="74"/>
      <c r="QY196" s="74"/>
      <c r="QZ196" s="74"/>
      <c r="RA196" s="74"/>
      <c r="RB196" s="74"/>
      <c r="RC196" s="74"/>
      <c r="RD196" s="74"/>
      <c r="RE196" s="74"/>
      <c r="RF196" s="74"/>
      <c r="RG196" s="74"/>
      <c r="RH196" s="74"/>
      <c r="RI196" s="74"/>
      <c r="RJ196" s="74"/>
      <c r="RK196" s="74"/>
      <c r="RL196" s="74"/>
      <c r="RM196" s="74"/>
      <c r="RN196" s="74"/>
      <c r="RO196" s="74"/>
      <c r="RP196" s="74"/>
      <c r="RQ196" s="74"/>
      <c r="RR196" s="74"/>
      <c r="RS196" s="74"/>
      <c r="RT196" s="74"/>
      <c r="RU196" s="74"/>
      <c r="RV196" s="74"/>
      <c r="RW196" s="74"/>
      <c r="RX196" s="74"/>
      <c r="RY196" s="74"/>
      <c r="RZ196" s="74"/>
      <c r="SA196" s="74"/>
      <c r="SB196" s="74"/>
      <c r="SC196" s="74"/>
      <c r="SD196" s="74"/>
      <c r="SE196" s="74"/>
      <c r="SF196" s="74"/>
      <c r="SG196" s="74"/>
      <c r="SH196" s="74"/>
      <c r="SI196" s="74"/>
      <c r="SJ196" s="74"/>
      <c r="SK196" s="74"/>
      <c r="SL196" s="74"/>
      <c r="SM196" s="74"/>
      <c r="SN196" s="74"/>
      <c r="SO196" s="74"/>
      <c r="SP196" s="74"/>
      <c r="SQ196" s="74"/>
      <c r="SR196" s="74"/>
      <c r="SS196" s="74"/>
      <c r="ST196" s="74"/>
      <c r="SU196" s="74"/>
      <c r="SV196" s="74"/>
      <c r="SW196" s="74"/>
      <c r="SX196" s="74"/>
      <c r="SY196" s="74"/>
      <c r="SZ196" s="74"/>
      <c r="TA196" s="74"/>
      <c r="TB196" s="74"/>
      <c r="TC196" s="74"/>
      <c r="TD196" s="74"/>
      <c r="TE196" s="74"/>
      <c r="TF196" s="74"/>
      <c r="TG196" s="74"/>
      <c r="TH196" s="74"/>
      <c r="TI196" s="74"/>
      <c r="TJ196" s="74"/>
      <c r="TK196" s="74"/>
      <c r="TL196" s="74"/>
      <c r="TM196" s="74"/>
      <c r="TN196" s="74"/>
      <c r="TO196" s="74"/>
      <c r="TP196" s="74"/>
      <c r="TQ196" s="74"/>
      <c r="TR196" s="74"/>
      <c r="TS196" s="74"/>
      <c r="TT196" s="74"/>
      <c r="TU196" s="74"/>
      <c r="TV196" s="74"/>
      <c r="TW196" s="74"/>
      <c r="TX196" s="74"/>
      <c r="TY196" s="74"/>
      <c r="TZ196" s="74"/>
      <c r="UA196" s="74"/>
      <c r="UB196" s="74"/>
      <c r="UC196" s="74"/>
      <c r="UD196" s="74"/>
      <c r="UE196" s="74"/>
      <c r="UF196" s="74"/>
      <c r="UG196" s="74"/>
      <c r="UH196" s="74"/>
      <c r="UI196" s="74"/>
      <c r="UJ196" s="74"/>
      <c r="UK196" s="74"/>
      <c r="UL196" s="74"/>
      <c r="UM196" s="74"/>
      <c r="UN196" s="74"/>
      <c r="UO196" s="74"/>
      <c r="UP196" s="74"/>
      <c r="UQ196" s="74"/>
      <c r="UR196" s="74"/>
      <c r="US196" s="74"/>
      <c r="UT196" s="74"/>
      <c r="UU196" s="74"/>
      <c r="UV196" s="74"/>
      <c r="UW196" s="74"/>
      <c r="UX196" s="74"/>
      <c r="UY196" s="74"/>
      <c r="UZ196" s="74"/>
      <c r="VA196" s="74"/>
      <c r="VB196" s="74"/>
      <c r="VC196" s="74"/>
      <c r="VD196" s="74"/>
      <c r="VE196" s="74"/>
      <c r="VF196" s="74"/>
    </row>
    <row r="197" spans="1:578" s="75" customFormat="1" ht="15" hidden="1" customHeight="1" x14ac:dyDescent="0.2">
      <c r="A197" s="55"/>
      <c r="B197" s="99"/>
      <c r="C197" s="99"/>
      <c r="D197" s="56" t="s">
        <v>344</v>
      </c>
      <c r="E197" s="79">
        <v>0</v>
      </c>
      <c r="F197" s="79">
        <f t="shared" ref="F197:Q197" si="57">F204</f>
        <v>0</v>
      </c>
      <c r="G197" s="79">
        <f t="shared" si="57"/>
        <v>0</v>
      </c>
      <c r="H197" s="79"/>
      <c r="I197" s="79"/>
      <c r="J197" s="79"/>
      <c r="K197" s="129" t="e">
        <f t="shared" si="41"/>
        <v>#DIV/0!</v>
      </c>
      <c r="L197" s="79">
        <f t="shared" si="57"/>
        <v>0</v>
      </c>
      <c r="M197" s="79"/>
      <c r="N197" s="79">
        <f t="shared" si="57"/>
        <v>0</v>
      </c>
      <c r="O197" s="79">
        <f t="shared" si="57"/>
        <v>0</v>
      </c>
      <c r="P197" s="79">
        <f t="shared" si="57"/>
        <v>0</v>
      </c>
      <c r="Q197" s="79">
        <f t="shared" si="57"/>
        <v>0</v>
      </c>
      <c r="R197" s="79">
        <f t="shared" ref="R197" si="58">R204</f>
        <v>0</v>
      </c>
      <c r="S197" s="79"/>
      <c r="T197" s="78"/>
      <c r="U197" s="78"/>
      <c r="V197" s="78"/>
      <c r="W197" s="78"/>
      <c r="X197" s="131" t="e">
        <f t="shared" si="44"/>
        <v>#DIV/0!</v>
      </c>
      <c r="Y197" s="79">
        <f t="shared" si="42"/>
        <v>0</v>
      </c>
      <c r="Z197" s="203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74"/>
      <c r="IE197" s="74"/>
      <c r="IF197" s="74"/>
      <c r="IG197" s="74"/>
      <c r="IH197" s="74"/>
      <c r="II197" s="74"/>
      <c r="IJ197" s="74"/>
      <c r="IK197" s="74"/>
      <c r="IL197" s="74"/>
      <c r="IM197" s="74"/>
      <c r="IN197" s="74"/>
      <c r="IO197" s="74"/>
      <c r="IP197" s="74"/>
      <c r="IQ197" s="74"/>
      <c r="IR197" s="74"/>
      <c r="IS197" s="74"/>
      <c r="IT197" s="74"/>
      <c r="IU197" s="74"/>
      <c r="IV197" s="74"/>
      <c r="IW197" s="74"/>
      <c r="IX197" s="74"/>
      <c r="IY197" s="74"/>
      <c r="IZ197" s="74"/>
      <c r="JA197" s="74"/>
      <c r="JB197" s="74"/>
      <c r="JC197" s="74"/>
      <c r="JD197" s="74"/>
      <c r="JE197" s="74"/>
      <c r="JF197" s="74"/>
      <c r="JG197" s="74"/>
      <c r="JH197" s="74"/>
      <c r="JI197" s="74"/>
      <c r="JJ197" s="74"/>
      <c r="JK197" s="74"/>
      <c r="JL197" s="74"/>
      <c r="JM197" s="74"/>
      <c r="JN197" s="74"/>
      <c r="JO197" s="74"/>
      <c r="JP197" s="74"/>
      <c r="JQ197" s="74"/>
      <c r="JR197" s="74"/>
      <c r="JS197" s="74"/>
      <c r="JT197" s="74"/>
      <c r="JU197" s="74"/>
      <c r="JV197" s="74"/>
      <c r="JW197" s="74"/>
      <c r="JX197" s="74"/>
      <c r="JY197" s="74"/>
      <c r="JZ197" s="74"/>
      <c r="KA197" s="74"/>
      <c r="KB197" s="74"/>
      <c r="KC197" s="74"/>
      <c r="KD197" s="74"/>
      <c r="KE197" s="74"/>
      <c r="KF197" s="74"/>
      <c r="KG197" s="74"/>
      <c r="KH197" s="74"/>
      <c r="KI197" s="74"/>
      <c r="KJ197" s="74"/>
      <c r="KK197" s="74"/>
      <c r="KL197" s="74"/>
      <c r="KM197" s="74"/>
      <c r="KN197" s="74"/>
      <c r="KO197" s="74"/>
      <c r="KP197" s="74"/>
      <c r="KQ197" s="74"/>
      <c r="KR197" s="74"/>
      <c r="KS197" s="74"/>
      <c r="KT197" s="74"/>
      <c r="KU197" s="74"/>
      <c r="KV197" s="74"/>
      <c r="KW197" s="74"/>
      <c r="KX197" s="74"/>
      <c r="KY197" s="74"/>
      <c r="KZ197" s="74"/>
      <c r="LA197" s="74"/>
      <c r="LB197" s="74"/>
      <c r="LC197" s="74"/>
      <c r="LD197" s="74"/>
      <c r="LE197" s="74"/>
      <c r="LF197" s="74"/>
      <c r="LG197" s="74"/>
      <c r="LH197" s="74"/>
      <c r="LI197" s="74"/>
      <c r="LJ197" s="74"/>
      <c r="LK197" s="74"/>
      <c r="LL197" s="74"/>
      <c r="LM197" s="74"/>
      <c r="LN197" s="74"/>
      <c r="LO197" s="74"/>
      <c r="LP197" s="74"/>
      <c r="LQ197" s="74"/>
      <c r="LR197" s="74"/>
      <c r="LS197" s="74"/>
      <c r="LT197" s="74"/>
      <c r="LU197" s="74"/>
      <c r="LV197" s="74"/>
      <c r="LW197" s="74"/>
      <c r="LX197" s="74"/>
      <c r="LY197" s="74"/>
      <c r="LZ197" s="74"/>
      <c r="MA197" s="74"/>
      <c r="MB197" s="74"/>
      <c r="MC197" s="74"/>
      <c r="MD197" s="74"/>
      <c r="ME197" s="74"/>
      <c r="MF197" s="74"/>
      <c r="MG197" s="74"/>
      <c r="MH197" s="74"/>
      <c r="MI197" s="74"/>
      <c r="MJ197" s="74"/>
      <c r="MK197" s="74"/>
      <c r="ML197" s="74"/>
      <c r="MM197" s="74"/>
      <c r="MN197" s="74"/>
      <c r="MO197" s="74"/>
      <c r="MP197" s="74"/>
      <c r="MQ197" s="74"/>
      <c r="MR197" s="74"/>
      <c r="MS197" s="74"/>
      <c r="MT197" s="74"/>
      <c r="MU197" s="74"/>
      <c r="MV197" s="74"/>
      <c r="MW197" s="74"/>
      <c r="MX197" s="74"/>
      <c r="MY197" s="74"/>
      <c r="MZ197" s="74"/>
      <c r="NA197" s="74"/>
      <c r="NB197" s="74"/>
      <c r="NC197" s="74"/>
      <c r="ND197" s="74"/>
      <c r="NE197" s="74"/>
      <c r="NF197" s="74"/>
      <c r="NG197" s="74"/>
      <c r="NH197" s="74"/>
      <c r="NI197" s="74"/>
      <c r="NJ197" s="74"/>
      <c r="NK197" s="74"/>
      <c r="NL197" s="74"/>
      <c r="NM197" s="74"/>
      <c r="NN197" s="74"/>
      <c r="NO197" s="74"/>
      <c r="NP197" s="74"/>
      <c r="NQ197" s="74"/>
      <c r="NR197" s="74"/>
      <c r="NS197" s="74"/>
      <c r="NT197" s="74"/>
      <c r="NU197" s="74"/>
      <c r="NV197" s="74"/>
      <c r="NW197" s="74"/>
      <c r="NX197" s="74"/>
      <c r="NY197" s="74"/>
      <c r="NZ197" s="74"/>
      <c r="OA197" s="74"/>
      <c r="OB197" s="74"/>
      <c r="OC197" s="74"/>
      <c r="OD197" s="74"/>
      <c r="OE197" s="74"/>
      <c r="OF197" s="74"/>
      <c r="OG197" s="74"/>
      <c r="OH197" s="74"/>
      <c r="OI197" s="74"/>
      <c r="OJ197" s="74"/>
      <c r="OK197" s="74"/>
      <c r="OL197" s="74"/>
      <c r="OM197" s="74"/>
      <c r="ON197" s="74"/>
      <c r="OO197" s="74"/>
      <c r="OP197" s="74"/>
      <c r="OQ197" s="74"/>
      <c r="OR197" s="74"/>
      <c r="OS197" s="74"/>
      <c r="OT197" s="74"/>
      <c r="OU197" s="74"/>
      <c r="OV197" s="74"/>
      <c r="OW197" s="74"/>
      <c r="OX197" s="74"/>
      <c r="OY197" s="74"/>
      <c r="OZ197" s="74"/>
      <c r="PA197" s="74"/>
      <c r="PB197" s="74"/>
      <c r="PC197" s="74"/>
      <c r="PD197" s="74"/>
      <c r="PE197" s="74"/>
      <c r="PF197" s="74"/>
      <c r="PG197" s="74"/>
      <c r="PH197" s="74"/>
      <c r="PI197" s="74"/>
      <c r="PJ197" s="74"/>
      <c r="PK197" s="74"/>
      <c r="PL197" s="74"/>
      <c r="PM197" s="74"/>
      <c r="PN197" s="74"/>
      <c r="PO197" s="74"/>
      <c r="PP197" s="74"/>
      <c r="PQ197" s="74"/>
      <c r="PR197" s="74"/>
      <c r="PS197" s="74"/>
      <c r="PT197" s="74"/>
      <c r="PU197" s="74"/>
      <c r="PV197" s="74"/>
      <c r="PW197" s="74"/>
      <c r="PX197" s="74"/>
      <c r="PY197" s="74"/>
      <c r="PZ197" s="74"/>
      <c r="QA197" s="74"/>
      <c r="QB197" s="74"/>
      <c r="QC197" s="74"/>
      <c r="QD197" s="74"/>
      <c r="QE197" s="74"/>
      <c r="QF197" s="74"/>
      <c r="QG197" s="74"/>
      <c r="QH197" s="74"/>
      <c r="QI197" s="74"/>
      <c r="QJ197" s="74"/>
      <c r="QK197" s="74"/>
      <c r="QL197" s="74"/>
      <c r="QM197" s="74"/>
      <c r="QN197" s="74"/>
      <c r="QO197" s="74"/>
      <c r="QP197" s="74"/>
      <c r="QQ197" s="74"/>
      <c r="QR197" s="74"/>
      <c r="QS197" s="74"/>
      <c r="QT197" s="74"/>
      <c r="QU197" s="74"/>
      <c r="QV197" s="74"/>
      <c r="QW197" s="74"/>
      <c r="QX197" s="74"/>
      <c r="QY197" s="74"/>
      <c r="QZ197" s="74"/>
      <c r="RA197" s="74"/>
      <c r="RB197" s="74"/>
      <c r="RC197" s="74"/>
      <c r="RD197" s="74"/>
      <c r="RE197" s="74"/>
      <c r="RF197" s="74"/>
      <c r="RG197" s="74"/>
      <c r="RH197" s="74"/>
      <c r="RI197" s="74"/>
      <c r="RJ197" s="74"/>
      <c r="RK197" s="74"/>
      <c r="RL197" s="74"/>
      <c r="RM197" s="74"/>
      <c r="RN197" s="74"/>
      <c r="RO197" s="74"/>
      <c r="RP197" s="74"/>
      <c r="RQ197" s="74"/>
      <c r="RR197" s="74"/>
      <c r="RS197" s="74"/>
      <c r="RT197" s="74"/>
      <c r="RU197" s="74"/>
      <c r="RV197" s="74"/>
      <c r="RW197" s="74"/>
      <c r="RX197" s="74"/>
      <c r="RY197" s="74"/>
      <c r="RZ197" s="74"/>
      <c r="SA197" s="74"/>
      <c r="SB197" s="74"/>
      <c r="SC197" s="74"/>
      <c r="SD197" s="74"/>
      <c r="SE197" s="74"/>
      <c r="SF197" s="74"/>
      <c r="SG197" s="74"/>
      <c r="SH197" s="74"/>
      <c r="SI197" s="74"/>
      <c r="SJ197" s="74"/>
      <c r="SK197" s="74"/>
      <c r="SL197" s="74"/>
      <c r="SM197" s="74"/>
      <c r="SN197" s="74"/>
      <c r="SO197" s="74"/>
      <c r="SP197" s="74"/>
      <c r="SQ197" s="74"/>
      <c r="SR197" s="74"/>
      <c r="SS197" s="74"/>
      <c r="ST197" s="74"/>
      <c r="SU197" s="74"/>
      <c r="SV197" s="74"/>
      <c r="SW197" s="74"/>
      <c r="SX197" s="74"/>
      <c r="SY197" s="74"/>
      <c r="SZ197" s="74"/>
      <c r="TA197" s="74"/>
      <c r="TB197" s="74"/>
      <c r="TC197" s="74"/>
      <c r="TD197" s="74"/>
      <c r="TE197" s="74"/>
      <c r="TF197" s="74"/>
      <c r="TG197" s="74"/>
      <c r="TH197" s="74"/>
      <c r="TI197" s="74"/>
      <c r="TJ197" s="74"/>
      <c r="TK197" s="74"/>
      <c r="TL197" s="74"/>
      <c r="TM197" s="74"/>
      <c r="TN197" s="74"/>
      <c r="TO197" s="74"/>
      <c r="TP197" s="74"/>
      <c r="TQ197" s="74"/>
      <c r="TR197" s="74"/>
      <c r="TS197" s="74"/>
      <c r="TT197" s="74"/>
      <c r="TU197" s="74"/>
      <c r="TV197" s="74"/>
      <c r="TW197" s="74"/>
      <c r="TX197" s="74"/>
      <c r="TY197" s="74"/>
      <c r="TZ197" s="74"/>
      <c r="UA197" s="74"/>
      <c r="UB197" s="74"/>
      <c r="UC197" s="74"/>
      <c r="UD197" s="74"/>
      <c r="UE197" s="74"/>
      <c r="UF197" s="74"/>
      <c r="UG197" s="74"/>
      <c r="UH197" s="74"/>
      <c r="UI197" s="74"/>
      <c r="UJ197" s="74"/>
      <c r="UK197" s="74"/>
      <c r="UL197" s="74"/>
      <c r="UM197" s="74"/>
      <c r="UN197" s="74"/>
      <c r="UO197" s="74"/>
      <c r="UP197" s="74"/>
      <c r="UQ197" s="74"/>
      <c r="UR197" s="74"/>
      <c r="US197" s="74"/>
      <c r="UT197" s="74"/>
      <c r="UU197" s="74"/>
      <c r="UV197" s="74"/>
      <c r="UW197" s="74"/>
      <c r="UX197" s="74"/>
      <c r="UY197" s="74"/>
      <c r="UZ197" s="74"/>
      <c r="VA197" s="74"/>
      <c r="VB197" s="74"/>
      <c r="VC197" s="74"/>
      <c r="VD197" s="74"/>
      <c r="VE197" s="74"/>
      <c r="VF197" s="74"/>
    </row>
    <row r="198" spans="1:578" s="41" customFormat="1" ht="39" customHeight="1" x14ac:dyDescent="0.2">
      <c r="A198" s="39" t="s">
        <v>187</v>
      </c>
      <c r="B198" s="90" t="str">
        <f>'дод 3'!A16</f>
        <v>0160</v>
      </c>
      <c r="C198" s="90" t="str">
        <f>'дод 3'!B16</f>
        <v>0111</v>
      </c>
      <c r="D198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98" s="65">
        <v>1648800</v>
      </c>
      <c r="F198" s="65">
        <v>1289500</v>
      </c>
      <c r="G198" s="65">
        <f>13670+200</f>
        <v>13870</v>
      </c>
      <c r="H198" s="65">
        <v>323068.71999999997</v>
      </c>
      <c r="I198" s="65">
        <v>256249.06</v>
      </c>
      <c r="J198" s="65">
        <v>5309.07</v>
      </c>
      <c r="K198" s="130">
        <f t="shared" si="41"/>
        <v>19.594172731683649</v>
      </c>
      <c r="L198" s="65">
        <f t="shared" si="45"/>
        <v>0</v>
      </c>
      <c r="M198" s="65"/>
      <c r="N198" s="65"/>
      <c r="O198" s="65"/>
      <c r="P198" s="65"/>
      <c r="Q198" s="65"/>
      <c r="R198" s="65">
        <f t="shared" si="43"/>
        <v>0</v>
      </c>
      <c r="S198" s="65"/>
      <c r="T198" s="65"/>
      <c r="U198" s="65"/>
      <c r="V198" s="65"/>
      <c r="W198" s="65"/>
      <c r="X198" s="132"/>
      <c r="Y198" s="65">
        <f t="shared" si="42"/>
        <v>323068.71999999997</v>
      </c>
      <c r="Z198" s="203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47"/>
      <c r="KC198" s="47"/>
      <c r="KD198" s="47"/>
      <c r="KE198" s="47"/>
      <c r="KF198" s="47"/>
      <c r="KG198" s="47"/>
      <c r="KH198" s="47"/>
      <c r="KI198" s="47"/>
      <c r="KJ198" s="47"/>
      <c r="KK198" s="47"/>
      <c r="KL198" s="47"/>
      <c r="KM198" s="47"/>
      <c r="KN198" s="47"/>
      <c r="KO198" s="47"/>
      <c r="KP198" s="47"/>
      <c r="KQ198" s="47"/>
      <c r="KR198" s="47"/>
      <c r="KS198" s="47"/>
      <c r="KT198" s="47"/>
      <c r="KU198" s="47"/>
      <c r="KV198" s="47"/>
      <c r="KW198" s="47"/>
      <c r="KX198" s="47"/>
      <c r="KY198" s="47"/>
      <c r="KZ198" s="47"/>
      <c r="LA198" s="47"/>
      <c r="LB198" s="47"/>
      <c r="LC198" s="47"/>
      <c r="LD198" s="47"/>
      <c r="LE198" s="47"/>
      <c r="LF198" s="47"/>
      <c r="LG198" s="47"/>
      <c r="LH198" s="47"/>
      <c r="LI198" s="47"/>
      <c r="LJ198" s="47"/>
      <c r="LK198" s="47"/>
      <c r="LL198" s="47"/>
      <c r="LM198" s="47"/>
      <c r="LN198" s="47"/>
      <c r="LO198" s="47"/>
      <c r="LP198" s="47"/>
      <c r="LQ198" s="47"/>
      <c r="LR198" s="47"/>
      <c r="LS198" s="47"/>
      <c r="LT198" s="47"/>
      <c r="LU198" s="47"/>
      <c r="LV198" s="47"/>
      <c r="LW198" s="47"/>
      <c r="LX198" s="47"/>
      <c r="LY198" s="47"/>
      <c r="LZ198" s="47"/>
      <c r="MA198" s="47"/>
      <c r="MB198" s="47"/>
      <c r="MC198" s="47"/>
      <c r="MD198" s="47"/>
      <c r="ME198" s="47"/>
      <c r="MF198" s="47"/>
      <c r="MG198" s="47"/>
      <c r="MH198" s="47"/>
      <c r="MI198" s="47"/>
      <c r="MJ198" s="47"/>
      <c r="MK198" s="47"/>
      <c r="ML198" s="47"/>
      <c r="MM198" s="47"/>
      <c r="MN198" s="47"/>
      <c r="MO198" s="47"/>
      <c r="MP198" s="47"/>
      <c r="MQ198" s="47"/>
      <c r="MR198" s="47"/>
      <c r="MS198" s="47"/>
      <c r="MT198" s="47"/>
      <c r="MU198" s="47"/>
      <c r="MV198" s="47"/>
      <c r="MW198" s="47"/>
      <c r="MX198" s="47"/>
      <c r="MY198" s="47"/>
      <c r="MZ198" s="47"/>
      <c r="NA198" s="47"/>
      <c r="NB198" s="47"/>
      <c r="NC198" s="47"/>
      <c r="ND198" s="47"/>
      <c r="NE198" s="47"/>
      <c r="NF198" s="47"/>
      <c r="NG198" s="47"/>
      <c r="NH198" s="47"/>
      <c r="NI198" s="47"/>
      <c r="NJ198" s="47"/>
      <c r="NK198" s="47"/>
      <c r="NL198" s="47"/>
      <c r="NM198" s="47"/>
      <c r="NN198" s="47"/>
      <c r="NO198" s="47"/>
      <c r="NP198" s="47"/>
      <c r="NQ198" s="47"/>
      <c r="NR198" s="47"/>
      <c r="NS198" s="47"/>
      <c r="NT198" s="47"/>
      <c r="NU198" s="47"/>
      <c r="NV198" s="47"/>
      <c r="NW198" s="47"/>
      <c r="NX198" s="47"/>
      <c r="NY198" s="47"/>
      <c r="NZ198" s="47"/>
      <c r="OA198" s="47"/>
      <c r="OB198" s="47"/>
      <c r="OC198" s="47"/>
      <c r="OD198" s="47"/>
      <c r="OE198" s="47"/>
      <c r="OF198" s="47"/>
      <c r="OG198" s="47"/>
      <c r="OH198" s="47"/>
      <c r="OI198" s="47"/>
      <c r="OJ198" s="47"/>
      <c r="OK198" s="47"/>
      <c r="OL198" s="47"/>
      <c r="OM198" s="47"/>
      <c r="ON198" s="47"/>
      <c r="OO198" s="47"/>
      <c r="OP198" s="47"/>
      <c r="OQ198" s="47"/>
      <c r="OR198" s="47"/>
      <c r="OS198" s="47"/>
      <c r="OT198" s="47"/>
      <c r="OU198" s="47"/>
      <c r="OV198" s="47"/>
      <c r="OW198" s="47"/>
      <c r="OX198" s="47"/>
      <c r="OY198" s="47"/>
      <c r="OZ198" s="47"/>
      <c r="PA198" s="47"/>
      <c r="PB198" s="47"/>
      <c r="PC198" s="47"/>
      <c r="PD198" s="47"/>
      <c r="PE198" s="47"/>
      <c r="PF198" s="47"/>
      <c r="PG198" s="47"/>
      <c r="PH198" s="47"/>
      <c r="PI198" s="47"/>
      <c r="PJ198" s="47"/>
      <c r="PK198" s="47"/>
      <c r="PL198" s="47"/>
      <c r="PM198" s="47"/>
      <c r="PN198" s="47"/>
      <c r="PO198" s="47"/>
      <c r="PP198" s="47"/>
      <c r="PQ198" s="47"/>
      <c r="PR198" s="47"/>
      <c r="PS198" s="47"/>
      <c r="PT198" s="47"/>
      <c r="PU198" s="47"/>
      <c r="PV198" s="47"/>
      <c r="PW198" s="47"/>
      <c r="PX198" s="47"/>
      <c r="PY198" s="47"/>
      <c r="PZ198" s="47"/>
      <c r="QA198" s="47"/>
      <c r="QB198" s="47"/>
      <c r="QC198" s="47"/>
      <c r="QD198" s="47"/>
      <c r="QE198" s="47"/>
      <c r="QF198" s="47"/>
      <c r="QG198" s="47"/>
      <c r="QH198" s="47"/>
      <c r="QI198" s="47"/>
      <c r="QJ198" s="47"/>
      <c r="QK198" s="47"/>
      <c r="QL198" s="47"/>
      <c r="QM198" s="47"/>
      <c r="QN198" s="47"/>
      <c r="QO198" s="47"/>
      <c r="QP198" s="47"/>
      <c r="QQ198" s="47"/>
      <c r="QR198" s="47"/>
      <c r="QS198" s="47"/>
      <c r="QT198" s="47"/>
      <c r="QU198" s="47"/>
      <c r="QV198" s="47"/>
      <c r="QW198" s="47"/>
      <c r="QX198" s="47"/>
      <c r="QY198" s="47"/>
      <c r="QZ198" s="47"/>
      <c r="RA198" s="47"/>
      <c r="RB198" s="47"/>
      <c r="RC198" s="47"/>
      <c r="RD198" s="47"/>
      <c r="RE198" s="47"/>
      <c r="RF198" s="47"/>
      <c r="RG198" s="47"/>
      <c r="RH198" s="47"/>
      <c r="RI198" s="47"/>
      <c r="RJ198" s="47"/>
      <c r="RK198" s="47"/>
      <c r="RL198" s="47"/>
      <c r="RM198" s="47"/>
      <c r="RN198" s="47"/>
      <c r="RO198" s="47"/>
      <c r="RP198" s="47"/>
      <c r="RQ198" s="47"/>
      <c r="RR198" s="47"/>
      <c r="RS198" s="47"/>
      <c r="RT198" s="47"/>
      <c r="RU198" s="47"/>
      <c r="RV198" s="47"/>
      <c r="RW198" s="47"/>
      <c r="RX198" s="47"/>
      <c r="RY198" s="47"/>
      <c r="RZ198" s="47"/>
      <c r="SA198" s="47"/>
      <c r="SB198" s="47"/>
      <c r="SC198" s="47"/>
      <c r="SD198" s="47"/>
      <c r="SE198" s="47"/>
      <c r="SF198" s="47"/>
      <c r="SG198" s="47"/>
      <c r="SH198" s="47"/>
      <c r="SI198" s="47"/>
      <c r="SJ198" s="47"/>
      <c r="SK198" s="47"/>
      <c r="SL198" s="47"/>
      <c r="SM198" s="47"/>
      <c r="SN198" s="47"/>
      <c r="SO198" s="47"/>
      <c r="SP198" s="47"/>
      <c r="SQ198" s="47"/>
      <c r="SR198" s="47"/>
      <c r="SS198" s="47"/>
      <c r="ST198" s="47"/>
      <c r="SU198" s="47"/>
      <c r="SV198" s="47"/>
      <c r="SW198" s="47"/>
      <c r="SX198" s="47"/>
      <c r="SY198" s="47"/>
      <c r="SZ198" s="47"/>
      <c r="TA198" s="47"/>
      <c r="TB198" s="47"/>
      <c r="TC198" s="47"/>
      <c r="TD198" s="47"/>
      <c r="TE198" s="47"/>
      <c r="TF198" s="47"/>
      <c r="TG198" s="47"/>
      <c r="TH198" s="47"/>
      <c r="TI198" s="47"/>
      <c r="TJ198" s="47"/>
      <c r="TK198" s="47"/>
      <c r="TL198" s="47"/>
      <c r="TM198" s="47"/>
      <c r="TN198" s="47"/>
      <c r="TO198" s="47"/>
      <c r="TP198" s="47"/>
      <c r="TQ198" s="47"/>
      <c r="TR198" s="47"/>
      <c r="TS198" s="47"/>
      <c r="TT198" s="47"/>
      <c r="TU198" s="47"/>
      <c r="TV198" s="47"/>
      <c r="TW198" s="47"/>
      <c r="TX198" s="47"/>
      <c r="TY198" s="47"/>
      <c r="TZ198" s="47"/>
      <c r="UA198" s="47"/>
      <c r="UB198" s="47"/>
      <c r="UC198" s="47"/>
      <c r="UD198" s="47"/>
      <c r="UE198" s="47"/>
      <c r="UF198" s="47"/>
      <c r="UG198" s="47"/>
      <c r="UH198" s="47"/>
      <c r="UI198" s="47"/>
      <c r="UJ198" s="47"/>
      <c r="UK198" s="47"/>
      <c r="UL198" s="47"/>
      <c r="UM198" s="47"/>
      <c r="UN198" s="47"/>
      <c r="UO198" s="47"/>
      <c r="UP198" s="47"/>
      <c r="UQ198" s="47"/>
      <c r="UR198" s="47"/>
      <c r="US198" s="47"/>
      <c r="UT198" s="47"/>
      <c r="UU198" s="47"/>
      <c r="UV198" s="47"/>
      <c r="UW198" s="47"/>
      <c r="UX198" s="47"/>
      <c r="UY198" s="47"/>
      <c r="UZ198" s="47"/>
      <c r="VA198" s="47"/>
      <c r="VB198" s="47"/>
      <c r="VC198" s="47"/>
      <c r="VD198" s="47"/>
      <c r="VE198" s="47"/>
      <c r="VF198" s="47"/>
    </row>
    <row r="199" spans="1:578" s="41" customFormat="1" ht="48.75" customHeight="1" x14ac:dyDescent="0.2">
      <c r="A199" s="39" t="s">
        <v>290</v>
      </c>
      <c r="B199" s="90" t="str">
        <f>'дод 3'!A28</f>
        <v>1100</v>
      </c>
      <c r="C199" s="90" t="str">
        <f>'дод 3'!B28</f>
        <v>0960</v>
      </c>
      <c r="D199" s="42" t="str">
        <f>'дод 3'!C28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9" s="65">
        <v>34678300</v>
      </c>
      <c r="F199" s="65">
        <v>27174000</v>
      </c>
      <c r="G199" s="65">
        <f>772000+11079+50000</f>
        <v>833079</v>
      </c>
      <c r="H199" s="65">
        <v>8006884.6399999997</v>
      </c>
      <c r="I199" s="65">
        <v>6153457.3099999996</v>
      </c>
      <c r="J199" s="65">
        <v>464606.77</v>
      </c>
      <c r="K199" s="130">
        <f t="shared" si="41"/>
        <v>23.089034468240946</v>
      </c>
      <c r="L199" s="65">
        <f t="shared" si="45"/>
        <v>2616580</v>
      </c>
      <c r="M199" s="65">
        <v>110000</v>
      </c>
      <c r="N199" s="65">
        <v>2501860</v>
      </c>
      <c r="O199" s="65">
        <v>2043504</v>
      </c>
      <c r="P199" s="65"/>
      <c r="Q199" s="65">
        <f>100000+4720+10000</f>
        <v>114720</v>
      </c>
      <c r="R199" s="65">
        <f t="shared" si="43"/>
        <v>737086.91</v>
      </c>
      <c r="S199" s="65"/>
      <c r="T199" s="65">
        <v>737086.91</v>
      </c>
      <c r="U199" s="65">
        <v>592631.14</v>
      </c>
      <c r="V199" s="65"/>
      <c r="W199" s="65"/>
      <c r="X199" s="132">
        <f t="shared" si="44"/>
        <v>28.169859511270438</v>
      </c>
      <c r="Y199" s="65">
        <f t="shared" si="42"/>
        <v>8743971.5499999989</v>
      </c>
      <c r="Z199" s="203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47"/>
      <c r="KC199" s="47"/>
      <c r="KD199" s="47"/>
      <c r="KE199" s="47"/>
      <c r="KF199" s="47"/>
      <c r="KG199" s="47"/>
      <c r="KH199" s="47"/>
      <c r="KI199" s="47"/>
      <c r="KJ199" s="47"/>
      <c r="KK199" s="47"/>
      <c r="KL199" s="47"/>
      <c r="KM199" s="47"/>
      <c r="KN199" s="47"/>
      <c r="KO199" s="47"/>
      <c r="KP199" s="47"/>
      <c r="KQ199" s="47"/>
      <c r="KR199" s="47"/>
      <c r="KS199" s="47"/>
      <c r="KT199" s="47"/>
      <c r="KU199" s="47"/>
      <c r="KV199" s="47"/>
      <c r="KW199" s="47"/>
      <c r="KX199" s="47"/>
      <c r="KY199" s="47"/>
      <c r="KZ199" s="47"/>
      <c r="LA199" s="47"/>
      <c r="LB199" s="47"/>
      <c r="LC199" s="47"/>
      <c r="LD199" s="47"/>
      <c r="LE199" s="47"/>
      <c r="LF199" s="47"/>
      <c r="LG199" s="47"/>
      <c r="LH199" s="47"/>
      <c r="LI199" s="47"/>
      <c r="LJ199" s="47"/>
      <c r="LK199" s="47"/>
      <c r="LL199" s="47"/>
      <c r="LM199" s="47"/>
      <c r="LN199" s="47"/>
      <c r="LO199" s="47"/>
      <c r="LP199" s="47"/>
      <c r="LQ199" s="47"/>
      <c r="LR199" s="47"/>
      <c r="LS199" s="47"/>
      <c r="LT199" s="47"/>
      <c r="LU199" s="47"/>
      <c r="LV199" s="47"/>
      <c r="LW199" s="47"/>
      <c r="LX199" s="47"/>
      <c r="LY199" s="47"/>
      <c r="LZ199" s="47"/>
      <c r="MA199" s="47"/>
      <c r="MB199" s="47"/>
      <c r="MC199" s="47"/>
      <c r="MD199" s="47"/>
      <c r="ME199" s="47"/>
      <c r="MF199" s="47"/>
      <c r="MG199" s="47"/>
      <c r="MH199" s="47"/>
      <c r="MI199" s="47"/>
      <c r="MJ199" s="47"/>
      <c r="MK199" s="47"/>
      <c r="ML199" s="47"/>
      <c r="MM199" s="47"/>
      <c r="MN199" s="47"/>
      <c r="MO199" s="47"/>
      <c r="MP199" s="47"/>
      <c r="MQ199" s="47"/>
      <c r="MR199" s="47"/>
      <c r="MS199" s="47"/>
      <c r="MT199" s="47"/>
      <c r="MU199" s="47"/>
      <c r="MV199" s="47"/>
      <c r="MW199" s="47"/>
      <c r="MX199" s="47"/>
      <c r="MY199" s="47"/>
      <c r="MZ199" s="47"/>
      <c r="NA199" s="47"/>
      <c r="NB199" s="47"/>
      <c r="NC199" s="47"/>
      <c r="ND199" s="47"/>
      <c r="NE199" s="47"/>
      <c r="NF199" s="47"/>
      <c r="NG199" s="47"/>
      <c r="NH199" s="47"/>
      <c r="NI199" s="47"/>
      <c r="NJ199" s="47"/>
      <c r="NK199" s="47"/>
      <c r="NL199" s="47"/>
      <c r="NM199" s="47"/>
      <c r="NN199" s="47"/>
      <c r="NO199" s="47"/>
      <c r="NP199" s="47"/>
      <c r="NQ199" s="47"/>
      <c r="NR199" s="47"/>
      <c r="NS199" s="47"/>
      <c r="NT199" s="47"/>
      <c r="NU199" s="47"/>
      <c r="NV199" s="47"/>
      <c r="NW199" s="47"/>
      <c r="NX199" s="47"/>
      <c r="NY199" s="47"/>
      <c r="NZ199" s="47"/>
      <c r="OA199" s="47"/>
      <c r="OB199" s="47"/>
      <c r="OC199" s="47"/>
      <c r="OD199" s="47"/>
      <c r="OE199" s="47"/>
      <c r="OF199" s="47"/>
      <c r="OG199" s="47"/>
      <c r="OH199" s="47"/>
      <c r="OI199" s="47"/>
      <c r="OJ199" s="47"/>
      <c r="OK199" s="47"/>
      <c r="OL199" s="47"/>
      <c r="OM199" s="47"/>
      <c r="ON199" s="47"/>
      <c r="OO199" s="47"/>
      <c r="OP199" s="47"/>
      <c r="OQ199" s="47"/>
      <c r="OR199" s="47"/>
      <c r="OS199" s="47"/>
      <c r="OT199" s="47"/>
      <c r="OU199" s="47"/>
      <c r="OV199" s="47"/>
      <c r="OW199" s="47"/>
      <c r="OX199" s="47"/>
      <c r="OY199" s="47"/>
      <c r="OZ199" s="47"/>
      <c r="PA199" s="47"/>
      <c r="PB199" s="47"/>
      <c r="PC199" s="47"/>
      <c r="PD199" s="47"/>
      <c r="PE199" s="47"/>
      <c r="PF199" s="47"/>
      <c r="PG199" s="47"/>
      <c r="PH199" s="47"/>
      <c r="PI199" s="47"/>
      <c r="PJ199" s="47"/>
      <c r="PK199" s="47"/>
      <c r="PL199" s="47"/>
      <c r="PM199" s="47"/>
      <c r="PN199" s="47"/>
      <c r="PO199" s="47"/>
      <c r="PP199" s="47"/>
      <c r="PQ199" s="47"/>
      <c r="PR199" s="47"/>
      <c r="PS199" s="47"/>
      <c r="PT199" s="47"/>
      <c r="PU199" s="47"/>
      <c r="PV199" s="47"/>
      <c r="PW199" s="47"/>
      <c r="PX199" s="47"/>
      <c r="PY199" s="47"/>
      <c r="PZ199" s="47"/>
      <c r="QA199" s="47"/>
      <c r="QB199" s="47"/>
      <c r="QC199" s="47"/>
      <c r="QD199" s="47"/>
      <c r="QE199" s="47"/>
      <c r="QF199" s="47"/>
      <c r="QG199" s="47"/>
      <c r="QH199" s="47"/>
      <c r="QI199" s="47"/>
      <c r="QJ199" s="47"/>
      <c r="QK199" s="47"/>
      <c r="QL199" s="47"/>
      <c r="QM199" s="47"/>
      <c r="QN199" s="47"/>
      <c r="QO199" s="47"/>
      <c r="QP199" s="47"/>
      <c r="QQ199" s="47"/>
      <c r="QR199" s="47"/>
      <c r="QS199" s="47"/>
      <c r="QT199" s="47"/>
      <c r="QU199" s="47"/>
      <c r="QV199" s="47"/>
      <c r="QW199" s="47"/>
      <c r="QX199" s="47"/>
      <c r="QY199" s="47"/>
      <c r="QZ199" s="47"/>
      <c r="RA199" s="47"/>
      <c r="RB199" s="47"/>
      <c r="RC199" s="47"/>
      <c r="RD199" s="47"/>
      <c r="RE199" s="47"/>
      <c r="RF199" s="47"/>
      <c r="RG199" s="47"/>
      <c r="RH199" s="47"/>
      <c r="RI199" s="47"/>
      <c r="RJ199" s="47"/>
      <c r="RK199" s="47"/>
      <c r="RL199" s="47"/>
      <c r="RM199" s="47"/>
      <c r="RN199" s="47"/>
      <c r="RO199" s="47"/>
      <c r="RP199" s="47"/>
      <c r="RQ199" s="47"/>
      <c r="RR199" s="47"/>
      <c r="RS199" s="47"/>
      <c r="RT199" s="47"/>
      <c r="RU199" s="47"/>
      <c r="RV199" s="47"/>
      <c r="RW199" s="47"/>
      <c r="RX199" s="47"/>
      <c r="RY199" s="47"/>
      <c r="RZ199" s="47"/>
      <c r="SA199" s="47"/>
      <c r="SB199" s="47"/>
      <c r="SC199" s="47"/>
      <c r="SD199" s="47"/>
      <c r="SE199" s="47"/>
      <c r="SF199" s="47"/>
      <c r="SG199" s="47"/>
      <c r="SH199" s="47"/>
      <c r="SI199" s="47"/>
      <c r="SJ199" s="47"/>
      <c r="SK199" s="47"/>
      <c r="SL199" s="47"/>
      <c r="SM199" s="47"/>
      <c r="SN199" s="47"/>
      <c r="SO199" s="47"/>
      <c r="SP199" s="47"/>
      <c r="SQ199" s="47"/>
      <c r="SR199" s="47"/>
      <c r="SS199" s="47"/>
      <c r="ST199" s="47"/>
      <c r="SU199" s="47"/>
      <c r="SV199" s="47"/>
      <c r="SW199" s="47"/>
      <c r="SX199" s="47"/>
      <c r="SY199" s="47"/>
      <c r="SZ199" s="47"/>
      <c r="TA199" s="47"/>
      <c r="TB199" s="47"/>
      <c r="TC199" s="47"/>
      <c r="TD199" s="47"/>
      <c r="TE199" s="47"/>
      <c r="TF199" s="47"/>
      <c r="TG199" s="47"/>
      <c r="TH199" s="47"/>
      <c r="TI199" s="47"/>
      <c r="TJ199" s="47"/>
      <c r="TK199" s="47"/>
      <c r="TL199" s="47"/>
      <c r="TM199" s="47"/>
      <c r="TN199" s="47"/>
      <c r="TO199" s="47"/>
      <c r="TP199" s="47"/>
      <c r="TQ199" s="47"/>
      <c r="TR199" s="47"/>
      <c r="TS199" s="47"/>
      <c r="TT199" s="47"/>
      <c r="TU199" s="47"/>
      <c r="TV199" s="47"/>
      <c r="TW199" s="47"/>
      <c r="TX199" s="47"/>
      <c r="TY199" s="47"/>
      <c r="TZ199" s="47"/>
      <c r="UA199" s="47"/>
      <c r="UB199" s="47"/>
      <c r="UC199" s="47"/>
      <c r="UD199" s="47"/>
      <c r="UE199" s="47"/>
      <c r="UF199" s="47"/>
      <c r="UG199" s="47"/>
      <c r="UH199" s="47"/>
      <c r="UI199" s="47"/>
      <c r="UJ199" s="47"/>
      <c r="UK199" s="47"/>
      <c r="UL199" s="47"/>
      <c r="UM199" s="47"/>
      <c r="UN199" s="47"/>
      <c r="UO199" s="47"/>
      <c r="UP199" s="47"/>
      <c r="UQ199" s="47"/>
      <c r="UR199" s="47"/>
      <c r="US199" s="47"/>
      <c r="UT199" s="47"/>
      <c r="UU199" s="47"/>
      <c r="UV199" s="47"/>
      <c r="UW199" s="47"/>
      <c r="UX199" s="47"/>
      <c r="UY199" s="47"/>
      <c r="UZ199" s="47"/>
      <c r="VA199" s="47"/>
      <c r="VB199" s="47"/>
      <c r="VC199" s="47"/>
      <c r="VD199" s="47"/>
      <c r="VE199" s="47"/>
      <c r="VF199" s="47"/>
    </row>
    <row r="200" spans="1:578" s="41" customFormat="1" ht="21" customHeight="1" x14ac:dyDescent="0.2">
      <c r="A200" s="39" t="s">
        <v>259</v>
      </c>
      <c r="B200" s="90" t="str">
        <f>'дод 3'!A129</f>
        <v>4030</v>
      </c>
      <c r="C200" s="90" t="str">
        <f>'дод 3'!B129</f>
        <v>0824</v>
      </c>
      <c r="D200" s="42" t="str">
        <f>'дод 3'!C129</f>
        <v>Забезпечення діяльності бібліотек</v>
      </c>
      <c r="E200" s="65">
        <v>17671840</v>
      </c>
      <c r="F200" s="65">
        <v>12497600</v>
      </c>
      <c r="G200" s="65">
        <f>1288000+13060+100000</f>
        <v>1401060</v>
      </c>
      <c r="H200" s="65">
        <v>4326228.71</v>
      </c>
      <c r="I200" s="65">
        <v>2873044.3</v>
      </c>
      <c r="J200" s="65">
        <v>780189.29</v>
      </c>
      <c r="K200" s="130">
        <f t="shared" si="41"/>
        <v>24.480918285815171</v>
      </c>
      <c r="L200" s="65">
        <f t="shared" si="45"/>
        <v>333000</v>
      </c>
      <c r="M200" s="65">
        <v>305000</v>
      </c>
      <c r="N200" s="65">
        <v>28000</v>
      </c>
      <c r="O200" s="65">
        <v>5000</v>
      </c>
      <c r="P200" s="65"/>
      <c r="Q200" s="65">
        <f>300000+5000</f>
        <v>305000</v>
      </c>
      <c r="R200" s="65">
        <f t="shared" si="43"/>
        <v>75637.420000000013</v>
      </c>
      <c r="S200" s="65">
        <v>19000</v>
      </c>
      <c r="T200" s="65">
        <v>5716.68</v>
      </c>
      <c r="U200" s="65">
        <v>2351.6999999999998</v>
      </c>
      <c r="V200" s="65"/>
      <c r="W200" s="65">
        <v>69920.740000000005</v>
      </c>
      <c r="X200" s="132">
        <f t="shared" si="44"/>
        <v>22.713939939939944</v>
      </c>
      <c r="Y200" s="65">
        <f t="shared" si="42"/>
        <v>4401866.13</v>
      </c>
      <c r="Z200" s="203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  <c r="JD200" s="47"/>
      <c r="JE200" s="47"/>
      <c r="JF200" s="47"/>
      <c r="JG200" s="47"/>
      <c r="JH200" s="47"/>
      <c r="JI200" s="47"/>
      <c r="JJ200" s="47"/>
      <c r="JK200" s="47"/>
      <c r="JL200" s="47"/>
      <c r="JM200" s="47"/>
      <c r="JN200" s="47"/>
      <c r="JO200" s="47"/>
      <c r="JP200" s="47"/>
      <c r="JQ200" s="47"/>
      <c r="JR200" s="47"/>
      <c r="JS200" s="47"/>
      <c r="JT200" s="47"/>
      <c r="JU200" s="47"/>
      <c r="JV200" s="47"/>
      <c r="JW200" s="47"/>
      <c r="JX200" s="47"/>
      <c r="JY200" s="47"/>
      <c r="JZ200" s="47"/>
      <c r="KA200" s="47"/>
      <c r="KB200" s="47"/>
      <c r="KC200" s="47"/>
      <c r="KD200" s="47"/>
      <c r="KE200" s="47"/>
      <c r="KF200" s="47"/>
      <c r="KG200" s="47"/>
      <c r="KH200" s="47"/>
      <c r="KI200" s="47"/>
      <c r="KJ200" s="47"/>
      <c r="KK200" s="47"/>
      <c r="KL200" s="47"/>
      <c r="KM200" s="47"/>
      <c r="KN200" s="47"/>
      <c r="KO200" s="47"/>
      <c r="KP200" s="47"/>
      <c r="KQ200" s="47"/>
      <c r="KR200" s="47"/>
      <c r="KS200" s="47"/>
      <c r="KT200" s="47"/>
      <c r="KU200" s="47"/>
      <c r="KV200" s="47"/>
      <c r="KW200" s="47"/>
      <c r="KX200" s="47"/>
      <c r="KY200" s="47"/>
      <c r="KZ200" s="47"/>
      <c r="LA200" s="47"/>
      <c r="LB200" s="47"/>
      <c r="LC200" s="47"/>
      <c r="LD200" s="47"/>
      <c r="LE200" s="47"/>
      <c r="LF200" s="47"/>
      <c r="LG200" s="47"/>
      <c r="LH200" s="47"/>
      <c r="LI200" s="47"/>
      <c r="LJ200" s="47"/>
      <c r="LK200" s="47"/>
      <c r="LL200" s="47"/>
      <c r="LM200" s="47"/>
      <c r="LN200" s="47"/>
      <c r="LO200" s="47"/>
      <c r="LP200" s="47"/>
      <c r="LQ200" s="47"/>
      <c r="LR200" s="47"/>
      <c r="LS200" s="47"/>
      <c r="LT200" s="47"/>
      <c r="LU200" s="47"/>
      <c r="LV200" s="47"/>
      <c r="LW200" s="47"/>
      <c r="LX200" s="47"/>
      <c r="LY200" s="47"/>
      <c r="LZ200" s="47"/>
      <c r="MA200" s="47"/>
      <c r="MB200" s="47"/>
      <c r="MC200" s="47"/>
      <c r="MD200" s="47"/>
      <c r="ME200" s="47"/>
      <c r="MF200" s="47"/>
      <c r="MG200" s="47"/>
      <c r="MH200" s="47"/>
      <c r="MI200" s="47"/>
      <c r="MJ200" s="47"/>
      <c r="MK200" s="47"/>
      <c r="ML200" s="47"/>
      <c r="MM200" s="47"/>
      <c r="MN200" s="47"/>
      <c r="MO200" s="47"/>
      <c r="MP200" s="47"/>
      <c r="MQ200" s="47"/>
      <c r="MR200" s="47"/>
      <c r="MS200" s="47"/>
      <c r="MT200" s="47"/>
      <c r="MU200" s="47"/>
      <c r="MV200" s="47"/>
      <c r="MW200" s="47"/>
      <c r="MX200" s="47"/>
      <c r="MY200" s="47"/>
      <c r="MZ200" s="47"/>
      <c r="NA200" s="47"/>
      <c r="NB200" s="47"/>
      <c r="NC200" s="47"/>
      <c r="ND200" s="47"/>
      <c r="NE200" s="47"/>
      <c r="NF200" s="47"/>
      <c r="NG200" s="47"/>
      <c r="NH200" s="47"/>
      <c r="NI200" s="47"/>
      <c r="NJ200" s="47"/>
      <c r="NK200" s="47"/>
      <c r="NL200" s="47"/>
      <c r="NM200" s="47"/>
      <c r="NN200" s="47"/>
      <c r="NO200" s="47"/>
      <c r="NP200" s="47"/>
      <c r="NQ200" s="47"/>
      <c r="NR200" s="47"/>
      <c r="NS200" s="47"/>
      <c r="NT200" s="47"/>
      <c r="NU200" s="47"/>
      <c r="NV200" s="47"/>
      <c r="NW200" s="47"/>
      <c r="NX200" s="47"/>
      <c r="NY200" s="47"/>
      <c r="NZ200" s="47"/>
      <c r="OA200" s="47"/>
      <c r="OB200" s="47"/>
      <c r="OC200" s="47"/>
      <c r="OD200" s="47"/>
      <c r="OE200" s="47"/>
      <c r="OF200" s="47"/>
      <c r="OG200" s="47"/>
      <c r="OH200" s="47"/>
      <c r="OI200" s="47"/>
      <c r="OJ200" s="47"/>
      <c r="OK200" s="47"/>
      <c r="OL200" s="47"/>
      <c r="OM200" s="47"/>
      <c r="ON200" s="47"/>
      <c r="OO200" s="47"/>
      <c r="OP200" s="47"/>
      <c r="OQ200" s="47"/>
      <c r="OR200" s="47"/>
      <c r="OS200" s="47"/>
      <c r="OT200" s="47"/>
      <c r="OU200" s="47"/>
      <c r="OV200" s="47"/>
      <c r="OW200" s="47"/>
      <c r="OX200" s="47"/>
      <c r="OY200" s="47"/>
      <c r="OZ200" s="47"/>
      <c r="PA200" s="47"/>
      <c r="PB200" s="47"/>
      <c r="PC200" s="47"/>
      <c r="PD200" s="47"/>
      <c r="PE200" s="47"/>
      <c r="PF200" s="47"/>
      <c r="PG200" s="47"/>
      <c r="PH200" s="47"/>
      <c r="PI200" s="47"/>
      <c r="PJ200" s="47"/>
      <c r="PK200" s="47"/>
      <c r="PL200" s="47"/>
      <c r="PM200" s="47"/>
      <c r="PN200" s="47"/>
      <c r="PO200" s="47"/>
      <c r="PP200" s="47"/>
      <c r="PQ200" s="47"/>
      <c r="PR200" s="47"/>
      <c r="PS200" s="47"/>
      <c r="PT200" s="47"/>
      <c r="PU200" s="47"/>
      <c r="PV200" s="47"/>
      <c r="PW200" s="47"/>
      <c r="PX200" s="47"/>
      <c r="PY200" s="47"/>
      <c r="PZ200" s="47"/>
      <c r="QA200" s="47"/>
      <c r="QB200" s="47"/>
      <c r="QC200" s="47"/>
      <c r="QD200" s="47"/>
      <c r="QE200" s="47"/>
      <c r="QF200" s="47"/>
      <c r="QG200" s="47"/>
      <c r="QH200" s="47"/>
      <c r="QI200" s="47"/>
      <c r="QJ200" s="47"/>
      <c r="QK200" s="47"/>
      <c r="QL200" s="47"/>
      <c r="QM200" s="47"/>
      <c r="QN200" s="47"/>
      <c r="QO200" s="47"/>
      <c r="QP200" s="47"/>
      <c r="QQ200" s="47"/>
      <c r="QR200" s="47"/>
      <c r="QS200" s="47"/>
      <c r="QT200" s="47"/>
      <c r="QU200" s="47"/>
      <c r="QV200" s="47"/>
      <c r="QW200" s="47"/>
      <c r="QX200" s="47"/>
      <c r="QY200" s="47"/>
      <c r="QZ200" s="47"/>
      <c r="RA200" s="47"/>
      <c r="RB200" s="47"/>
      <c r="RC200" s="47"/>
      <c r="RD200" s="47"/>
      <c r="RE200" s="47"/>
      <c r="RF200" s="47"/>
      <c r="RG200" s="47"/>
      <c r="RH200" s="47"/>
      <c r="RI200" s="47"/>
      <c r="RJ200" s="47"/>
      <c r="RK200" s="47"/>
      <c r="RL200" s="47"/>
      <c r="RM200" s="47"/>
      <c r="RN200" s="47"/>
      <c r="RO200" s="47"/>
      <c r="RP200" s="47"/>
      <c r="RQ200" s="47"/>
      <c r="RR200" s="47"/>
      <c r="RS200" s="47"/>
      <c r="RT200" s="47"/>
      <c r="RU200" s="47"/>
      <c r="RV200" s="47"/>
      <c r="RW200" s="47"/>
      <c r="RX200" s="47"/>
      <c r="RY200" s="47"/>
      <c r="RZ200" s="47"/>
      <c r="SA200" s="47"/>
      <c r="SB200" s="47"/>
      <c r="SC200" s="47"/>
      <c r="SD200" s="47"/>
      <c r="SE200" s="47"/>
      <c r="SF200" s="47"/>
      <c r="SG200" s="47"/>
      <c r="SH200" s="47"/>
      <c r="SI200" s="47"/>
      <c r="SJ200" s="47"/>
      <c r="SK200" s="47"/>
      <c r="SL200" s="47"/>
      <c r="SM200" s="47"/>
      <c r="SN200" s="47"/>
      <c r="SO200" s="47"/>
      <c r="SP200" s="47"/>
      <c r="SQ200" s="47"/>
      <c r="SR200" s="47"/>
      <c r="SS200" s="47"/>
      <c r="ST200" s="47"/>
      <c r="SU200" s="47"/>
      <c r="SV200" s="47"/>
      <c r="SW200" s="47"/>
      <c r="SX200" s="47"/>
      <c r="SY200" s="47"/>
      <c r="SZ200" s="47"/>
      <c r="TA200" s="47"/>
      <c r="TB200" s="47"/>
      <c r="TC200" s="47"/>
      <c r="TD200" s="47"/>
      <c r="TE200" s="47"/>
      <c r="TF200" s="47"/>
      <c r="TG200" s="47"/>
      <c r="TH200" s="47"/>
      <c r="TI200" s="47"/>
      <c r="TJ200" s="47"/>
      <c r="TK200" s="47"/>
      <c r="TL200" s="47"/>
      <c r="TM200" s="47"/>
      <c r="TN200" s="47"/>
      <c r="TO200" s="47"/>
      <c r="TP200" s="47"/>
      <c r="TQ200" s="47"/>
      <c r="TR200" s="47"/>
      <c r="TS200" s="47"/>
      <c r="TT200" s="47"/>
      <c r="TU200" s="47"/>
      <c r="TV200" s="47"/>
      <c r="TW200" s="47"/>
      <c r="TX200" s="47"/>
      <c r="TY200" s="47"/>
      <c r="TZ200" s="47"/>
      <c r="UA200" s="47"/>
      <c r="UB200" s="47"/>
      <c r="UC200" s="47"/>
      <c r="UD200" s="47"/>
      <c r="UE200" s="47"/>
      <c r="UF200" s="47"/>
      <c r="UG200" s="47"/>
      <c r="UH200" s="47"/>
      <c r="UI200" s="47"/>
      <c r="UJ200" s="47"/>
      <c r="UK200" s="47"/>
      <c r="UL200" s="47"/>
      <c r="UM200" s="47"/>
      <c r="UN200" s="47"/>
      <c r="UO200" s="47"/>
      <c r="UP200" s="47"/>
      <c r="UQ200" s="47"/>
      <c r="UR200" s="47"/>
      <c r="US200" s="47"/>
      <c r="UT200" s="47"/>
      <c r="UU200" s="47"/>
      <c r="UV200" s="47"/>
      <c r="UW200" s="47"/>
      <c r="UX200" s="47"/>
      <c r="UY200" s="47"/>
      <c r="UZ200" s="47"/>
      <c r="VA200" s="47"/>
      <c r="VB200" s="47"/>
      <c r="VC200" s="47"/>
      <c r="VD200" s="47"/>
      <c r="VE200" s="47"/>
      <c r="VF200" s="47"/>
    </row>
    <row r="201" spans="1:578" s="49" customFormat="1" ht="33.75" customHeight="1" x14ac:dyDescent="0.2">
      <c r="A201" s="64">
        <v>1014081</v>
      </c>
      <c r="B201" s="90" t="str">
        <f>'дод 3'!A131</f>
        <v>4081</v>
      </c>
      <c r="C201" s="90" t="str">
        <f>'дод 3'!B131</f>
        <v>0829</v>
      </c>
      <c r="D201" s="42" t="str">
        <f>'дод 3'!C131</f>
        <v xml:space="preserve">Забезпечення діяльності інших закладів в галузі культури і мистецтва </v>
      </c>
      <c r="E201" s="65">
        <v>1425860</v>
      </c>
      <c r="F201" s="65">
        <v>1067900</v>
      </c>
      <c r="G201" s="65">
        <f>25650+452</f>
        <v>26102</v>
      </c>
      <c r="H201" s="65">
        <v>313096.53000000003</v>
      </c>
      <c r="I201" s="65">
        <v>243645.23</v>
      </c>
      <c r="J201" s="65">
        <v>8200.41</v>
      </c>
      <c r="K201" s="130">
        <f t="shared" si="41"/>
        <v>21.958434208127027</v>
      </c>
      <c r="L201" s="65">
        <f t="shared" si="45"/>
        <v>0</v>
      </c>
      <c r="M201" s="65"/>
      <c r="N201" s="65"/>
      <c r="O201" s="65"/>
      <c r="P201" s="65"/>
      <c r="Q201" s="65"/>
      <c r="R201" s="65">
        <f t="shared" si="43"/>
        <v>0</v>
      </c>
      <c r="S201" s="65"/>
      <c r="T201" s="122"/>
      <c r="U201" s="122"/>
      <c r="V201" s="122"/>
      <c r="W201" s="122"/>
      <c r="X201" s="132"/>
      <c r="Y201" s="65">
        <f t="shared" si="42"/>
        <v>313096.53000000003</v>
      </c>
      <c r="Z201" s="203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  <c r="GN201" s="71"/>
      <c r="GO201" s="71"/>
      <c r="GP201" s="71"/>
      <c r="GQ201" s="71"/>
      <c r="GR201" s="71"/>
      <c r="GS201" s="71"/>
      <c r="GT201" s="71"/>
      <c r="GU201" s="71"/>
      <c r="GV201" s="71"/>
      <c r="GW201" s="71"/>
      <c r="GX201" s="71"/>
      <c r="GY201" s="71"/>
      <c r="GZ201" s="71"/>
      <c r="HA201" s="71"/>
      <c r="HB201" s="71"/>
      <c r="HC201" s="71"/>
      <c r="HD201" s="71"/>
      <c r="HE201" s="71"/>
      <c r="HF201" s="71"/>
      <c r="HG201" s="71"/>
      <c r="HH201" s="71"/>
      <c r="HI201" s="71"/>
      <c r="HJ201" s="71"/>
      <c r="HK201" s="71"/>
      <c r="HL201" s="71"/>
      <c r="HM201" s="71"/>
      <c r="HN201" s="71"/>
      <c r="HO201" s="71"/>
      <c r="HP201" s="71"/>
      <c r="HQ201" s="71"/>
      <c r="HR201" s="71"/>
      <c r="HS201" s="71"/>
      <c r="HT201" s="71"/>
      <c r="HU201" s="71"/>
      <c r="HV201" s="71"/>
      <c r="HW201" s="71"/>
      <c r="HX201" s="71"/>
      <c r="HY201" s="71"/>
      <c r="HZ201" s="71"/>
      <c r="IA201" s="71"/>
      <c r="IB201" s="71"/>
      <c r="IC201" s="71"/>
      <c r="ID201" s="71"/>
      <c r="IE201" s="71"/>
      <c r="IF201" s="71"/>
      <c r="IG201" s="71"/>
      <c r="IH201" s="71"/>
      <c r="II201" s="71"/>
      <c r="IJ201" s="71"/>
      <c r="IK201" s="71"/>
      <c r="IL201" s="71"/>
      <c r="IM201" s="71"/>
      <c r="IN201" s="71"/>
      <c r="IO201" s="71"/>
      <c r="IP201" s="71"/>
      <c r="IQ201" s="71"/>
      <c r="IR201" s="71"/>
      <c r="IS201" s="71"/>
      <c r="IT201" s="71"/>
      <c r="IU201" s="71"/>
      <c r="IV201" s="71"/>
      <c r="IW201" s="71"/>
      <c r="IX201" s="71"/>
      <c r="IY201" s="71"/>
      <c r="IZ201" s="71"/>
      <c r="JA201" s="71"/>
      <c r="JB201" s="71"/>
      <c r="JC201" s="71"/>
      <c r="JD201" s="71"/>
      <c r="JE201" s="71"/>
      <c r="JF201" s="71"/>
      <c r="JG201" s="71"/>
      <c r="JH201" s="71"/>
      <c r="JI201" s="71"/>
      <c r="JJ201" s="71"/>
      <c r="JK201" s="71"/>
      <c r="JL201" s="71"/>
      <c r="JM201" s="71"/>
      <c r="JN201" s="71"/>
      <c r="JO201" s="71"/>
      <c r="JP201" s="71"/>
      <c r="JQ201" s="71"/>
      <c r="JR201" s="71"/>
      <c r="JS201" s="71"/>
      <c r="JT201" s="71"/>
      <c r="JU201" s="71"/>
      <c r="JV201" s="71"/>
      <c r="JW201" s="71"/>
      <c r="JX201" s="71"/>
      <c r="JY201" s="71"/>
      <c r="JZ201" s="71"/>
      <c r="KA201" s="71"/>
      <c r="KB201" s="71"/>
      <c r="KC201" s="71"/>
      <c r="KD201" s="71"/>
      <c r="KE201" s="71"/>
      <c r="KF201" s="71"/>
      <c r="KG201" s="71"/>
      <c r="KH201" s="71"/>
      <c r="KI201" s="71"/>
      <c r="KJ201" s="71"/>
      <c r="KK201" s="71"/>
      <c r="KL201" s="71"/>
      <c r="KM201" s="71"/>
      <c r="KN201" s="71"/>
      <c r="KO201" s="71"/>
      <c r="KP201" s="71"/>
      <c r="KQ201" s="71"/>
      <c r="KR201" s="71"/>
      <c r="KS201" s="71"/>
      <c r="KT201" s="71"/>
      <c r="KU201" s="71"/>
      <c r="KV201" s="71"/>
      <c r="KW201" s="71"/>
      <c r="KX201" s="71"/>
      <c r="KY201" s="71"/>
      <c r="KZ201" s="71"/>
      <c r="LA201" s="71"/>
      <c r="LB201" s="71"/>
      <c r="LC201" s="71"/>
      <c r="LD201" s="71"/>
      <c r="LE201" s="71"/>
      <c r="LF201" s="71"/>
      <c r="LG201" s="71"/>
      <c r="LH201" s="71"/>
      <c r="LI201" s="71"/>
      <c r="LJ201" s="71"/>
      <c r="LK201" s="71"/>
      <c r="LL201" s="71"/>
      <c r="LM201" s="71"/>
      <c r="LN201" s="71"/>
      <c r="LO201" s="71"/>
      <c r="LP201" s="71"/>
      <c r="LQ201" s="71"/>
      <c r="LR201" s="71"/>
      <c r="LS201" s="71"/>
      <c r="LT201" s="71"/>
      <c r="LU201" s="71"/>
      <c r="LV201" s="71"/>
      <c r="LW201" s="71"/>
      <c r="LX201" s="71"/>
      <c r="LY201" s="71"/>
      <c r="LZ201" s="71"/>
      <c r="MA201" s="71"/>
      <c r="MB201" s="71"/>
      <c r="MC201" s="71"/>
      <c r="MD201" s="71"/>
      <c r="ME201" s="71"/>
      <c r="MF201" s="71"/>
      <c r="MG201" s="71"/>
      <c r="MH201" s="71"/>
      <c r="MI201" s="71"/>
      <c r="MJ201" s="71"/>
      <c r="MK201" s="71"/>
      <c r="ML201" s="71"/>
      <c r="MM201" s="71"/>
      <c r="MN201" s="71"/>
      <c r="MO201" s="71"/>
      <c r="MP201" s="71"/>
      <c r="MQ201" s="71"/>
      <c r="MR201" s="71"/>
      <c r="MS201" s="71"/>
      <c r="MT201" s="71"/>
      <c r="MU201" s="71"/>
      <c r="MV201" s="71"/>
      <c r="MW201" s="71"/>
      <c r="MX201" s="71"/>
      <c r="MY201" s="71"/>
      <c r="MZ201" s="71"/>
      <c r="NA201" s="71"/>
      <c r="NB201" s="71"/>
      <c r="NC201" s="71"/>
      <c r="ND201" s="71"/>
      <c r="NE201" s="71"/>
      <c r="NF201" s="71"/>
      <c r="NG201" s="71"/>
      <c r="NH201" s="71"/>
      <c r="NI201" s="71"/>
      <c r="NJ201" s="71"/>
      <c r="NK201" s="71"/>
      <c r="NL201" s="71"/>
      <c r="NM201" s="71"/>
      <c r="NN201" s="71"/>
      <c r="NO201" s="71"/>
      <c r="NP201" s="71"/>
      <c r="NQ201" s="71"/>
      <c r="NR201" s="71"/>
      <c r="NS201" s="71"/>
      <c r="NT201" s="71"/>
      <c r="NU201" s="71"/>
      <c r="NV201" s="71"/>
      <c r="NW201" s="71"/>
      <c r="NX201" s="71"/>
      <c r="NY201" s="71"/>
      <c r="NZ201" s="71"/>
      <c r="OA201" s="71"/>
      <c r="OB201" s="71"/>
      <c r="OC201" s="71"/>
      <c r="OD201" s="71"/>
      <c r="OE201" s="71"/>
      <c r="OF201" s="71"/>
      <c r="OG201" s="71"/>
      <c r="OH201" s="71"/>
      <c r="OI201" s="71"/>
      <c r="OJ201" s="71"/>
      <c r="OK201" s="71"/>
      <c r="OL201" s="71"/>
      <c r="OM201" s="71"/>
      <c r="ON201" s="71"/>
      <c r="OO201" s="71"/>
      <c r="OP201" s="71"/>
      <c r="OQ201" s="71"/>
      <c r="OR201" s="71"/>
      <c r="OS201" s="71"/>
      <c r="OT201" s="71"/>
      <c r="OU201" s="71"/>
      <c r="OV201" s="71"/>
      <c r="OW201" s="71"/>
      <c r="OX201" s="71"/>
      <c r="OY201" s="71"/>
      <c r="OZ201" s="71"/>
      <c r="PA201" s="71"/>
      <c r="PB201" s="71"/>
      <c r="PC201" s="71"/>
      <c r="PD201" s="71"/>
      <c r="PE201" s="71"/>
      <c r="PF201" s="71"/>
      <c r="PG201" s="71"/>
      <c r="PH201" s="71"/>
      <c r="PI201" s="71"/>
      <c r="PJ201" s="71"/>
      <c r="PK201" s="71"/>
      <c r="PL201" s="71"/>
      <c r="PM201" s="71"/>
      <c r="PN201" s="71"/>
      <c r="PO201" s="71"/>
      <c r="PP201" s="71"/>
      <c r="PQ201" s="71"/>
      <c r="PR201" s="71"/>
      <c r="PS201" s="71"/>
      <c r="PT201" s="71"/>
      <c r="PU201" s="71"/>
      <c r="PV201" s="71"/>
      <c r="PW201" s="71"/>
      <c r="PX201" s="71"/>
      <c r="PY201" s="71"/>
      <c r="PZ201" s="71"/>
      <c r="QA201" s="71"/>
      <c r="QB201" s="71"/>
      <c r="QC201" s="71"/>
      <c r="QD201" s="71"/>
      <c r="QE201" s="71"/>
      <c r="QF201" s="71"/>
      <c r="QG201" s="71"/>
      <c r="QH201" s="71"/>
      <c r="QI201" s="71"/>
      <c r="QJ201" s="71"/>
      <c r="QK201" s="71"/>
      <c r="QL201" s="71"/>
      <c r="QM201" s="71"/>
      <c r="QN201" s="71"/>
      <c r="QO201" s="71"/>
      <c r="QP201" s="71"/>
      <c r="QQ201" s="71"/>
      <c r="QR201" s="71"/>
      <c r="QS201" s="71"/>
      <c r="QT201" s="71"/>
      <c r="QU201" s="71"/>
      <c r="QV201" s="71"/>
      <c r="QW201" s="71"/>
      <c r="QX201" s="71"/>
      <c r="QY201" s="71"/>
      <c r="QZ201" s="71"/>
      <c r="RA201" s="71"/>
      <c r="RB201" s="71"/>
      <c r="RC201" s="71"/>
      <c r="RD201" s="71"/>
      <c r="RE201" s="71"/>
      <c r="RF201" s="71"/>
      <c r="RG201" s="71"/>
      <c r="RH201" s="71"/>
      <c r="RI201" s="71"/>
      <c r="RJ201" s="71"/>
      <c r="RK201" s="71"/>
      <c r="RL201" s="71"/>
      <c r="RM201" s="71"/>
      <c r="RN201" s="71"/>
      <c r="RO201" s="71"/>
      <c r="RP201" s="71"/>
      <c r="RQ201" s="71"/>
      <c r="RR201" s="71"/>
      <c r="RS201" s="71"/>
      <c r="RT201" s="71"/>
      <c r="RU201" s="71"/>
      <c r="RV201" s="71"/>
      <c r="RW201" s="71"/>
      <c r="RX201" s="71"/>
      <c r="RY201" s="71"/>
      <c r="RZ201" s="71"/>
      <c r="SA201" s="71"/>
      <c r="SB201" s="71"/>
      <c r="SC201" s="71"/>
      <c r="SD201" s="71"/>
      <c r="SE201" s="71"/>
      <c r="SF201" s="71"/>
      <c r="SG201" s="71"/>
      <c r="SH201" s="71"/>
      <c r="SI201" s="71"/>
      <c r="SJ201" s="71"/>
      <c r="SK201" s="71"/>
      <c r="SL201" s="71"/>
      <c r="SM201" s="71"/>
      <c r="SN201" s="71"/>
      <c r="SO201" s="71"/>
      <c r="SP201" s="71"/>
      <c r="SQ201" s="71"/>
      <c r="SR201" s="71"/>
      <c r="SS201" s="71"/>
      <c r="ST201" s="71"/>
      <c r="SU201" s="71"/>
      <c r="SV201" s="71"/>
      <c r="SW201" s="71"/>
      <c r="SX201" s="71"/>
      <c r="SY201" s="71"/>
      <c r="SZ201" s="71"/>
      <c r="TA201" s="71"/>
      <c r="TB201" s="71"/>
      <c r="TC201" s="71"/>
      <c r="TD201" s="71"/>
      <c r="TE201" s="71"/>
      <c r="TF201" s="71"/>
      <c r="TG201" s="71"/>
      <c r="TH201" s="71"/>
      <c r="TI201" s="71"/>
      <c r="TJ201" s="71"/>
      <c r="TK201" s="71"/>
      <c r="TL201" s="71"/>
      <c r="TM201" s="71"/>
      <c r="TN201" s="71"/>
      <c r="TO201" s="71"/>
      <c r="TP201" s="71"/>
      <c r="TQ201" s="71"/>
      <c r="TR201" s="71"/>
      <c r="TS201" s="71"/>
      <c r="TT201" s="71"/>
      <c r="TU201" s="71"/>
      <c r="TV201" s="71"/>
      <c r="TW201" s="71"/>
      <c r="TX201" s="71"/>
      <c r="TY201" s="71"/>
      <c r="TZ201" s="71"/>
      <c r="UA201" s="71"/>
      <c r="UB201" s="71"/>
      <c r="UC201" s="71"/>
      <c r="UD201" s="71"/>
      <c r="UE201" s="71"/>
      <c r="UF201" s="71"/>
      <c r="UG201" s="71"/>
      <c r="UH201" s="71"/>
      <c r="UI201" s="71"/>
      <c r="UJ201" s="71"/>
      <c r="UK201" s="71"/>
      <c r="UL201" s="71"/>
      <c r="UM201" s="71"/>
      <c r="UN201" s="71"/>
      <c r="UO201" s="71"/>
      <c r="UP201" s="71"/>
      <c r="UQ201" s="71"/>
      <c r="UR201" s="71"/>
      <c r="US201" s="71"/>
      <c r="UT201" s="71"/>
      <c r="UU201" s="71"/>
      <c r="UV201" s="71"/>
      <c r="UW201" s="71"/>
      <c r="UX201" s="71"/>
      <c r="UY201" s="71"/>
      <c r="UZ201" s="71"/>
      <c r="VA201" s="71"/>
      <c r="VB201" s="71"/>
      <c r="VC201" s="71"/>
      <c r="VD201" s="71"/>
      <c r="VE201" s="71"/>
      <c r="VF201" s="71"/>
    </row>
    <row r="202" spans="1:578" s="49" customFormat="1" ht="25.5" customHeight="1" x14ac:dyDescent="0.2">
      <c r="A202" s="64">
        <v>1014082</v>
      </c>
      <c r="B202" s="90" t="str">
        <f>'дод 3'!A132</f>
        <v>4082</v>
      </c>
      <c r="C202" s="90" t="str">
        <f>'дод 3'!B132</f>
        <v>0829</v>
      </c>
      <c r="D202" s="42" t="str">
        <f>'дод 3'!C132</f>
        <v>Інші заходи в галузі культури і мистецтва</v>
      </c>
      <c r="E202" s="65">
        <v>2385400</v>
      </c>
      <c r="F202" s="65"/>
      <c r="G202" s="65"/>
      <c r="H202" s="65">
        <v>86283.42</v>
      </c>
      <c r="I202" s="65"/>
      <c r="J202" s="65"/>
      <c r="K202" s="130">
        <f t="shared" si="41"/>
        <v>3.6171468097593698</v>
      </c>
      <c r="L202" s="65">
        <f t="shared" si="45"/>
        <v>0</v>
      </c>
      <c r="M202" s="65"/>
      <c r="N202" s="65"/>
      <c r="O202" s="65"/>
      <c r="P202" s="65"/>
      <c r="Q202" s="65"/>
      <c r="R202" s="65">
        <f t="shared" si="43"/>
        <v>0</v>
      </c>
      <c r="S202" s="65"/>
      <c r="T202" s="122"/>
      <c r="U202" s="122"/>
      <c r="V202" s="122"/>
      <c r="W202" s="122"/>
      <c r="X202" s="132"/>
      <c r="Y202" s="65">
        <f t="shared" si="42"/>
        <v>86283.42</v>
      </c>
      <c r="Z202" s="203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1"/>
      <c r="GS202" s="71"/>
      <c r="GT202" s="71"/>
      <c r="GU202" s="71"/>
      <c r="GV202" s="71"/>
      <c r="GW202" s="71"/>
      <c r="GX202" s="71"/>
      <c r="GY202" s="71"/>
      <c r="GZ202" s="71"/>
      <c r="HA202" s="71"/>
      <c r="HB202" s="71"/>
      <c r="HC202" s="71"/>
      <c r="HD202" s="71"/>
      <c r="HE202" s="71"/>
      <c r="HF202" s="71"/>
      <c r="HG202" s="71"/>
      <c r="HH202" s="71"/>
      <c r="HI202" s="71"/>
      <c r="HJ202" s="71"/>
      <c r="HK202" s="71"/>
      <c r="HL202" s="71"/>
      <c r="HM202" s="71"/>
      <c r="HN202" s="71"/>
      <c r="HO202" s="71"/>
      <c r="HP202" s="71"/>
      <c r="HQ202" s="71"/>
      <c r="HR202" s="71"/>
      <c r="HS202" s="71"/>
      <c r="HT202" s="71"/>
      <c r="HU202" s="71"/>
      <c r="HV202" s="71"/>
      <c r="HW202" s="71"/>
      <c r="HX202" s="71"/>
      <c r="HY202" s="71"/>
      <c r="HZ202" s="71"/>
      <c r="IA202" s="71"/>
      <c r="IB202" s="71"/>
      <c r="IC202" s="71"/>
      <c r="ID202" s="71"/>
      <c r="IE202" s="71"/>
      <c r="IF202" s="71"/>
      <c r="IG202" s="71"/>
      <c r="IH202" s="71"/>
      <c r="II202" s="71"/>
      <c r="IJ202" s="71"/>
      <c r="IK202" s="71"/>
      <c r="IL202" s="71"/>
      <c r="IM202" s="71"/>
      <c r="IN202" s="71"/>
      <c r="IO202" s="71"/>
      <c r="IP202" s="71"/>
      <c r="IQ202" s="71"/>
      <c r="IR202" s="71"/>
      <c r="IS202" s="71"/>
      <c r="IT202" s="71"/>
      <c r="IU202" s="71"/>
      <c r="IV202" s="71"/>
      <c r="IW202" s="71"/>
      <c r="IX202" s="71"/>
      <c r="IY202" s="71"/>
      <c r="IZ202" s="71"/>
      <c r="JA202" s="71"/>
      <c r="JB202" s="71"/>
      <c r="JC202" s="71"/>
      <c r="JD202" s="71"/>
      <c r="JE202" s="71"/>
      <c r="JF202" s="71"/>
      <c r="JG202" s="71"/>
      <c r="JH202" s="71"/>
      <c r="JI202" s="71"/>
      <c r="JJ202" s="71"/>
      <c r="JK202" s="71"/>
      <c r="JL202" s="71"/>
      <c r="JM202" s="71"/>
      <c r="JN202" s="71"/>
      <c r="JO202" s="71"/>
      <c r="JP202" s="71"/>
      <c r="JQ202" s="71"/>
      <c r="JR202" s="71"/>
      <c r="JS202" s="71"/>
      <c r="JT202" s="71"/>
      <c r="JU202" s="71"/>
      <c r="JV202" s="71"/>
      <c r="JW202" s="71"/>
      <c r="JX202" s="71"/>
      <c r="JY202" s="71"/>
      <c r="JZ202" s="71"/>
      <c r="KA202" s="71"/>
      <c r="KB202" s="71"/>
      <c r="KC202" s="71"/>
      <c r="KD202" s="71"/>
      <c r="KE202" s="71"/>
      <c r="KF202" s="71"/>
      <c r="KG202" s="71"/>
      <c r="KH202" s="71"/>
      <c r="KI202" s="71"/>
      <c r="KJ202" s="71"/>
      <c r="KK202" s="71"/>
      <c r="KL202" s="71"/>
      <c r="KM202" s="71"/>
      <c r="KN202" s="71"/>
      <c r="KO202" s="71"/>
      <c r="KP202" s="71"/>
      <c r="KQ202" s="71"/>
      <c r="KR202" s="71"/>
      <c r="KS202" s="71"/>
      <c r="KT202" s="71"/>
      <c r="KU202" s="71"/>
      <c r="KV202" s="71"/>
      <c r="KW202" s="71"/>
      <c r="KX202" s="71"/>
      <c r="KY202" s="71"/>
      <c r="KZ202" s="71"/>
      <c r="LA202" s="71"/>
      <c r="LB202" s="71"/>
      <c r="LC202" s="71"/>
      <c r="LD202" s="71"/>
      <c r="LE202" s="71"/>
      <c r="LF202" s="71"/>
      <c r="LG202" s="71"/>
      <c r="LH202" s="71"/>
      <c r="LI202" s="71"/>
      <c r="LJ202" s="71"/>
      <c r="LK202" s="71"/>
      <c r="LL202" s="71"/>
      <c r="LM202" s="71"/>
      <c r="LN202" s="71"/>
      <c r="LO202" s="71"/>
      <c r="LP202" s="71"/>
      <c r="LQ202" s="71"/>
      <c r="LR202" s="71"/>
      <c r="LS202" s="71"/>
      <c r="LT202" s="71"/>
      <c r="LU202" s="71"/>
      <c r="LV202" s="71"/>
      <c r="LW202" s="71"/>
      <c r="LX202" s="71"/>
      <c r="LY202" s="71"/>
      <c r="LZ202" s="71"/>
      <c r="MA202" s="71"/>
      <c r="MB202" s="71"/>
      <c r="MC202" s="71"/>
      <c r="MD202" s="71"/>
      <c r="ME202" s="71"/>
      <c r="MF202" s="71"/>
      <c r="MG202" s="71"/>
      <c r="MH202" s="71"/>
      <c r="MI202" s="71"/>
      <c r="MJ202" s="71"/>
      <c r="MK202" s="71"/>
      <c r="ML202" s="71"/>
      <c r="MM202" s="71"/>
      <c r="MN202" s="71"/>
      <c r="MO202" s="71"/>
      <c r="MP202" s="71"/>
      <c r="MQ202" s="71"/>
      <c r="MR202" s="71"/>
      <c r="MS202" s="71"/>
      <c r="MT202" s="71"/>
      <c r="MU202" s="71"/>
      <c r="MV202" s="71"/>
      <c r="MW202" s="71"/>
      <c r="MX202" s="71"/>
      <c r="MY202" s="71"/>
      <c r="MZ202" s="71"/>
      <c r="NA202" s="71"/>
      <c r="NB202" s="71"/>
      <c r="NC202" s="71"/>
      <c r="ND202" s="71"/>
      <c r="NE202" s="71"/>
      <c r="NF202" s="71"/>
      <c r="NG202" s="71"/>
      <c r="NH202" s="71"/>
      <c r="NI202" s="71"/>
      <c r="NJ202" s="71"/>
      <c r="NK202" s="71"/>
      <c r="NL202" s="71"/>
      <c r="NM202" s="71"/>
      <c r="NN202" s="71"/>
      <c r="NO202" s="71"/>
      <c r="NP202" s="71"/>
      <c r="NQ202" s="71"/>
      <c r="NR202" s="71"/>
      <c r="NS202" s="71"/>
      <c r="NT202" s="71"/>
      <c r="NU202" s="71"/>
      <c r="NV202" s="71"/>
      <c r="NW202" s="71"/>
      <c r="NX202" s="71"/>
      <c r="NY202" s="71"/>
      <c r="NZ202" s="71"/>
      <c r="OA202" s="71"/>
      <c r="OB202" s="71"/>
      <c r="OC202" s="71"/>
      <c r="OD202" s="71"/>
      <c r="OE202" s="71"/>
      <c r="OF202" s="71"/>
      <c r="OG202" s="71"/>
      <c r="OH202" s="71"/>
      <c r="OI202" s="71"/>
      <c r="OJ202" s="71"/>
      <c r="OK202" s="71"/>
      <c r="OL202" s="71"/>
      <c r="OM202" s="71"/>
      <c r="ON202" s="71"/>
      <c r="OO202" s="71"/>
      <c r="OP202" s="71"/>
      <c r="OQ202" s="71"/>
      <c r="OR202" s="71"/>
      <c r="OS202" s="71"/>
      <c r="OT202" s="71"/>
      <c r="OU202" s="71"/>
      <c r="OV202" s="71"/>
      <c r="OW202" s="71"/>
      <c r="OX202" s="71"/>
      <c r="OY202" s="71"/>
      <c r="OZ202" s="71"/>
      <c r="PA202" s="71"/>
      <c r="PB202" s="71"/>
      <c r="PC202" s="71"/>
      <c r="PD202" s="71"/>
      <c r="PE202" s="71"/>
      <c r="PF202" s="71"/>
      <c r="PG202" s="71"/>
      <c r="PH202" s="71"/>
      <c r="PI202" s="71"/>
      <c r="PJ202" s="71"/>
      <c r="PK202" s="71"/>
      <c r="PL202" s="71"/>
      <c r="PM202" s="71"/>
      <c r="PN202" s="71"/>
      <c r="PO202" s="71"/>
      <c r="PP202" s="71"/>
      <c r="PQ202" s="71"/>
      <c r="PR202" s="71"/>
      <c r="PS202" s="71"/>
      <c r="PT202" s="71"/>
      <c r="PU202" s="71"/>
      <c r="PV202" s="71"/>
      <c r="PW202" s="71"/>
      <c r="PX202" s="71"/>
      <c r="PY202" s="71"/>
      <c r="PZ202" s="71"/>
      <c r="QA202" s="71"/>
      <c r="QB202" s="71"/>
      <c r="QC202" s="71"/>
      <c r="QD202" s="71"/>
      <c r="QE202" s="71"/>
      <c r="QF202" s="71"/>
      <c r="QG202" s="71"/>
      <c r="QH202" s="71"/>
      <c r="QI202" s="71"/>
      <c r="QJ202" s="71"/>
      <c r="QK202" s="71"/>
      <c r="QL202" s="71"/>
      <c r="QM202" s="71"/>
      <c r="QN202" s="71"/>
      <c r="QO202" s="71"/>
      <c r="QP202" s="71"/>
      <c r="QQ202" s="71"/>
      <c r="QR202" s="71"/>
      <c r="QS202" s="71"/>
      <c r="QT202" s="71"/>
      <c r="QU202" s="71"/>
      <c r="QV202" s="71"/>
      <c r="QW202" s="71"/>
      <c r="QX202" s="71"/>
      <c r="QY202" s="71"/>
      <c r="QZ202" s="71"/>
      <c r="RA202" s="71"/>
      <c r="RB202" s="71"/>
      <c r="RC202" s="71"/>
      <c r="RD202" s="71"/>
      <c r="RE202" s="71"/>
      <c r="RF202" s="71"/>
      <c r="RG202" s="71"/>
      <c r="RH202" s="71"/>
      <c r="RI202" s="71"/>
      <c r="RJ202" s="71"/>
      <c r="RK202" s="71"/>
      <c r="RL202" s="71"/>
      <c r="RM202" s="71"/>
      <c r="RN202" s="71"/>
      <c r="RO202" s="71"/>
      <c r="RP202" s="71"/>
      <c r="RQ202" s="71"/>
      <c r="RR202" s="71"/>
      <c r="RS202" s="71"/>
      <c r="RT202" s="71"/>
      <c r="RU202" s="71"/>
      <c r="RV202" s="71"/>
      <c r="RW202" s="71"/>
      <c r="RX202" s="71"/>
      <c r="RY202" s="71"/>
      <c r="RZ202" s="71"/>
      <c r="SA202" s="71"/>
      <c r="SB202" s="71"/>
      <c r="SC202" s="71"/>
      <c r="SD202" s="71"/>
      <c r="SE202" s="71"/>
      <c r="SF202" s="71"/>
      <c r="SG202" s="71"/>
      <c r="SH202" s="71"/>
      <c r="SI202" s="71"/>
      <c r="SJ202" s="71"/>
      <c r="SK202" s="71"/>
      <c r="SL202" s="71"/>
      <c r="SM202" s="71"/>
      <c r="SN202" s="71"/>
      <c r="SO202" s="71"/>
      <c r="SP202" s="71"/>
      <c r="SQ202" s="71"/>
      <c r="SR202" s="71"/>
      <c r="SS202" s="71"/>
      <c r="ST202" s="71"/>
      <c r="SU202" s="71"/>
      <c r="SV202" s="71"/>
      <c r="SW202" s="71"/>
      <c r="SX202" s="71"/>
      <c r="SY202" s="71"/>
      <c r="SZ202" s="71"/>
      <c r="TA202" s="71"/>
      <c r="TB202" s="71"/>
      <c r="TC202" s="71"/>
      <c r="TD202" s="71"/>
      <c r="TE202" s="71"/>
      <c r="TF202" s="71"/>
      <c r="TG202" s="71"/>
      <c r="TH202" s="71"/>
      <c r="TI202" s="71"/>
      <c r="TJ202" s="71"/>
      <c r="TK202" s="71"/>
      <c r="TL202" s="71"/>
      <c r="TM202" s="71"/>
      <c r="TN202" s="71"/>
      <c r="TO202" s="71"/>
      <c r="TP202" s="71"/>
      <c r="TQ202" s="71"/>
      <c r="TR202" s="71"/>
      <c r="TS202" s="71"/>
      <c r="TT202" s="71"/>
      <c r="TU202" s="71"/>
      <c r="TV202" s="71"/>
      <c r="TW202" s="71"/>
      <c r="TX202" s="71"/>
      <c r="TY202" s="71"/>
      <c r="TZ202" s="71"/>
      <c r="UA202" s="71"/>
      <c r="UB202" s="71"/>
      <c r="UC202" s="71"/>
      <c r="UD202" s="71"/>
      <c r="UE202" s="71"/>
      <c r="UF202" s="71"/>
      <c r="UG202" s="71"/>
      <c r="UH202" s="71"/>
      <c r="UI202" s="71"/>
      <c r="UJ202" s="71"/>
      <c r="UK202" s="71"/>
      <c r="UL202" s="71"/>
      <c r="UM202" s="71"/>
      <c r="UN202" s="71"/>
      <c r="UO202" s="71"/>
      <c r="UP202" s="71"/>
      <c r="UQ202" s="71"/>
      <c r="UR202" s="71"/>
      <c r="US202" s="71"/>
      <c r="UT202" s="71"/>
      <c r="UU202" s="71"/>
      <c r="UV202" s="71"/>
      <c r="UW202" s="71"/>
      <c r="UX202" s="71"/>
      <c r="UY202" s="71"/>
      <c r="UZ202" s="71"/>
      <c r="VA202" s="71"/>
      <c r="VB202" s="71"/>
      <c r="VC202" s="71"/>
      <c r="VD202" s="71"/>
      <c r="VE202" s="71"/>
      <c r="VF202" s="71"/>
    </row>
    <row r="203" spans="1:578" s="49" customFormat="1" ht="45" hidden="1" customHeight="1" x14ac:dyDescent="0.2">
      <c r="A203" s="39" t="s">
        <v>540</v>
      </c>
      <c r="B203" s="90" t="s">
        <v>497</v>
      </c>
      <c r="C203" s="90" t="s">
        <v>113</v>
      </c>
      <c r="D203" s="42" t="s">
        <v>498</v>
      </c>
      <c r="E203" s="65">
        <v>0</v>
      </c>
      <c r="F203" s="65"/>
      <c r="G203" s="65"/>
      <c r="H203" s="65"/>
      <c r="I203" s="65"/>
      <c r="J203" s="65"/>
      <c r="K203" s="130" t="e">
        <f t="shared" si="41"/>
        <v>#DIV/0!</v>
      </c>
      <c r="L203" s="65">
        <f t="shared" si="45"/>
        <v>0</v>
      </c>
      <c r="M203" s="65"/>
      <c r="N203" s="65"/>
      <c r="O203" s="65"/>
      <c r="P203" s="65"/>
      <c r="Q203" s="65"/>
      <c r="R203" s="65">
        <f t="shared" si="43"/>
        <v>0</v>
      </c>
      <c r="S203" s="65"/>
      <c r="T203" s="122"/>
      <c r="U203" s="122"/>
      <c r="V203" s="122"/>
      <c r="W203" s="122"/>
      <c r="X203" s="132" t="e">
        <f t="shared" si="44"/>
        <v>#DIV/0!</v>
      </c>
      <c r="Y203" s="65">
        <f t="shared" si="42"/>
        <v>0</v>
      </c>
      <c r="Z203" s="203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1"/>
      <c r="GS203" s="71"/>
      <c r="GT203" s="71"/>
      <c r="GU203" s="71"/>
      <c r="GV203" s="71"/>
      <c r="GW203" s="71"/>
      <c r="GX203" s="71"/>
      <c r="GY203" s="71"/>
      <c r="GZ203" s="71"/>
      <c r="HA203" s="71"/>
      <c r="HB203" s="71"/>
      <c r="HC203" s="71"/>
      <c r="HD203" s="71"/>
      <c r="HE203" s="71"/>
      <c r="HF203" s="71"/>
      <c r="HG203" s="71"/>
      <c r="HH203" s="71"/>
      <c r="HI203" s="71"/>
      <c r="HJ203" s="71"/>
      <c r="HK203" s="71"/>
      <c r="HL203" s="71"/>
      <c r="HM203" s="71"/>
      <c r="HN203" s="71"/>
      <c r="HO203" s="71"/>
      <c r="HP203" s="71"/>
      <c r="HQ203" s="71"/>
      <c r="HR203" s="71"/>
      <c r="HS203" s="71"/>
      <c r="HT203" s="71"/>
      <c r="HU203" s="71"/>
      <c r="HV203" s="71"/>
      <c r="HW203" s="71"/>
      <c r="HX203" s="71"/>
      <c r="HY203" s="71"/>
      <c r="HZ203" s="71"/>
      <c r="IA203" s="71"/>
      <c r="IB203" s="71"/>
      <c r="IC203" s="71"/>
      <c r="ID203" s="71"/>
      <c r="IE203" s="71"/>
      <c r="IF203" s="71"/>
      <c r="IG203" s="71"/>
      <c r="IH203" s="71"/>
      <c r="II203" s="71"/>
      <c r="IJ203" s="71"/>
      <c r="IK203" s="71"/>
      <c r="IL203" s="71"/>
      <c r="IM203" s="71"/>
      <c r="IN203" s="71"/>
      <c r="IO203" s="71"/>
      <c r="IP203" s="71"/>
      <c r="IQ203" s="71"/>
      <c r="IR203" s="71"/>
      <c r="IS203" s="71"/>
      <c r="IT203" s="71"/>
      <c r="IU203" s="71"/>
      <c r="IV203" s="71"/>
      <c r="IW203" s="71"/>
      <c r="IX203" s="71"/>
      <c r="IY203" s="71"/>
      <c r="IZ203" s="71"/>
      <c r="JA203" s="71"/>
      <c r="JB203" s="71"/>
      <c r="JC203" s="71"/>
      <c r="JD203" s="71"/>
      <c r="JE203" s="71"/>
      <c r="JF203" s="71"/>
      <c r="JG203" s="71"/>
      <c r="JH203" s="71"/>
      <c r="JI203" s="71"/>
      <c r="JJ203" s="71"/>
      <c r="JK203" s="71"/>
      <c r="JL203" s="71"/>
      <c r="JM203" s="71"/>
      <c r="JN203" s="71"/>
      <c r="JO203" s="71"/>
      <c r="JP203" s="71"/>
      <c r="JQ203" s="71"/>
      <c r="JR203" s="71"/>
      <c r="JS203" s="71"/>
      <c r="JT203" s="71"/>
      <c r="JU203" s="71"/>
      <c r="JV203" s="71"/>
      <c r="JW203" s="71"/>
      <c r="JX203" s="71"/>
      <c r="JY203" s="71"/>
      <c r="JZ203" s="71"/>
      <c r="KA203" s="71"/>
      <c r="KB203" s="71"/>
      <c r="KC203" s="71"/>
      <c r="KD203" s="71"/>
      <c r="KE203" s="71"/>
      <c r="KF203" s="71"/>
      <c r="KG203" s="71"/>
      <c r="KH203" s="71"/>
      <c r="KI203" s="71"/>
      <c r="KJ203" s="71"/>
      <c r="KK203" s="71"/>
      <c r="KL203" s="71"/>
      <c r="KM203" s="71"/>
      <c r="KN203" s="71"/>
      <c r="KO203" s="71"/>
      <c r="KP203" s="71"/>
      <c r="KQ203" s="71"/>
      <c r="KR203" s="71"/>
      <c r="KS203" s="71"/>
      <c r="KT203" s="71"/>
      <c r="KU203" s="71"/>
      <c r="KV203" s="71"/>
      <c r="KW203" s="71"/>
      <c r="KX203" s="71"/>
      <c r="KY203" s="71"/>
      <c r="KZ203" s="71"/>
      <c r="LA203" s="71"/>
      <c r="LB203" s="71"/>
      <c r="LC203" s="71"/>
      <c r="LD203" s="71"/>
      <c r="LE203" s="71"/>
      <c r="LF203" s="71"/>
      <c r="LG203" s="71"/>
      <c r="LH203" s="71"/>
      <c r="LI203" s="71"/>
      <c r="LJ203" s="71"/>
      <c r="LK203" s="71"/>
      <c r="LL203" s="71"/>
      <c r="LM203" s="71"/>
      <c r="LN203" s="71"/>
      <c r="LO203" s="71"/>
      <c r="LP203" s="71"/>
      <c r="LQ203" s="71"/>
      <c r="LR203" s="71"/>
      <c r="LS203" s="71"/>
      <c r="LT203" s="71"/>
      <c r="LU203" s="71"/>
      <c r="LV203" s="71"/>
      <c r="LW203" s="71"/>
      <c r="LX203" s="71"/>
      <c r="LY203" s="71"/>
      <c r="LZ203" s="71"/>
      <c r="MA203" s="71"/>
      <c r="MB203" s="71"/>
      <c r="MC203" s="71"/>
      <c r="MD203" s="71"/>
      <c r="ME203" s="71"/>
      <c r="MF203" s="71"/>
      <c r="MG203" s="71"/>
      <c r="MH203" s="71"/>
      <c r="MI203" s="71"/>
      <c r="MJ203" s="71"/>
      <c r="MK203" s="71"/>
      <c r="ML203" s="71"/>
      <c r="MM203" s="71"/>
      <c r="MN203" s="71"/>
      <c r="MO203" s="71"/>
      <c r="MP203" s="71"/>
      <c r="MQ203" s="71"/>
      <c r="MR203" s="71"/>
      <c r="MS203" s="71"/>
      <c r="MT203" s="71"/>
      <c r="MU203" s="71"/>
      <c r="MV203" s="71"/>
      <c r="MW203" s="71"/>
      <c r="MX203" s="71"/>
      <c r="MY203" s="71"/>
      <c r="MZ203" s="71"/>
      <c r="NA203" s="71"/>
      <c r="NB203" s="71"/>
      <c r="NC203" s="71"/>
      <c r="ND203" s="71"/>
      <c r="NE203" s="71"/>
      <c r="NF203" s="71"/>
      <c r="NG203" s="71"/>
      <c r="NH203" s="71"/>
      <c r="NI203" s="71"/>
      <c r="NJ203" s="71"/>
      <c r="NK203" s="71"/>
      <c r="NL203" s="71"/>
      <c r="NM203" s="71"/>
      <c r="NN203" s="71"/>
      <c r="NO203" s="71"/>
      <c r="NP203" s="71"/>
      <c r="NQ203" s="71"/>
      <c r="NR203" s="71"/>
      <c r="NS203" s="71"/>
      <c r="NT203" s="71"/>
      <c r="NU203" s="71"/>
      <c r="NV203" s="71"/>
      <c r="NW203" s="71"/>
      <c r="NX203" s="71"/>
      <c r="NY203" s="71"/>
      <c r="NZ203" s="71"/>
      <c r="OA203" s="71"/>
      <c r="OB203" s="71"/>
      <c r="OC203" s="71"/>
      <c r="OD203" s="71"/>
      <c r="OE203" s="71"/>
      <c r="OF203" s="71"/>
      <c r="OG203" s="71"/>
      <c r="OH203" s="71"/>
      <c r="OI203" s="71"/>
      <c r="OJ203" s="71"/>
      <c r="OK203" s="71"/>
      <c r="OL203" s="71"/>
      <c r="OM203" s="71"/>
      <c r="ON203" s="71"/>
      <c r="OO203" s="71"/>
      <c r="OP203" s="71"/>
      <c r="OQ203" s="71"/>
      <c r="OR203" s="71"/>
      <c r="OS203" s="71"/>
      <c r="OT203" s="71"/>
      <c r="OU203" s="71"/>
      <c r="OV203" s="71"/>
      <c r="OW203" s="71"/>
      <c r="OX203" s="71"/>
      <c r="OY203" s="71"/>
      <c r="OZ203" s="71"/>
      <c r="PA203" s="71"/>
      <c r="PB203" s="71"/>
      <c r="PC203" s="71"/>
      <c r="PD203" s="71"/>
      <c r="PE203" s="71"/>
      <c r="PF203" s="71"/>
      <c r="PG203" s="71"/>
      <c r="PH203" s="71"/>
      <c r="PI203" s="71"/>
      <c r="PJ203" s="71"/>
      <c r="PK203" s="71"/>
      <c r="PL203" s="71"/>
      <c r="PM203" s="71"/>
      <c r="PN203" s="71"/>
      <c r="PO203" s="71"/>
      <c r="PP203" s="71"/>
      <c r="PQ203" s="71"/>
      <c r="PR203" s="71"/>
      <c r="PS203" s="71"/>
      <c r="PT203" s="71"/>
      <c r="PU203" s="71"/>
      <c r="PV203" s="71"/>
      <c r="PW203" s="71"/>
      <c r="PX203" s="71"/>
      <c r="PY203" s="71"/>
      <c r="PZ203" s="71"/>
      <c r="QA203" s="71"/>
      <c r="QB203" s="71"/>
      <c r="QC203" s="71"/>
      <c r="QD203" s="71"/>
      <c r="QE203" s="71"/>
      <c r="QF203" s="71"/>
      <c r="QG203" s="71"/>
      <c r="QH203" s="71"/>
      <c r="QI203" s="71"/>
      <c r="QJ203" s="71"/>
      <c r="QK203" s="71"/>
      <c r="QL203" s="71"/>
      <c r="QM203" s="71"/>
      <c r="QN203" s="71"/>
      <c r="QO203" s="71"/>
      <c r="QP203" s="71"/>
      <c r="QQ203" s="71"/>
      <c r="QR203" s="71"/>
      <c r="QS203" s="71"/>
      <c r="QT203" s="71"/>
      <c r="QU203" s="71"/>
      <c r="QV203" s="71"/>
      <c r="QW203" s="71"/>
      <c r="QX203" s="71"/>
      <c r="QY203" s="71"/>
      <c r="QZ203" s="71"/>
      <c r="RA203" s="71"/>
      <c r="RB203" s="71"/>
      <c r="RC203" s="71"/>
      <c r="RD203" s="71"/>
      <c r="RE203" s="71"/>
      <c r="RF203" s="71"/>
      <c r="RG203" s="71"/>
      <c r="RH203" s="71"/>
      <c r="RI203" s="71"/>
      <c r="RJ203" s="71"/>
      <c r="RK203" s="71"/>
      <c r="RL203" s="71"/>
      <c r="RM203" s="71"/>
      <c r="RN203" s="71"/>
      <c r="RO203" s="71"/>
      <c r="RP203" s="71"/>
      <c r="RQ203" s="71"/>
      <c r="RR203" s="71"/>
      <c r="RS203" s="71"/>
      <c r="RT203" s="71"/>
      <c r="RU203" s="71"/>
      <c r="RV203" s="71"/>
      <c r="RW203" s="71"/>
      <c r="RX203" s="71"/>
      <c r="RY203" s="71"/>
      <c r="RZ203" s="71"/>
      <c r="SA203" s="71"/>
      <c r="SB203" s="71"/>
      <c r="SC203" s="71"/>
      <c r="SD203" s="71"/>
      <c r="SE203" s="71"/>
      <c r="SF203" s="71"/>
      <c r="SG203" s="71"/>
      <c r="SH203" s="71"/>
      <c r="SI203" s="71"/>
      <c r="SJ203" s="71"/>
      <c r="SK203" s="71"/>
      <c r="SL203" s="71"/>
      <c r="SM203" s="71"/>
      <c r="SN203" s="71"/>
      <c r="SO203" s="71"/>
      <c r="SP203" s="71"/>
      <c r="SQ203" s="71"/>
      <c r="SR203" s="71"/>
      <c r="SS203" s="71"/>
      <c r="ST203" s="71"/>
      <c r="SU203" s="71"/>
      <c r="SV203" s="71"/>
      <c r="SW203" s="71"/>
      <c r="SX203" s="71"/>
      <c r="SY203" s="71"/>
      <c r="SZ203" s="71"/>
      <c r="TA203" s="71"/>
      <c r="TB203" s="71"/>
      <c r="TC203" s="71"/>
      <c r="TD203" s="71"/>
      <c r="TE203" s="71"/>
      <c r="TF203" s="71"/>
      <c r="TG203" s="71"/>
      <c r="TH203" s="71"/>
      <c r="TI203" s="71"/>
      <c r="TJ203" s="71"/>
      <c r="TK203" s="71"/>
      <c r="TL203" s="71"/>
      <c r="TM203" s="71"/>
      <c r="TN203" s="71"/>
      <c r="TO203" s="71"/>
      <c r="TP203" s="71"/>
      <c r="TQ203" s="71"/>
      <c r="TR203" s="71"/>
      <c r="TS203" s="71"/>
      <c r="TT203" s="71"/>
      <c r="TU203" s="71"/>
      <c r="TV203" s="71"/>
      <c r="TW203" s="71"/>
      <c r="TX203" s="71"/>
      <c r="TY203" s="71"/>
      <c r="TZ203" s="71"/>
      <c r="UA203" s="71"/>
      <c r="UB203" s="71"/>
      <c r="UC203" s="71"/>
      <c r="UD203" s="71"/>
      <c r="UE203" s="71"/>
      <c r="UF203" s="71"/>
      <c r="UG203" s="71"/>
      <c r="UH203" s="71"/>
      <c r="UI203" s="71"/>
      <c r="UJ203" s="71"/>
      <c r="UK203" s="71"/>
      <c r="UL203" s="71"/>
      <c r="UM203" s="71"/>
      <c r="UN203" s="71"/>
      <c r="UO203" s="71"/>
      <c r="UP203" s="71"/>
      <c r="UQ203" s="71"/>
      <c r="UR203" s="71"/>
      <c r="US203" s="71"/>
      <c r="UT203" s="71"/>
      <c r="UU203" s="71"/>
      <c r="UV203" s="71"/>
      <c r="UW203" s="71"/>
      <c r="UX203" s="71"/>
      <c r="UY203" s="71"/>
      <c r="UZ203" s="71"/>
      <c r="VA203" s="71"/>
      <c r="VB203" s="71"/>
      <c r="VC203" s="71"/>
      <c r="VD203" s="71"/>
      <c r="VE203" s="71"/>
      <c r="VF203" s="71"/>
    </row>
    <row r="204" spans="1:578" s="49" customFormat="1" ht="15" hidden="1" customHeight="1" x14ac:dyDescent="0.2">
      <c r="A204" s="39"/>
      <c r="B204" s="90"/>
      <c r="C204" s="90"/>
      <c r="D204" s="42" t="s">
        <v>344</v>
      </c>
      <c r="E204" s="65">
        <v>0</v>
      </c>
      <c r="F204" s="65"/>
      <c r="G204" s="65"/>
      <c r="H204" s="65"/>
      <c r="I204" s="65"/>
      <c r="J204" s="65"/>
      <c r="K204" s="130" t="e">
        <f t="shared" si="41"/>
        <v>#DIV/0!</v>
      </c>
      <c r="L204" s="65">
        <f t="shared" si="45"/>
        <v>0</v>
      </c>
      <c r="M204" s="65"/>
      <c r="N204" s="65"/>
      <c r="O204" s="65"/>
      <c r="P204" s="65"/>
      <c r="Q204" s="65"/>
      <c r="R204" s="65">
        <f t="shared" si="43"/>
        <v>0</v>
      </c>
      <c r="S204" s="65"/>
      <c r="T204" s="122"/>
      <c r="U204" s="122"/>
      <c r="V204" s="122"/>
      <c r="W204" s="122"/>
      <c r="X204" s="132" t="e">
        <f t="shared" si="44"/>
        <v>#DIV/0!</v>
      </c>
      <c r="Y204" s="65">
        <f t="shared" si="42"/>
        <v>0</v>
      </c>
      <c r="Z204" s="203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1"/>
      <c r="GS204" s="71"/>
      <c r="GT204" s="71"/>
      <c r="GU204" s="71"/>
      <c r="GV204" s="71"/>
      <c r="GW204" s="71"/>
      <c r="GX204" s="71"/>
      <c r="GY204" s="71"/>
      <c r="GZ204" s="71"/>
      <c r="HA204" s="71"/>
      <c r="HB204" s="71"/>
      <c r="HC204" s="71"/>
      <c r="HD204" s="71"/>
      <c r="HE204" s="71"/>
      <c r="HF204" s="71"/>
      <c r="HG204" s="71"/>
      <c r="HH204" s="71"/>
      <c r="HI204" s="71"/>
      <c r="HJ204" s="71"/>
      <c r="HK204" s="71"/>
      <c r="HL204" s="71"/>
      <c r="HM204" s="71"/>
      <c r="HN204" s="71"/>
      <c r="HO204" s="71"/>
      <c r="HP204" s="71"/>
      <c r="HQ204" s="71"/>
      <c r="HR204" s="71"/>
      <c r="HS204" s="71"/>
      <c r="HT204" s="71"/>
      <c r="HU204" s="71"/>
      <c r="HV204" s="71"/>
      <c r="HW204" s="71"/>
      <c r="HX204" s="71"/>
      <c r="HY204" s="71"/>
      <c r="HZ204" s="71"/>
      <c r="IA204" s="71"/>
      <c r="IB204" s="71"/>
      <c r="IC204" s="71"/>
      <c r="ID204" s="71"/>
      <c r="IE204" s="71"/>
      <c r="IF204" s="71"/>
      <c r="IG204" s="71"/>
      <c r="IH204" s="71"/>
      <c r="II204" s="71"/>
      <c r="IJ204" s="71"/>
      <c r="IK204" s="71"/>
      <c r="IL204" s="71"/>
      <c r="IM204" s="71"/>
      <c r="IN204" s="71"/>
      <c r="IO204" s="71"/>
      <c r="IP204" s="71"/>
      <c r="IQ204" s="71"/>
      <c r="IR204" s="71"/>
      <c r="IS204" s="71"/>
      <c r="IT204" s="71"/>
      <c r="IU204" s="71"/>
      <c r="IV204" s="71"/>
      <c r="IW204" s="71"/>
      <c r="IX204" s="71"/>
      <c r="IY204" s="71"/>
      <c r="IZ204" s="71"/>
      <c r="JA204" s="71"/>
      <c r="JB204" s="71"/>
      <c r="JC204" s="71"/>
      <c r="JD204" s="71"/>
      <c r="JE204" s="71"/>
      <c r="JF204" s="71"/>
      <c r="JG204" s="71"/>
      <c r="JH204" s="71"/>
      <c r="JI204" s="71"/>
      <c r="JJ204" s="71"/>
      <c r="JK204" s="71"/>
      <c r="JL204" s="71"/>
      <c r="JM204" s="71"/>
      <c r="JN204" s="71"/>
      <c r="JO204" s="71"/>
      <c r="JP204" s="71"/>
      <c r="JQ204" s="71"/>
      <c r="JR204" s="71"/>
      <c r="JS204" s="71"/>
      <c r="JT204" s="71"/>
      <c r="JU204" s="71"/>
      <c r="JV204" s="71"/>
      <c r="JW204" s="71"/>
      <c r="JX204" s="71"/>
      <c r="JY204" s="71"/>
      <c r="JZ204" s="71"/>
      <c r="KA204" s="71"/>
      <c r="KB204" s="71"/>
      <c r="KC204" s="71"/>
      <c r="KD204" s="71"/>
      <c r="KE204" s="71"/>
      <c r="KF204" s="71"/>
      <c r="KG204" s="71"/>
      <c r="KH204" s="71"/>
      <c r="KI204" s="71"/>
      <c r="KJ204" s="71"/>
      <c r="KK204" s="71"/>
      <c r="KL204" s="71"/>
      <c r="KM204" s="71"/>
      <c r="KN204" s="71"/>
      <c r="KO204" s="71"/>
      <c r="KP204" s="71"/>
      <c r="KQ204" s="71"/>
      <c r="KR204" s="71"/>
      <c r="KS204" s="71"/>
      <c r="KT204" s="71"/>
      <c r="KU204" s="71"/>
      <c r="KV204" s="71"/>
      <c r="KW204" s="71"/>
      <c r="KX204" s="71"/>
      <c r="KY204" s="71"/>
      <c r="KZ204" s="71"/>
      <c r="LA204" s="71"/>
      <c r="LB204" s="71"/>
      <c r="LC204" s="71"/>
      <c r="LD204" s="71"/>
      <c r="LE204" s="71"/>
      <c r="LF204" s="71"/>
      <c r="LG204" s="71"/>
      <c r="LH204" s="71"/>
      <c r="LI204" s="71"/>
      <c r="LJ204" s="71"/>
      <c r="LK204" s="71"/>
      <c r="LL204" s="71"/>
      <c r="LM204" s="71"/>
      <c r="LN204" s="71"/>
      <c r="LO204" s="71"/>
      <c r="LP204" s="71"/>
      <c r="LQ204" s="71"/>
      <c r="LR204" s="71"/>
      <c r="LS204" s="71"/>
      <c r="LT204" s="71"/>
      <c r="LU204" s="71"/>
      <c r="LV204" s="71"/>
      <c r="LW204" s="71"/>
      <c r="LX204" s="71"/>
      <c r="LY204" s="71"/>
      <c r="LZ204" s="71"/>
      <c r="MA204" s="71"/>
      <c r="MB204" s="71"/>
      <c r="MC204" s="71"/>
      <c r="MD204" s="71"/>
      <c r="ME204" s="71"/>
      <c r="MF204" s="71"/>
      <c r="MG204" s="71"/>
      <c r="MH204" s="71"/>
      <c r="MI204" s="71"/>
      <c r="MJ204" s="71"/>
      <c r="MK204" s="71"/>
      <c r="ML204" s="71"/>
      <c r="MM204" s="71"/>
      <c r="MN204" s="71"/>
      <c r="MO204" s="71"/>
      <c r="MP204" s="71"/>
      <c r="MQ204" s="71"/>
      <c r="MR204" s="71"/>
      <c r="MS204" s="71"/>
      <c r="MT204" s="71"/>
      <c r="MU204" s="71"/>
      <c r="MV204" s="71"/>
      <c r="MW204" s="71"/>
      <c r="MX204" s="71"/>
      <c r="MY204" s="71"/>
      <c r="MZ204" s="71"/>
      <c r="NA204" s="71"/>
      <c r="NB204" s="71"/>
      <c r="NC204" s="71"/>
      <c r="ND204" s="71"/>
      <c r="NE204" s="71"/>
      <c r="NF204" s="71"/>
      <c r="NG204" s="71"/>
      <c r="NH204" s="71"/>
      <c r="NI204" s="71"/>
      <c r="NJ204" s="71"/>
      <c r="NK204" s="71"/>
      <c r="NL204" s="71"/>
      <c r="NM204" s="71"/>
      <c r="NN204" s="71"/>
      <c r="NO204" s="71"/>
      <c r="NP204" s="71"/>
      <c r="NQ204" s="71"/>
      <c r="NR204" s="71"/>
      <c r="NS204" s="71"/>
      <c r="NT204" s="71"/>
      <c r="NU204" s="71"/>
      <c r="NV204" s="71"/>
      <c r="NW204" s="71"/>
      <c r="NX204" s="71"/>
      <c r="NY204" s="71"/>
      <c r="NZ204" s="71"/>
      <c r="OA204" s="71"/>
      <c r="OB204" s="71"/>
      <c r="OC204" s="71"/>
      <c r="OD204" s="71"/>
      <c r="OE204" s="71"/>
      <c r="OF204" s="71"/>
      <c r="OG204" s="71"/>
      <c r="OH204" s="71"/>
      <c r="OI204" s="71"/>
      <c r="OJ204" s="71"/>
      <c r="OK204" s="71"/>
      <c r="OL204" s="71"/>
      <c r="OM204" s="71"/>
      <c r="ON204" s="71"/>
      <c r="OO204" s="71"/>
      <c r="OP204" s="71"/>
      <c r="OQ204" s="71"/>
      <c r="OR204" s="71"/>
      <c r="OS204" s="71"/>
      <c r="OT204" s="71"/>
      <c r="OU204" s="71"/>
      <c r="OV204" s="71"/>
      <c r="OW204" s="71"/>
      <c r="OX204" s="71"/>
      <c r="OY204" s="71"/>
      <c r="OZ204" s="71"/>
      <c r="PA204" s="71"/>
      <c r="PB204" s="71"/>
      <c r="PC204" s="71"/>
      <c r="PD204" s="71"/>
      <c r="PE204" s="71"/>
      <c r="PF204" s="71"/>
      <c r="PG204" s="71"/>
      <c r="PH204" s="71"/>
      <c r="PI204" s="71"/>
      <c r="PJ204" s="71"/>
      <c r="PK204" s="71"/>
      <c r="PL204" s="71"/>
      <c r="PM204" s="71"/>
      <c r="PN204" s="71"/>
      <c r="PO204" s="71"/>
      <c r="PP204" s="71"/>
      <c r="PQ204" s="71"/>
      <c r="PR204" s="71"/>
      <c r="PS204" s="71"/>
      <c r="PT204" s="71"/>
      <c r="PU204" s="71"/>
      <c r="PV204" s="71"/>
      <c r="PW204" s="71"/>
      <c r="PX204" s="71"/>
      <c r="PY204" s="71"/>
      <c r="PZ204" s="71"/>
      <c r="QA204" s="71"/>
      <c r="QB204" s="71"/>
      <c r="QC204" s="71"/>
      <c r="QD204" s="71"/>
      <c r="QE204" s="71"/>
      <c r="QF204" s="71"/>
      <c r="QG204" s="71"/>
      <c r="QH204" s="71"/>
      <c r="QI204" s="71"/>
      <c r="QJ204" s="71"/>
      <c r="QK204" s="71"/>
      <c r="QL204" s="71"/>
      <c r="QM204" s="71"/>
      <c r="QN204" s="71"/>
      <c r="QO204" s="71"/>
      <c r="QP204" s="71"/>
      <c r="QQ204" s="71"/>
      <c r="QR204" s="71"/>
      <c r="QS204" s="71"/>
      <c r="QT204" s="71"/>
      <c r="QU204" s="71"/>
      <c r="QV204" s="71"/>
      <c r="QW204" s="71"/>
      <c r="QX204" s="71"/>
      <c r="QY204" s="71"/>
      <c r="QZ204" s="71"/>
      <c r="RA204" s="71"/>
      <c r="RB204" s="71"/>
      <c r="RC204" s="71"/>
      <c r="RD204" s="71"/>
      <c r="RE204" s="71"/>
      <c r="RF204" s="71"/>
      <c r="RG204" s="71"/>
      <c r="RH204" s="71"/>
      <c r="RI204" s="71"/>
      <c r="RJ204" s="71"/>
      <c r="RK204" s="71"/>
      <c r="RL204" s="71"/>
      <c r="RM204" s="71"/>
      <c r="RN204" s="71"/>
      <c r="RO204" s="71"/>
      <c r="RP204" s="71"/>
      <c r="RQ204" s="71"/>
      <c r="RR204" s="71"/>
      <c r="RS204" s="71"/>
      <c r="RT204" s="71"/>
      <c r="RU204" s="71"/>
      <c r="RV204" s="71"/>
      <c r="RW204" s="71"/>
      <c r="RX204" s="71"/>
      <c r="RY204" s="71"/>
      <c r="RZ204" s="71"/>
      <c r="SA204" s="71"/>
      <c r="SB204" s="71"/>
      <c r="SC204" s="71"/>
      <c r="SD204" s="71"/>
      <c r="SE204" s="71"/>
      <c r="SF204" s="71"/>
      <c r="SG204" s="71"/>
      <c r="SH204" s="71"/>
      <c r="SI204" s="71"/>
      <c r="SJ204" s="71"/>
      <c r="SK204" s="71"/>
      <c r="SL204" s="71"/>
      <c r="SM204" s="71"/>
      <c r="SN204" s="71"/>
      <c r="SO204" s="71"/>
      <c r="SP204" s="71"/>
      <c r="SQ204" s="71"/>
      <c r="SR204" s="71"/>
      <c r="SS204" s="71"/>
      <c r="ST204" s="71"/>
      <c r="SU204" s="71"/>
      <c r="SV204" s="71"/>
      <c r="SW204" s="71"/>
      <c r="SX204" s="71"/>
      <c r="SY204" s="71"/>
      <c r="SZ204" s="71"/>
      <c r="TA204" s="71"/>
      <c r="TB204" s="71"/>
      <c r="TC204" s="71"/>
      <c r="TD204" s="71"/>
      <c r="TE204" s="71"/>
      <c r="TF204" s="71"/>
      <c r="TG204" s="71"/>
      <c r="TH204" s="71"/>
      <c r="TI204" s="71"/>
      <c r="TJ204" s="71"/>
      <c r="TK204" s="71"/>
      <c r="TL204" s="71"/>
      <c r="TM204" s="71"/>
      <c r="TN204" s="71"/>
      <c r="TO204" s="71"/>
      <c r="TP204" s="71"/>
      <c r="TQ204" s="71"/>
      <c r="TR204" s="71"/>
      <c r="TS204" s="71"/>
      <c r="TT204" s="71"/>
      <c r="TU204" s="71"/>
      <c r="TV204" s="71"/>
      <c r="TW204" s="71"/>
      <c r="TX204" s="71"/>
      <c r="TY204" s="71"/>
      <c r="TZ204" s="71"/>
      <c r="UA204" s="71"/>
      <c r="UB204" s="71"/>
      <c r="UC204" s="71"/>
      <c r="UD204" s="71"/>
      <c r="UE204" s="71"/>
      <c r="UF204" s="71"/>
      <c r="UG204" s="71"/>
      <c r="UH204" s="71"/>
      <c r="UI204" s="71"/>
      <c r="UJ204" s="71"/>
      <c r="UK204" s="71"/>
      <c r="UL204" s="71"/>
      <c r="UM204" s="71"/>
      <c r="UN204" s="71"/>
      <c r="UO204" s="71"/>
      <c r="UP204" s="71"/>
      <c r="UQ204" s="71"/>
      <c r="UR204" s="71"/>
      <c r="US204" s="71"/>
      <c r="UT204" s="71"/>
      <c r="UU204" s="71"/>
      <c r="UV204" s="71"/>
      <c r="UW204" s="71"/>
      <c r="UX204" s="71"/>
      <c r="UY204" s="71"/>
      <c r="UZ204" s="71"/>
      <c r="VA204" s="71"/>
      <c r="VB204" s="71"/>
      <c r="VC204" s="71"/>
      <c r="VD204" s="71"/>
      <c r="VE204" s="71"/>
      <c r="VF204" s="71"/>
    </row>
    <row r="205" spans="1:578" s="41" customFormat="1" ht="22.5" customHeight="1" x14ac:dyDescent="0.2">
      <c r="A205" s="39" t="s">
        <v>198</v>
      </c>
      <c r="B205" s="90" t="str">
        <f>'дод 3'!A185</f>
        <v>7640</v>
      </c>
      <c r="C205" s="90" t="str">
        <f>'дод 3'!B185</f>
        <v>0470</v>
      </c>
      <c r="D205" s="42" t="str">
        <f>'дод 3'!C185</f>
        <v>Заходи з енергозбереження</v>
      </c>
      <c r="E205" s="65">
        <v>0</v>
      </c>
      <c r="F205" s="65"/>
      <c r="G205" s="65"/>
      <c r="H205" s="65"/>
      <c r="I205" s="65"/>
      <c r="J205" s="65"/>
      <c r="K205" s="130"/>
      <c r="L205" s="65">
        <f t="shared" si="45"/>
        <v>1006000</v>
      </c>
      <c r="M205" s="65">
        <v>1006000</v>
      </c>
      <c r="N205" s="65"/>
      <c r="O205" s="65"/>
      <c r="P205" s="65"/>
      <c r="Q205" s="65">
        <v>1006000</v>
      </c>
      <c r="R205" s="65">
        <f t="shared" si="43"/>
        <v>0</v>
      </c>
      <c r="S205" s="65"/>
      <c r="T205" s="65"/>
      <c r="U205" s="65"/>
      <c r="V205" s="65"/>
      <c r="W205" s="65"/>
      <c r="X205" s="132">
        <f t="shared" si="44"/>
        <v>0</v>
      </c>
      <c r="Y205" s="65">
        <f t="shared" si="42"/>
        <v>0</v>
      </c>
      <c r="Z205" s="203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47"/>
      <c r="KC205" s="47"/>
      <c r="KD205" s="47"/>
      <c r="KE205" s="47"/>
      <c r="KF205" s="47"/>
      <c r="KG205" s="47"/>
      <c r="KH205" s="47"/>
      <c r="KI205" s="47"/>
      <c r="KJ205" s="47"/>
      <c r="KK205" s="47"/>
      <c r="KL205" s="47"/>
      <c r="KM205" s="47"/>
      <c r="KN205" s="47"/>
      <c r="KO205" s="47"/>
      <c r="KP205" s="47"/>
      <c r="KQ205" s="47"/>
      <c r="KR205" s="47"/>
      <c r="KS205" s="47"/>
      <c r="KT205" s="47"/>
      <c r="KU205" s="47"/>
      <c r="KV205" s="47"/>
      <c r="KW205" s="47"/>
      <c r="KX205" s="47"/>
      <c r="KY205" s="47"/>
      <c r="KZ205" s="47"/>
      <c r="LA205" s="47"/>
      <c r="LB205" s="47"/>
      <c r="LC205" s="47"/>
      <c r="LD205" s="47"/>
      <c r="LE205" s="47"/>
      <c r="LF205" s="47"/>
      <c r="LG205" s="47"/>
      <c r="LH205" s="47"/>
      <c r="LI205" s="47"/>
      <c r="LJ205" s="47"/>
      <c r="LK205" s="47"/>
      <c r="LL205" s="47"/>
      <c r="LM205" s="47"/>
      <c r="LN205" s="47"/>
      <c r="LO205" s="47"/>
      <c r="LP205" s="47"/>
      <c r="LQ205" s="47"/>
      <c r="LR205" s="47"/>
      <c r="LS205" s="47"/>
      <c r="LT205" s="47"/>
      <c r="LU205" s="47"/>
      <c r="LV205" s="47"/>
      <c r="LW205" s="47"/>
      <c r="LX205" s="47"/>
      <c r="LY205" s="47"/>
      <c r="LZ205" s="47"/>
      <c r="MA205" s="47"/>
      <c r="MB205" s="47"/>
      <c r="MC205" s="47"/>
      <c r="MD205" s="47"/>
      <c r="ME205" s="47"/>
      <c r="MF205" s="47"/>
      <c r="MG205" s="47"/>
      <c r="MH205" s="47"/>
      <c r="MI205" s="47"/>
      <c r="MJ205" s="47"/>
      <c r="MK205" s="47"/>
      <c r="ML205" s="47"/>
      <c r="MM205" s="47"/>
      <c r="MN205" s="47"/>
      <c r="MO205" s="47"/>
      <c r="MP205" s="47"/>
      <c r="MQ205" s="47"/>
      <c r="MR205" s="47"/>
      <c r="MS205" s="47"/>
      <c r="MT205" s="47"/>
      <c r="MU205" s="47"/>
      <c r="MV205" s="47"/>
      <c r="MW205" s="47"/>
      <c r="MX205" s="47"/>
      <c r="MY205" s="47"/>
      <c r="MZ205" s="47"/>
      <c r="NA205" s="47"/>
      <c r="NB205" s="47"/>
      <c r="NC205" s="47"/>
      <c r="ND205" s="47"/>
      <c r="NE205" s="47"/>
      <c r="NF205" s="47"/>
      <c r="NG205" s="47"/>
      <c r="NH205" s="47"/>
      <c r="NI205" s="47"/>
      <c r="NJ205" s="47"/>
      <c r="NK205" s="47"/>
      <c r="NL205" s="47"/>
      <c r="NM205" s="47"/>
      <c r="NN205" s="47"/>
      <c r="NO205" s="47"/>
      <c r="NP205" s="47"/>
      <c r="NQ205" s="47"/>
      <c r="NR205" s="47"/>
      <c r="NS205" s="47"/>
      <c r="NT205" s="47"/>
      <c r="NU205" s="47"/>
      <c r="NV205" s="47"/>
      <c r="NW205" s="47"/>
      <c r="NX205" s="47"/>
      <c r="NY205" s="47"/>
      <c r="NZ205" s="47"/>
      <c r="OA205" s="47"/>
      <c r="OB205" s="47"/>
      <c r="OC205" s="47"/>
      <c r="OD205" s="47"/>
      <c r="OE205" s="47"/>
      <c r="OF205" s="47"/>
      <c r="OG205" s="47"/>
      <c r="OH205" s="47"/>
      <c r="OI205" s="47"/>
      <c r="OJ205" s="47"/>
      <c r="OK205" s="47"/>
      <c r="OL205" s="47"/>
      <c r="OM205" s="47"/>
      <c r="ON205" s="47"/>
      <c r="OO205" s="47"/>
      <c r="OP205" s="47"/>
      <c r="OQ205" s="47"/>
      <c r="OR205" s="47"/>
      <c r="OS205" s="47"/>
      <c r="OT205" s="47"/>
      <c r="OU205" s="47"/>
      <c r="OV205" s="47"/>
      <c r="OW205" s="47"/>
      <c r="OX205" s="47"/>
      <c r="OY205" s="47"/>
      <c r="OZ205" s="47"/>
      <c r="PA205" s="47"/>
      <c r="PB205" s="47"/>
      <c r="PC205" s="47"/>
      <c r="PD205" s="47"/>
      <c r="PE205" s="47"/>
      <c r="PF205" s="47"/>
      <c r="PG205" s="47"/>
      <c r="PH205" s="47"/>
      <c r="PI205" s="47"/>
      <c r="PJ205" s="47"/>
      <c r="PK205" s="47"/>
      <c r="PL205" s="47"/>
      <c r="PM205" s="47"/>
      <c r="PN205" s="47"/>
      <c r="PO205" s="47"/>
      <c r="PP205" s="47"/>
      <c r="PQ205" s="47"/>
      <c r="PR205" s="47"/>
      <c r="PS205" s="47"/>
      <c r="PT205" s="47"/>
      <c r="PU205" s="47"/>
      <c r="PV205" s="47"/>
      <c r="PW205" s="47"/>
      <c r="PX205" s="47"/>
      <c r="PY205" s="47"/>
      <c r="PZ205" s="47"/>
      <c r="QA205" s="47"/>
      <c r="QB205" s="47"/>
      <c r="QC205" s="47"/>
      <c r="QD205" s="47"/>
      <c r="QE205" s="47"/>
      <c r="QF205" s="47"/>
      <c r="QG205" s="47"/>
      <c r="QH205" s="47"/>
      <c r="QI205" s="47"/>
      <c r="QJ205" s="47"/>
      <c r="QK205" s="47"/>
      <c r="QL205" s="47"/>
      <c r="QM205" s="47"/>
      <c r="QN205" s="47"/>
      <c r="QO205" s="47"/>
      <c r="QP205" s="47"/>
      <c r="QQ205" s="47"/>
      <c r="QR205" s="47"/>
      <c r="QS205" s="47"/>
      <c r="QT205" s="47"/>
      <c r="QU205" s="47"/>
      <c r="QV205" s="47"/>
      <c r="QW205" s="47"/>
      <c r="QX205" s="47"/>
      <c r="QY205" s="47"/>
      <c r="QZ205" s="47"/>
      <c r="RA205" s="47"/>
      <c r="RB205" s="47"/>
      <c r="RC205" s="47"/>
      <c r="RD205" s="47"/>
      <c r="RE205" s="47"/>
      <c r="RF205" s="47"/>
      <c r="RG205" s="47"/>
      <c r="RH205" s="47"/>
      <c r="RI205" s="47"/>
      <c r="RJ205" s="47"/>
      <c r="RK205" s="47"/>
      <c r="RL205" s="47"/>
      <c r="RM205" s="47"/>
      <c r="RN205" s="47"/>
      <c r="RO205" s="47"/>
      <c r="RP205" s="47"/>
      <c r="RQ205" s="47"/>
      <c r="RR205" s="47"/>
      <c r="RS205" s="47"/>
      <c r="RT205" s="47"/>
      <c r="RU205" s="47"/>
      <c r="RV205" s="47"/>
      <c r="RW205" s="47"/>
      <c r="RX205" s="47"/>
      <c r="RY205" s="47"/>
      <c r="RZ205" s="47"/>
      <c r="SA205" s="47"/>
      <c r="SB205" s="47"/>
      <c r="SC205" s="47"/>
      <c r="SD205" s="47"/>
      <c r="SE205" s="47"/>
      <c r="SF205" s="47"/>
      <c r="SG205" s="47"/>
      <c r="SH205" s="47"/>
      <c r="SI205" s="47"/>
      <c r="SJ205" s="47"/>
      <c r="SK205" s="47"/>
      <c r="SL205" s="47"/>
      <c r="SM205" s="47"/>
      <c r="SN205" s="47"/>
      <c r="SO205" s="47"/>
      <c r="SP205" s="47"/>
      <c r="SQ205" s="47"/>
      <c r="SR205" s="47"/>
      <c r="SS205" s="47"/>
      <c r="ST205" s="47"/>
      <c r="SU205" s="47"/>
      <c r="SV205" s="47"/>
      <c r="SW205" s="47"/>
      <c r="SX205" s="47"/>
      <c r="SY205" s="47"/>
      <c r="SZ205" s="47"/>
      <c r="TA205" s="47"/>
      <c r="TB205" s="47"/>
      <c r="TC205" s="47"/>
      <c r="TD205" s="47"/>
      <c r="TE205" s="47"/>
      <c r="TF205" s="47"/>
      <c r="TG205" s="47"/>
      <c r="TH205" s="47"/>
      <c r="TI205" s="47"/>
      <c r="TJ205" s="47"/>
      <c r="TK205" s="47"/>
      <c r="TL205" s="47"/>
      <c r="TM205" s="47"/>
      <c r="TN205" s="47"/>
      <c r="TO205" s="47"/>
      <c r="TP205" s="47"/>
      <c r="TQ205" s="47"/>
      <c r="TR205" s="47"/>
      <c r="TS205" s="47"/>
      <c r="TT205" s="47"/>
      <c r="TU205" s="47"/>
      <c r="TV205" s="47"/>
      <c r="TW205" s="47"/>
      <c r="TX205" s="47"/>
      <c r="TY205" s="47"/>
      <c r="TZ205" s="47"/>
      <c r="UA205" s="47"/>
      <c r="UB205" s="47"/>
      <c r="UC205" s="47"/>
      <c r="UD205" s="47"/>
      <c r="UE205" s="47"/>
      <c r="UF205" s="47"/>
      <c r="UG205" s="47"/>
      <c r="UH205" s="47"/>
      <c r="UI205" s="47"/>
      <c r="UJ205" s="47"/>
      <c r="UK205" s="47"/>
      <c r="UL205" s="47"/>
      <c r="UM205" s="47"/>
      <c r="UN205" s="47"/>
      <c r="UO205" s="47"/>
      <c r="UP205" s="47"/>
      <c r="UQ205" s="47"/>
      <c r="UR205" s="47"/>
      <c r="US205" s="47"/>
      <c r="UT205" s="47"/>
      <c r="UU205" s="47"/>
      <c r="UV205" s="47"/>
      <c r="UW205" s="47"/>
      <c r="UX205" s="47"/>
      <c r="UY205" s="47"/>
      <c r="UZ205" s="47"/>
      <c r="VA205" s="47"/>
      <c r="VB205" s="47"/>
      <c r="VC205" s="47"/>
      <c r="VD205" s="47"/>
      <c r="VE205" s="47"/>
      <c r="VF205" s="47"/>
    </row>
    <row r="206" spans="1:578" s="57" customFormat="1" ht="30" customHeight="1" x14ac:dyDescent="0.2">
      <c r="A206" s="55" t="s">
        <v>260</v>
      </c>
      <c r="B206" s="99"/>
      <c r="C206" s="99"/>
      <c r="D206" s="56" t="s">
        <v>54</v>
      </c>
      <c r="E206" s="79">
        <v>214004717</v>
      </c>
      <c r="F206" s="79">
        <f t="shared" ref="F206:W206" si="59">F207</f>
        <v>8745720</v>
      </c>
      <c r="G206" s="79">
        <f t="shared" si="59"/>
        <v>21595739</v>
      </c>
      <c r="H206" s="79">
        <f t="shared" si="59"/>
        <v>45050845.359999999</v>
      </c>
      <c r="I206" s="79">
        <f t="shared" si="59"/>
        <v>1950735.49</v>
      </c>
      <c r="J206" s="79">
        <f t="shared" si="59"/>
        <v>7761055.5700000003</v>
      </c>
      <c r="K206" s="129">
        <f t="shared" si="41"/>
        <v>21.051332882536418</v>
      </c>
      <c r="L206" s="79">
        <f t="shared" si="59"/>
        <v>174920294.29000002</v>
      </c>
      <c r="M206" s="79">
        <f t="shared" si="59"/>
        <v>169726558.88</v>
      </c>
      <c r="N206" s="79">
        <f t="shared" si="59"/>
        <v>2052835.41</v>
      </c>
      <c r="O206" s="79">
        <f t="shared" si="59"/>
        <v>0</v>
      </c>
      <c r="P206" s="79">
        <f t="shared" si="59"/>
        <v>0</v>
      </c>
      <c r="Q206" s="79">
        <f t="shared" si="59"/>
        <v>172867458.88</v>
      </c>
      <c r="R206" s="79">
        <f t="shared" si="59"/>
        <v>6509191.5700000003</v>
      </c>
      <c r="S206" s="79">
        <f t="shared" si="59"/>
        <v>6509191.5700000003</v>
      </c>
      <c r="T206" s="79">
        <f t="shared" si="59"/>
        <v>0</v>
      </c>
      <c r="U206" s="79">
        <f t="shared" si="59"/>
        <v>0</v>
      </c>
      <c r="V206" s="79">
        <f t="shared" si="59"/>
        <v>0</v>
      </c>
      <c r="W206" s="79">
        <f t="shared" si="59"/>
        <v>6509191.5700000003</v>
      </c>
      <c r="X206" s="131">
        <f t="shared" si="44"/>
        <v>3.7212329172099516</v>
      </c>
      <c r="Y206" s="79">
        <f t="shared" si="42"/>
        <v>51560036.93</v>
      </c>
      <c r="Z206" s="20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3"/>
      <c r="ID206" s="73"/>
      <c r="IE206" s="73"/>
      <c r="IF206" s="73"/>
      <c r="IG206" s="73"/>
      <c r="IH206" s="73"/>
      <c r="II206" s="73"/>
      <c r="IJ206" s="73"/>
      <c r="IK206" s="73"/>
      <c r="IL206" s="73"/>
      <c r="IM206" s="73"/>
      <c r="IN206" s="73"/>
      <c r="IO206" s="73"/>
      <c r="IP206" s="73"/>
      <c r="IQ206" s="73"/>
      <c r="IR206" s="73"/>
      <c r="IS206" s="73"/>
      <c r="IT206" s="73"/>
      <c r="IU206" s="73"/>
      <c r="IV206" s="73"/>
      <c r="IW206" s="73"/>
      <c r="IX206" s="73"/>
      <c r="IY206" s="73"/>
      <c r="IZ206" s="73"/>
      <c r="JA206" s="73"/>
      <c r="JB206" s="73"/>
      <c r="JC206" s="73"/>
      <c r="JD206" s="73"/>
      <c r="JE206" s="73"/>
      <c r="JF206" s="73"/>
      <c r="JG206" s="73"/>
      <c r="JH206" s="73"/>
      <c r="JI206" s="73"/>
      <c r="JJ206" s="73"/>
      <c r="JK206" s="73"/>
      <c r="JL206" s="73"/>
      <c r="JM206" s="73"/>
      <c r="JN206" s="73"/>
      <c r="JO206" s="73"/>
      <c r="JP206" s="73"/>
      <c r="JQ206" s="73"/>
      <c r="JR206" s="73"/>
      <c r="JS206" s="73"/>
      <c r="JT206" s="73"/>
      <c r="JU206" s="73"/>
      <c r="JV206" s="73"/>
      <c r="JW206" s="73"/>
      <c r="JX206" s="73"/>
      <c r="JY206" s="73"/>
      <c r="JZ206" s="73"/>
      <c r="KA206" s="73"/>
      <c r="KB206" s="73"/>
      <c r="KC206" s="73"/>
      <c r="KD206" s="73"/>
      <c r="KE206" s="73"/>
      <c r="KF206" s="73"/>
      <c r="KG206" s="73"/>
      <c r="KH206" s="73"/>
      <c r="KI206" s="73"/>
      <c r="KJ206" s="73"/>
      <c r="KK206" s="73"/>
      <c r="KL206" s="73"/>
      <c r="KM206" s="73"/>
      <c r="KN206" s="73"/>
      <c r="KO206" s="73"/>
      <c r="KP206" s="73"/>
      <c r="KQ206" s="73"/>
      <c r="KR206" s="73"/>
      <c r="KS206" s="73"/>
      <c r="KT206" s="73"/>
      <c r="KU206" s="73"/>
      <c r="KV206" s="73"/>
      <c r="KW206" s="73"/>
      <c r="KX206" s="73"/>
      <c r="KY206" s="73"/>
      <c r="KZ206" s="73"/>
      <c r="LA206" s="73"/>
      <c r="LB206" s="73"/>
      <c r="LC206" s="73"/>
      <c r="LD206" s="73"/>
      <c r="LE206" s="73"/>
      <c r="LF206" s="73"/>
      <c r="LG206" s="73"/>
      <c r="LH206" s="73"/>
      <c r="LI206" s="73"/>
      <c r="LJ206" s="73"/>
      <c r="LK206" s="73"/>
      <c r="LL206" s="73"/>
      <c r="LM206" s="73"/>
      <c r="LN206" s="73"/>
      <c r="LO206" s="73"/>
      <c r="LP206" s="73"/>
      <c r="LQ206" s="73"/>
      <c r="LR206" s="73"/>
      <c r="LS206" s="73"/>
      <c r="LT206" s="73"/>
      <c r="LU206" s="73"/>
      <c r="LV206" s="73"/>
      <c r="LW206" s="73"/>
      <c r="LX206" s="73"/>
      <c r="LY206" s="73"/>
      <c r="LZ206" s="73"/>
      <c r="MA206" s="73"/>
      <c r="MB206" s="73"/>
      <c r="MC206" s="73"/>
      <c r="MD206" s="73"/>
      <c r="ME206" s="73"/>
      <c r="MF206" s="73"/>
      <c r="MG206" s="73"/>
      <c r="MH206" s="73"/>
      <c r="MI206" s="73"/>
      <c r="MJ206" s="73"/>
      <c r="MK206" s="73"/>
      <c r="ML206" s="73"/>
      <c r="MM206" s="73"/>
      <c r="MN206" s="73"/>
      <c r="MO206" s="73"/>
      <c r="MP206" s="73"/>
      <c r="MQ206" s="73"/>
      <c r="MR206" s="73"/>
      <c r="MS206" s="73"/>
      <c r="MT206" s="73"/>
      <c r="MU206" s="73"/>
      <c r="MV206" s="73"/>
      <c r="MW206" s="73"/>
      <c r="MX206" s="73"/>
      <c r="MY206" s="73"/>
      <c r="MZ206" s="73"/>
      <c r="NA206" s="73"/>
      <c r="NB206" s="73"/>
      <c r="NC206" s="73"/>
      <c r="ND206" s="73"/>
      <c r="NE206" s="73"/>
      <c r="NF206" s="73"/>
      <c r="NG206" s="73"/>
      <c r="NH206" s="73"/>
      <c r="NI206" s="73"/>
      <c r="NJ206" s="73"/>
      <c r="NK206" s="73"/>
      <c r="NL206" s="73"/>
      <c r="NM206" s="73"/>
      <c r="NN206" s="73"/>
      <c r="NO206" s="73"/>
      <c r="NP206" s="73"/>
      <c r="NQ206" s="73"/>
      <c r="NR206" s="73"/>
      <c r="NS206" s="73"/>
      <c r="NT206" s="73"/>
      <c r="NU206" s="73"/>
      <c r="NV206" s="73"/>
      <c r="NW206" s="73"/>
      <c r="NX206" s="73"/>
      <c r="NY206" s="73"/>
      <c r="NZ206" s="73"/>
      <c r="OA206" s="73"/>
      <c r="OB206" s="73"/>
      <c r="OC206" s="73"/>
      <c r="OD206" s="73"/>
      <c r="OE206" s="73"/>
      <c r="OF206" s="73"/>
      <c r="OG206" s="73"/>
      <c r="OH206" s="73"/>
      <c r="OI206" s="73"/>
      <c r="OJ206" s="73"/>
      <c r="OK206" s="73"/>
      <c r="OL206" s="73"/>
      <c r="OM206" s="73"/>
      <c r="ON206" s="73"/>
      <c r="OO206" s="73"/>
      <c r="OP206" s="73"/>
      <c r="OQ206" s="73"/>
      <c r="OR206" s="73"/>
      <c r="OS206" s="73"/>
      <c r="OT206" s="73"/>
      <c r="OU206" s="73"/>
      <c r="OV206" s="73"/>
      <c r="OW206" s="73"/>
      <c r="OX206" s="73"/>
      <c r="OY206" s="73"/>
      <c r="OZ206" s="73"/>
      <c r="PA206" s="73"/>
      <c r="PB206" s="73"/>
      <c r="PC206" s="73"/>
      <c r="PD206" s="73"/>
      <c r="PE206" s="73"/>
      <c r="PF206" s="73"/>
      <c r="PG206" s="73"/>
      <c r="PH206" s="73"/>
      <c r="PI206" s="73"/>
      <c r="PJ206" s="73"/>
      <c r="PK206" s="73"/>
      <c r="PL206" s="73"/>
      <c r="PM206" s="73"/>
      <c r="PN206" s="73"/>
      <c r="PO206" s="73"/>
      <c r="PP206" s="73"/>
      <c r="PQ206" s="73"/>
      <c r="PR206" s="73"/>
      <c r="PS206" s="73"/>
      <c r="PT206" s="73"/>
      <c r="PU206" s="73"/>
      <c r="PV206" s="73"/>
      <c r="PW206" s="73"/>
      <c r="PX206" s="73"/>
      <c r="PY206" s="73"/>
      <c r="PZ206" s="73"/>
      <c r="QA206" s="73"/>
      <c r="QB206" s="73"/>
      <c r="QC206" s="73"/>
      <c r="QD206" s="73"/>
      <c r="QE206" s="73"/>
      <c r="QF206" s="73"/>
      <c r="QG206" s="73"/>
      <c r="QH206" s="73"/>
      <c r="QI206" s="73"/>
      <c r="QJ206" s="73"/>
      <c r="QK206" s="73"/>
      <c r="QL206" s="73"/>
      <c r="QM206" s="73"/>
      <c r="QN206" s="73"/>
      <c r="QO206" s="73"/>
      <c r="QP206" s="73"/>
      <c r="QQ206" s="73"/>
      <c r="QR206" s="73"/>
      <c r="QS206" s="73"/>
      <c r="QT206" s="73"/>
      <c r="QU206" s="73"/>
      <c r="QV206" s="73"/>
      <c r="QW206" s="73"/>
      <c r="QX206" s="73"/>
      <c r="QY206" s="73"/>
      <c r="QZ206" s="73"/>
      <c r="RA206" s="73"/>
      <c r="RB206" s="73"/>
      <c r="RC206" s="73"/>
      <c r="RD206" s="73"/>
      <c r="RE206" s="73"/>
      <c r="RF206" s="73"/>
      <c r="RG206" s="73"/>
      <c r="RH206" s="73"/>
      <c r="RI206" s="73"/>
      <c r="RJ206" s="73"/>
      <c r="RK206" s="73"/>
      <c r="RL206" s="73"/>
      <c r="RM206" s="73"/>
      <c r="RN206" s="73"/>
      <c r="RO206" s="73"/>
      <c r="RP206" s="73"/>
      <c r="RQ206" s="73"/>
      <c r="RR206" s="73"/>
      <c r="RS206" s="73"/>
      <c r="RT206" s="73"/>
      <c r="RU206" s="73"/>
      <c r="RV206" s="73"/>
      <c r="RW206" s="73"/>
      <c r="RX206" s="73"/>
      <c r="RY206" s="73"/>
      <c r="RZ206" s="73"/>
      <c r="SA206" s="73"/>
      <c r="SB206" s="73"/>
      <c r="SC206" s="73"/>
      <c r="SD206" s="73"/>
      <c r="SE206" s="73"/>
      <c r="SF206" s="73"/>
      <c r="SG206" s="73"/>
      <c r="SH206" s="73"/>
      <c r="SI206" s="73"/>
      <c r="SJ206" s="73"/>
      <c r="SK206" s="73"/>
      <c r="SL206" s="73"/>
      <c r="SM206" s="73"/>
      <c r="SN206" s="73"/>
      <c r="SO206" s="73"/>
      <c r="SP206" s="73"/>
      <c r="SQ206" s="73"/>
      <c r="SR206" s="73"/>
      <c r="SS206" s="73"/>
      <c r="ST206" s="73"/>
      <c r="SU206" s="73"/>
      <c r="SV206" s="73"/>
      <c r="SW206" s="73"/>
      <c r="SX206" s="73"/>
      <c r="SY206" s="73"/>
      <c r="SZ206" s="73"/>
      <c r="TA206" s="73"/>
      <c r="TB206" s="73"/>
      <c r="TC206" s="73"/>
      <c r="TD206" s="73"/>
      <c r="TE206" s="73"/>
      <c r="TF206" s="73"/>
      <c r="TG206" s="73"/>
      <c r="TH206" s="73"/>
      <c r="TI206" s="73"/>
      <c r="TJ206" s="73"/>
      <c r="TK206" s="73"/>
      <c r="TL206" s="73"/>
      <c r="TM206" s="73"/>
      <c r="TN206" s="73"/>
      <c r="TO206" s="73"/>
      <c r="TP206" s="73"/>
      <c r="TQ206" s="73"/>
      <c r="TR206" s="73"/>
      <c r="TS206" s="73"/>
      <c r="TT206" s="73"/>
      <c r="TU206" s="73"/>
      <c r="TV206" s="73"/>
      <c r="TW206" s="73"/>
      <c r="TX206" s="73"/>
      <c r="TY206" s="73"/>
      <c r="TZ206" s="73"/>
      <c r="UA206" s="73"/>
      <c r="UB206" s="73"/>
      <c r="UC206" s="73"/>
      <c r="UD206" s="73"/>
      <c r="UE206" s="73"/>
      <c r="UF206" s="73"/>
      <c r="UG206" s="73"/>
      <c r="UH206" s="73"/>
      <c r="UI206" s="73"/>
      <c r="UJ206" s="73"/>
      <c r="UK206" s="73"/>
      <c r="UL206" s="73"/>
      <c r="UM206" s="73"/>
      <c r="UN206" s="73"/>
      <c r="UO206" s="73"/>
      <c r="UP206" s="73"/>
      <c r="UQ206" s="73"/>
      <c r="UR206" s="73"/>
      <c r="US206" s="73"/>
      <c r="UT206" s="73"/>
      <c r="UU206" s="73"/>
      <c r="UV206" s="73"/>
      <c r="UW206" s="73"/>
      <c r="UX206" s="73"/>
      <c r="UY206" s="73"/>
      <c r="UZ206" s="73"/>
      <c r="VA206" s="73"/>
      <c r="VB206" s="73"/>
      <c r="VC206" s="73"/>
      <c r="VD206" s="73"/>
      <c r="VE206" s="73"/>
      <c r="VF206" s="73"/>
    </row>
    <row r="207" spans="1:578" s="75" customFormat="1" ht="32.25" customHeight="1" x14ac:dyDescent="0.2">
      <c r="A207" s="60" t="s">
        <v>261</v>
      </c>
      <c r="B207" s="100"/>
      <c r="C207" s="100"/>
      <c r="D207" s="61" t="s">
        <v>54</v>
      </c>
      <c r="E207" s="78">
        <v>214004717</v>
      </c>
      <c r="F207" s="78">
        <f t="shared" ref="F207:Q207" si="60">F209+F210+F211+F212+F213+F214+F215+F216+F217+F218+F222+F223+F224+F228+F229+F230+F232+F233+F226</f>
        <v>8745720</v>
      </c>
      <c r="G207" s="78">
        <f t="shared" si="60"/>
        <v>21595739</v>
      </c>
      <c r="H207" s="78">
        <f>H209+H210+H211+H212+H213+H214+H215+H216+H217+H218+H222+H223+H224+H228+H229+H230+H232+H233+H226</f>
        <v>45050845.359999999</v>
      </c>
      <c r="I207" s="78">
        <f>I209+I210+I211+I212+I213+I214+I215+I216+I217+I218+I222+I223+I224+I228+I229+I230+I232+I233+I226</f>
        <v>1950735.49</v>
      </c>
      <c r="J207" s="78">
        <f>J209+J210+J211+J212+J213+J214+J215+J216+J217+J218+J222+J223+J224+J228+J229+J230+J232+J233+J226</f>
        <v>7761055.5700000003</v>
      </c>
      <c r="K207" s="129">
        <f t="shared" si="41"/>
        <v>21.051332882536418</v>
      </c>
      <c r="L207" s="78">
        <f>L209+L210+L211+L212+L213+L214+L215+L216+L217+L218+L222+L223+L224+L228+L229+L230+L232+L233+L226</f>
        <v>174920294.29000002</v>
      </c>
      <c r="M207" s="78">
        <f t="shared" ref="M207" si="61">M209+M210+M211+M212+M213+M214+M215+M216+M217+M218+M222+M223+M224+M228+M229+M230+M232+M233+M226</f>
        <v>169726558.88</v>
      </c>
      <c r="N207" s="78">
        <f t="shared" si="60"/>
        <v>2052835.41</v>
      </c>
      <c r="O207" s="78">
        <f t="shared" si="60"/>
        <v>0</v>
      </c>
      <c r="P207" s="78">
        <f t="shared" si="60"/>
        <v>0</v>
      </c>
      <c r="Q207" s="78">
        <f t="shared" si="60"/>
        <v>172867458.88</v>
      </c>
      <c r="R207" s="78">
        <f t="shared" ref="R207:W207" si="62">R209+R210+R211+R212+R213+R214+R215+R216+R217+R218+R222+R223+R224+R228+R229+R230+R232+R233+R226</f>
        <v>6509191.5700000003</v>
      </c>
      <c r="S207" s="78">
        <f t="shared" ref="S207" si="63">S209+S210+S211+S212+S213+S214+S215+S216+S217+S218+S222+S223+S224+S228+S229+S230+S232+S233+S226</f>
        <v>6509191.5700000003</v>
      </c>
      <c r="T207" s="78">
        <f t="shared" si="62"/>
        <v>0</v>
      </c>
      <c r="U207" s="78">
        <f t="shared" si="62"/>
        <v>0</v>
      </c>
      <c r="V207" s="78">
        <f t="shared" si="62"/>
        <v>0</v>
      </c>
      <c r="W207" s="78">
        <f t="shared" si="62"/>
        <v>6509191.5700000003</v>
      </c>
      <c r="X207" s="131">
        <f t="shared" si="44"/>
        <v>3.7212329172099516</v>
      </c>
      <c r="Y207" s="79">
        <f t="shared" si="42"/>
        <v>51560036.93</v>
      </c>
      <c r="Z207" s="203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4"/>
      <c r="II207" s="74"/>
      <c r="IJ207" s="74"/>
      <c r="IK207" s="74"/>
      <c r="IL207" s="74"/>
      <c r="IM207" s="74"/>
      <c r="IN207" s="74"/>
      <c r="IO207" s="74"/>
      <c r="IP207" s="74"/>
      <c r="IQ207" s="74"/>
      <c r="IR207" s="74"/>
      <c r="IS207" s="74"/>
      <c r="IT207" s="74"/>
      <c r="IU207" s="74"/>
      <c r="IV207" s="74"/>
      <c r="IW207" s="74"/>
      <c r="IX207" s="74"/>
      <c r="IY207" s="74"/>
      <c r="IZ207" s="74"/>
      <c r="JA207" s="74"/>
      <c r="JB207" s="74"/>
      <c r="JC207" s="74"/>
      <c r="JD207" s="74"/>
      <c r="JE207" s="74"/>
      <c r="JF207" s="74"/>
      <c r="JG207" s="74"/>
      <c r="JH207" s="74"/>
      <c r="JI207" s="74"/>
      <c r="JJ207" s="74"/>
      <c r="JK207" s="74"/>
      <c r="JL207" s="74"/>
      <c r="JM207" s="74"/>
      <c r="JN207" s="74"/>
      <c r="JO207" s="74"/>
      <c r="JP207" s="74"/>
      <c r="JQ207" s="74"/>
      <c r="JR207" s="74"/>
      <c r="JS207" s="74"/>
      <c r="JT207" s="74"/>
      <c r="JU207" s="74"/>
      <c r="JV207" s="74"/>
      <c r="JW207" s="74"/>
      <c r="JX207" s="74"/>
      <c r="JY207" s="74"/>
      <c r="JZ207" s="74"/>
      <c r="KA207" s="74"/>
      <c r="KB207" s="74"/>
      <c r="KC207" s="74"/>
      <c r="KD207" s="74"/>
      <c r="KE207" s="74"/>
      <c r="KF207" s="74"/>
      <c r="KG207" s="74"/>
      <c r="KH207" s="74"/>
      <c r="KI207" s="74"/>
      <c r="KJ207" s="74"/>
      <c r="KK207" s="74"/>
      <c r="KL207" s="74"/>
      <c r="KM207" s="74"/>
      <c r="KN207" s="74"/>
      <c r="KO207" s="74"/>
      <c r="KP207" s="74"/>
      <c r="KQ207" s="74"/>
      <c r="KR207" s="74"/>
      <c r="KS207" s="74"/>
      <c r="KT207" s="74"/>
      <c r="KU207" s="74"/>
      <c r="KV207" s="74"/>
      <c r="KW207" s="74"/>
      <c r="KX207" s="74"/>
      <c r="KY207" s="74"/>
      <c r="KZ207" s="74"/>
      <c r="LA207" s="74"/>
      <c r="LB207" s="74"/>
      <c r="LC207" s="74"/>
      <c r="LD207" s="74"/>
      <c r="LE207" s="74"/>
      <c r="LF207" s="74"/>
      <c r="LG207" s="74"/>
      <c r="LH207" s="74"/>
      <c r="LI207" s="74"/>
      <c r="LJ207" s="74"/>
      <c r="LK207" s="74"/>
      <c r="LL207" s="74"/>
      <c r="LM207" s="74"/>
      <c r="LN207" s="74"/>
      <c r="LO207" s="74"/>
      <c r="LP207" s="74"/>
      <c r="LQ207" s="74"/>
      <c r="LR207" s="74"/>
      <c r="LS207" s="74"/>
      <c r="LT207" s="74"/>
      <c r="LU207" s="74"/>
      <c r="LV207" s="74"/>
      <c r="LW207" s="74"/>
      <c r="LX207" s="74"/>
      <c r="LY207" s="74"/>
      <c r="LZ207" s="74"/>
      <c r="MA207" s="74"/>
      <c r="MB207" s="74"/>
      <c r="MC207" s="74"/>
      <c r="MD207" s="74"/>
      <c r="ME207" s="74"/>
      <c r="MF207" s="74"/>
      <c r="MG207" s="74"/>
      <c r="MH207" s="74"/>
      <c r="MI207" s="74"/>
      <c r="MJ207" s="74"/>
      <c r="MK207" s="74"/>
      <c r="ML207" s="74"/>
      <c r="MM207" s="74"/>
      <c r="MN207" s="74"/>
      <c r="MO207" s="74"/>
      <c r="MP207" s="74"/>
      <c r="MQ207" s="74"/>
      <c r="MR207" s="74"/>
      <c r="MS207" s="74"/>
      <c r="MT207" s="74"/>
      <c r="MU207" s="74"/>
      <c r="MV207" s="74"/>
      <c r="MW207" s="74"/>
      <c r="MX207" s="74"/>
      <c r="MY207" s="74"/>
      <c r="MZ207" s="74"/>
      <c r="NA207" s="74"/>
      <c r="NB207" s="74"/>
      <c r="NC207" s="74"/>
      <c r="ND207" s="74"/>
      <c r="NE207" s="74"/>
      <c r="NF207" s="74"/>
      <c r="NG207" s="74"/>
      <c r="NH207" s="74"/>
      <c r="NI207" s="74"/>
      <c r="NJ207" s="74"/>
      <c r="NK207" s="74"/>
      <c r="NL207" s="74"/>
      <c r="NM207" s="74"/>
      <c r="NN207" s="74"/>
      <c r="NO207" s="74"/>
      <c r="NP207" s="74"/>
      <c r="NQ207" s="74"/>
      <c r="NR207" s="74"/>
      <c r="NS207" s="74"/>
      <c r="NT207" s="74"/>
      <c r="NU207" s="74"/>
      <c r="NV207" s="74"/>
      <c r="NW207" s="74"/>
      <c r="NX207" s="74"/>
      <c r="NY207" s="74"/>
      <c r="NZ207" s="74"/>
      <c r="OA207" s="74"/>
      <c r="OB207" s="74"/>
      <c r="OC207" s="74"/>
      <c r="OD207" s="74"/>
      <c r="OE207" s="74"/>
      <c r="OF207" s="74"/>
      <c r="OG207" s="74"/>
      <c r="OH207" s="74"/>
      <c r="OI207" s="74"/>
      <c r="OJ207" s="74"/>
      <c r="OK207" s="74"/>
      <c r="OL207" s="74"/>
      <c r="OM207" s="74"/>
      <c r="ON207" s="74"/>
      <c r="OO207" s="74"/>
      <c r="OP207" s="74"/>
      <c r="OQ207" s="74"/>
      <c r="OR207" s="74"/>
      <c r="OS207" s="74"/>
      <c r="OT207" s="74"/>
      <c r="OU207" s="74"/>
      <c r="OV207" s="74"/>
      <c r="OW207" s="74"/>
      <c r="OX207" s="74"/>
      <c r="OY207" s="74"/>
      <c r="OZ207" s="74"/>
      <c r="PA207" s="74"/>
      <c r="PB207" s="74"/>
      <c r="PC207" s="74"/>
      <c r="PD207" s="74"/>
      <c r="PE207" s="74"/>
      <c r="PF207" s="74"/>
      <c r="PG207" s="74"/>
      <c r="PH207" s="74"/>
      <c r="PI207" s="74"/>
      <c r="PJ207" s="74"/>
      <c r="PK207" s="74"/>
      <c r="PL207" s="74"/>
      <c r="PM207" s="74"/>
      <c r="PN207" s="74"/>
      <c r="PO207" s="74"/>
      <c r="PP207" s="74"/>
      <c r="PQ207" s="74"/>
      <c r="PR207" s="74"/>
      <c r="PS207" s="74"/>
      <c r="PT207" s="74"/>
      <c r="PU207" s="74"/>
      <c r="PV207" s="74"/>
      <c r="PW207" s="74"/>
      <c r="PX207" s="74"/>
      <c r="PY207" s="74"/>
      <c r="PZ207" s="74"/>
      <c r="QA207" s="74"/>
      <c r="QB207" s="74"/>
      <c r="QC207" s="74"/>
      <c r="QD207" s="74"/>
      <c r="QE207" s="74"/>
      <c r="QF207" s="74"/>
      <c r="QG207" s="74"/>
      <c r="QH207" s="74"/>
      <c r="QI207" s="74"/>
      <c r="QJ207" s="74"/>
      <c r="QK207" s="74"/>
      <c r="QL207" s="74"/>
      <c r="QM207" s="74"/>
      <c r="QN207" s="74"/>
      <c r="QO207" s="74"/>
      <c r="QP207" s="74"/>
      <c r="QQ207" s="74"/>
      <c r="QR207" s="74"/>
      <c r="QS207" s="74"/>
      <c r="QT207" s="74"/>
      <c r="QU207" s="74"/>
      <c r="QV207" s="74"/>
      <c r="QW207" s="74"/>
      <c r="QX207" s="74"/>
      <c r="QY207" s="74"/>
      <c r="QZ207" s="74"/>
      <c r="RA207" s="74"/>
      <c r="RB207" s="74"/>
      <c r="RC207" s="74"/>
      <c r="RD207" s="74"/>
      <c r="RE207" s="74"/>
      <c r="RF207" s="74"/>
      <c r="RG207" s="74"/>
      <c r="RH207" s="74"/>
      <c r="RI207" s="74"/>
      <c r="RJ207" s="74"/>
      <c r="RK207" s="74"/>
      <c r="RL207" s="74"/>
      <c r="RM207" s="74"/>
      <c r="RN207" s="74"/>
      <c r="RO207" s="74"/>
      <c r="RP207" s="74"/>
      <c r="RQ207" s="74"/>
      <c r="RR207" s="74"/>
      <c r="RS207" s="74"/>
      <c r="RT207" s="74"/>
      <c r="RU207" s="74"/>
      <c r="RV207" s="74"/>
      <c r="RW207" s="74"/>
      <c r="RX207" s="74"/>
      <c r="RY207" s="74"/>
      <c r="RZ207" s="74"/>
      <c r="SA207" s="74"/>
      <c r="SB207" s="74"/>
      <c r="SC207" s="74"/>
      <c r="SD207" s="74"/>
      <c r="SE207" s="74"/>
      <c r="SF207" s="74"/>
      <c r="SG207" s="74"/>
      <c r="SH207" s="74"/>
      <c r="SI207" s="74"/>
      <c r="SJ207" s="74"/>
      <c r="SK207" s="74"/>
      <c r="SL207" s="74"/>
      <c r="SM207" s="74"/>
      <c r="SN207" s="74"/>
      <c r="SO207" s="74"/>
      <c r="SP207" s="74"/>
      <c r="SQ207" s="74"/>
      <c r="SR207" s="74"/>
      <c r="SS207" s="74"/>
      <c r="ST207" s="74"/>
      <c r="SU207" s="74"/>
      <c r="SV207" s="74"/>
      <c r="SW207" s="74"/>
      <c r="SX207" s="74"/>
      <c r="SY207" s="74"/>
      <c r="SZ207" s="74"/>
      <c r="TA207" s="74"/>
      <c r="TB207" s="74"/>
      <c r="TC207" s="74"/>
      <c r="TD207" s="74"/>
      <c r="TE207" s="74"/>
      <c r="TF207" s="74"/>
      <c r="TG207" s="74"/>
      <c r="TH207" s="74"/>
      <c r="TI207" s="74"/>
      <c r="TJ207" s="74"/>
      <c r="TK207" s="74"/>
      <c r="TL207" s="74"/>
      <c r="TM207" s="74"/>
      <c r="TN207" s="74"/>
      <c r="TO207" s="74"/>
      <c r="TP207" s="74"/>
      <c r="TQ207" s="74"/>
      <c r="TR207" s="74"/>
      <c r="TS207" s="74"/>
      <c r="TT207" s="74"/>
      <c r="TU207" s="74"/>
      <c r="TV207" s="74"/>
      <c r="TW207" s="74"/>
      <c r="TX207" s="74"/>
      <c r="TY207" s="74"/>
      <c r="TZ207" s="74"/>
      <c r="UA207" s="74"/>
      <c r="UB207" s="74"/>
      <c r="UC207" s="74"/>
      <c r="UD207" s="74"/>
      <c r="UE207" s="74"/>
      <c r="UF207" s="74"/>
      <c r="UG207" s="74"/>
      <c r="UH207" s="74"/>
      <c r="UI207" s="74"/>
      <c r="UJ207" s="74"/>
      <c r="UK207" s="74"/>
      <c r="UL207" s="74"/>
      <c r="UM207" s="74"/>
      <c r="UN207" s="74"/>
      <c r="UO207" s="74"/>
      <c r="UP207" s="74"/>
      <c r="UQ207" s="74"/>
      <c r="UR207" s="74"/>
      <c r="US207" s="74"/>
      <c r="UT207" s="74"/>
      <c r="UU207" s="74"/>
      <c r="UV207" s="74"/>
      <c r="UW207" s="74"/>
      <c r="UX207" s="74"/>
      <c r="UY207" s="74"/>
      <c r="UZ207" s="74"/>
      <c r="VA207" s="74"/>
      <c r="VB207" s="74"/>
      <c r="VC207" s="74"/>
      <c r="VD207" s="74"/>
      <c r="VE207" s="74"/>
      <c r="VF207" s="74"/>
    </row>
    <row r="208" spans="1:578" s="75" customFormat="1" x14ac:dyDescent="0.2">
      <c r="A208" s="55"/>
      <c r="B208" s="99"/>
      <c r="C208" s="99"/>
      <c r="D208" s="56" t="s">
        <v>344</v>
      </c>
      <c r="E208" s="79">
        <v>0</v>
      </c>
      <c r="F208" s="79">
        <f t="shared" ref="F208:Q208" si="64">F220+F227</f>
        <v>0</v>
      </c>
      <c r="G208" s="79">
        <f t="shared" si="64"/>
        <v>0</v>
      </c>
      <c r="H208" s="79">
        <f>H220+H227</f>
        <v>0</v>
      </c>
      <c r="I208" s="79">
        <f>I220+I227</f>
        <v>0</v>
      </c>
      <c r="J208" s="79">
        <f>J220+J227</f>
        <v>0</v>
      </c>
      <c r="K208" s="129"/>
      <c r="L208" s="79">
        <f t="shared" si="64"/>
        <v>26219375.880000003</v>
      </c>
      <c r="M208" s="79">
        <f t="shared" ref="M208" si="65">M220+M227</f>
        <v>26219375.879999999</v>
      </c>
      <c r="N208" s="79">
        <f t="shared" si="64"/>
        <v>0</v>
      </c>
      <c r="O208" s="79">
        <f t="shared" si="64"/>
        <v>0</v>
      </c>
      <c r="P208" s="79">
        <f t="shared" si="64"/>
        <v>0</v>
      </c>
      <c r="Q208" s="79">
        <f t="shared" si="64"/>
        <v>26219375.880000003</v>
      </c>
      <c r="R208" s="79">
        <f t="shared" ref="R208:W208" si="66">R220+R227</f>
        <v>38599</v>
      </c>
      <c r="S208" s="79">
        <f t="shared" ref="S208" si="67">S220+S227</f>
        <v>38599</v>
      </c>
      <c r="T208" s="79">
        <f t="shared" si="66"/>
        <v>0</v>
      </c>
      <c r="U208" s="79">
        <f t="shared" si="66"/>
        <v>0</v>
      </c>
      <c r="V208" s="79">
        <f t="shared" si="66"/>
        <v>0</v>
      </c>
      <c r="W208" s="79">
        <f t="shared" si="66"/>
        <v>38599</v>
      </c>
      <c r="X208" s="131">
        <f t="shared" ref="X208:X270" si="68">SUM(R208/L208)*100</f>
        <v>0.14721555607066569</v>
      </c>
      <c r="Y208" s="79">
        <f t="shared" ref="Y208:Y271" si="69">SUM(H208+R208)</f>
        <v>38599</v>
      </c>
      <c r="Z208" s="203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74"/>
      <c r="IE208" s="74"/>
      <c r="IF208" s="74"/>
      <c r="IG208" s="74"/>
      <c r="IH208" s="74"/>
      <c r="II208" s="74"/>
      <c r="IJ208" s="74"/>
      <c r="IK208" s="74"/>
      <c r="IL208" s="74"/>
      <c r="IM208" s="74"/>
      <c r="IN208" s="74"/>
      <c r="IO208" s="74"/>
      <c r="IP208" s="74"/>
      <c r="IQ208" s="74"/>
      <c r="IR208" s="74"/>
      <c r="IS208" s="74"/>
      <c r="IT208" s="74"/>
      <c r="IU208" s="74"/>
      <c r="IV208" s="74"/>
      <c r="IW208" s="74"/>
      <c r="IX208" s="74"/>
      <c r="IY208" s="74"/>
      <c r="IZ208" s="74"/>
      <c r="JA208" s="74"/>
      <c r="JB208" s="74"/>
      <c r="JC208" s="74"/>
      <c r="JD208" s="74"/>
      <c r="JE208" s="74"/>
      <c r="JF208" s="74"/>
      <c r="JG208" s="74"/>
      <c r="JH208" s="74"/>
      <c r="JI208" s="74"/>
      <c r="JJ208" s="74"/>
      <c r="JK208" s="74"/>
      <c r="JL208" s="74"/>
      <c r="JM208" s="74"/>
      <c r="JN208" s="74"/>
      <c r="JO208" s="74"/>
      <c r="JP208" s="74"/>
      <c r="JQ208" s="74"/>
      <c r="JR208" s="74"/>
      <c r="JS208" s="74"/>
      <c r="JT208" s="74"/>
      <c r="JU208" s="74"/>
      <c r="JV208" s="74"/>
      <c r="JW208" s="74"/>
      <c r="JX208" s="74"/>
      <c r="JY208" s="74"/>
      <c r="JZ208" s="74"/>
      <c r="KA208" s="74"/>
      <c r="KB208" s="74"/>
      <c r="KC208" s="74"/>
      <c r="KD208" s="74"/>
      <c r="KE208" s="74"/>
      <c r="KF208" s="74"/>
      <c r="KG208" s="74"/>
      <c r="KH208" s="74"/>
      <c r="KI208" s="74"/>
      <c r="KJ208" s="74"/>
      <c r="KK208" s="74"/>
      <c r="KL208" s="74"/>
      <c r="KM208" s="74"/>
      <c r="KN208" s="74"/>
      <c r="KO208" s="74"/>
      <c r="KP208" s="74"/>
      <c r="KQ208" s="74"/>
      <c r="KR208" s="74"/>
      <c r="KS208" s="74"/>
      <c r="KT208" s="74"/>
      <c r="KU208" s="74"/>
      <c r="KV208" s="74"/>
      <c r="KW208" s="74"/>
      <c r="KX208" s="74"/>
      <c r="KY208" s="74"/>
      <c r="KZ208" s="74"/>
      <c r="LA208" s="74"/>
      <c r="LB208" s="74"/>
      <c r="LC208" s="74"/>
      <c r="LD208" s="74"/>
      <c r="LE208" s="74"/>
      <c r="LF208" s="74"/>
      <c r="LG208" s="74"/>
      <c r="LH208" s="74"/>
      <c r="LI208" s="74"/>
      <c r="LJ208" s="74"/>
      <c r="LK208" s="74"/>
      <c r="LL208" s="74"/>
      <c r="LM208" s="74"/>
      <c r="LN208" s="74"/>
      <c r="LO208" s="74"/>
      <c r="LP208" s="74"/>
      <c r="LQ208" s="74"/>
      <c r="LR208" s="74"/>
      <c r="LS208" s="74"/>
      <c r="LT208" s="74"/>
      <c r="LU208" s="74"/>
      <c r="LV208" s="74"/>
      <c r="LW208" s="74"/>
      <c r="LX208" s="74"/>
      <c r="LY208" s="74"/>
      <c r="LZ208" s="74"/>
      <c r="MA208" s="74"/>
      <c r="MB208" s="74"/>
      <c r="MC208" s="74"/>
      <c r="MD208" s="74"/>
      <c r="ME208" s="74"/>
      <c r="MF208" s="74"/>
      <c r="MG208" s="74"/>
      <c r="MH208" s="74"/>
      <c r="MI208" s="74"/>
      <c r="MJ208" s="74"/>
      <c r="MK208" s="74"/>
      <c r="ML208" s="74"/>
      <c r="MM208" s="74"/>
      <c r="MN208" s="74"/>
      <c r="MO208" s="74"/>
      <c r="MP208" s="74"/>
      <c r="MQ208" s="74"/>
      <c r="MR208" s="74"/>
      <c r="MS208" s="74"/>
      <c r="MT208" s="74"/>
      <c r="MU208" s="74"/>
      <c r="MV208" s="74"/>
      <c r="MW208" s="74"/>
      <c r="MX208" s="74"/>
      <c r="MY208" s="74"/>
      <c r="MZ208" s="74"/>
      <c r="NA208" s="74"/>
      <c r="NB208" s="74"/>
      <c r="NC208" s="74"/>
      <c r="ND208" s="74"/>
      <c r="NE208" s="74"/>
      <c r="NF208" s="74"/>
      <c r="NG208" s="74"/>
      <c r="NH208" s="74"/>
      <c r="NI208" s="74"/>
      <c r="NJ208" s="74"/>
      <c r="NK208" s="74"/>
      <c r="NL208" s="74"/>
      <c r="NM208" s="74"/>
      <c r="NN208" s="74"/>
      <c r="NO208" s="74"/>
      <c r="NP208" s="74"/>
      <c r="NQ208" s="74"/>
      <c r="NR208" s="74"/>
      <c r="NS208" s="74"/>
      <c r="NT208" s="74"/>
      <c r="NU208" s="74"/>
      <c r="NV208" s="74"/>
      <c r="NW208" s="74"/>
      <c r="NX208" s="74"/>
      <c r="NY208" s="74"/>
      <c r="NZ208" s="74"/>
      <c r="OA208" s="74"/>
      <c r="OB208" s="74"/>
      <c r="OC208" s="74"/>
      <c r="OD208" s="74"/>
      <c r="OE208" s="74"/>
      <c r="OF208" s="74"/>
      <c r="OG208" s="74"/>
      <c r="OH208" s="74"/>
      <c r="OI208" s="74"/>
      <c r="OJ208" s="74"/>
      <c r="OK208" s="74"/>
      <c r="OL208" s="74"/>
      <c r="OM208" s="74"/>
      <c r="ON208" s="74"/>
      <c r="OO208" s="74"/>
      <c r="OP208" s="74"/>
      <c r="OQ208" s="74"/>
      <c r="OR208" s="74"/>
      <c r="OS208" s="74"/>
      <c r="OT208" s="74"/>
      <c r="OU208" s="74"/>
      <c r="OV208" s="74"/>
      <c r="OW208" s="74"/>
      <c r="OX208" s="74"/>
      <c r="OY208" s="74"/>
      <c r="OZ208" s="74"/>
      <c r="PA208" s="74"/>
      <c r="PB208" s="74"/>
      <c r="PC208" s="74"/>
      <c r="PD208" s="74"/>
      <c r="PE208" s="74"/>
      <c r="PF208" s="74"/>
      <c r="PG208" s="74"/>
      <c r="PH208" s="74"/>
      <c r="PI208" s="74"/>
      <c r="PJ208" s="74"/>
      <c r="PK208" s="74"/>
      <c r="PL208" s="74"/>
      <c r="PM208" s="74"/>
      <c r="PN208" s="74"/>
      <c r="PO208" s="74"/>
      <c r="PP208" s="74"/>
      <c r="PQ208" s="74"/>
      <c r="PR208" s="74"/>
      <c r="PS208" s="74"/>
      <c r="PT208" s="74"/>
      <c r="PU208" s="74"/>
      <c r="PV208" s="74"/>
      <c r="PW208" s="74"/>
      <c r="PX208" s="74"/>
      <c r="PY208" s="74"/>
      <c r="PZ208" s="74"/>
      <c r="QA208" s="74"/>
      <c r="QB208" s="74"/>
      <c r="QC208" s="74"/>
      <c r="QD208" s="74"/>
      <c r="QE208" s="74"/>
      <c r="QF208" s="74"/>
      <c r="QG208" s="74"/>
      <c r="QH208" s="74"/>
      <c r="QI208" s="74"/>
      <c r="QJ208" s="74"/>
      <c r="QK208" s="74"/>
      <c r="QL208" s="74"/>
      <c r="QM208" s="74"/>
      <c r="QN208" s="74"/>
      <c r="QO208" s="74"/>
      <c r="QP208" s="74"/>
      <c r="QQ208" s="74"/>
      <c r="QR208" s="74"/>
      <c r="QS208" s="74"/>
      <c r="QT208" s="74"/>
      <c r="QU208" s="74"/>
      <c r="QV208" s="74"/>
      <c r="QW208" s="74"/>
      <c r="QX208" s="74"/>
      <c r="QY208" s="74"/>
      <c r="QZ208" s="74"/>
      <c r="RA208" s="74"/>
      <c r="RB208" s="74"/>
      <c r="RC208" s="74"/>
      <c r="RD208" s="74"/>
      <c r="RE208" s="74"/>
      <c r="RF208" s="74"/>
      <c r="RG208" s="74"/>
      <c r="RH208" s="74"/>
      <c r="RI208" s="74"/>
      <c r="RJ208" s="74"/>
      <c r="RK208" s="74"/>
      <c r="RL208" s="74"/>
      <c r="RM208" s="74"/>
      <c r="RN208" s="74"/>
      <c r="RO208" s="74"/>
      <c r="RP208" s="74"/>
      <c r="RQ208" s="74"/>
      <c r="RR208" s="74"/>
      <c r="RS208" s="74"/>
      <c r="RT208" s="74"/>
      <c r="RU208" s="74"/>
      <c r="RV208" s="74"/>
      <c r="RW208" s="74"/>
      <c r="RX208" s="74"/>
      <c r="RY208" s="74"/>
      <c r="RZ208" s="74"/>
      <c r="SA208" s="74"/>
      <c r="SB208" s="74"/>
      <c r="SC208" s="74"/>
      <c r="SD208" s="74"/>
      <c r="SE208" s="74"/>
      <c r="SF208" s="74"/>
      <c r="SG208" s="74"/>
      <c r="SH208" s="74"/>
      <c r="SI208" s="74"/>
      <c r="SJ208" s="74"/>
      <c r="SK208" s="74"/>
      <c r="SL208" s="74"/>
      <c r="SM208" s="74"/>
      <c r="SN208" s="74"/>
      <c r="SO208" s="74"/>
      <c r="SP208" s="74"/>
      <c r="SQ208" s="74"/>
      <c r="SR208" s="74"/>
      <c r="SS208" s="74"/>
      <c r="ST208" s="74"/>
      <c r="SU208" s="74"/>
      <c r="SV208" s="74"/>
      <c r="SW208" s="74"/>
      <c r="SX208" s="74"/>
      <c r="SY208" s="74"/>
      <c r="SZ208" s="74"/>
      <c r="TA208" s="74"/>
      <c r="TB208" s="74"/>
      <c r="TC208" s="74"/>
      <c r="TD208" s="74"/>
      <c r="TE208" s="74"/>
      <c r="TF208" s="74"/>
      <c r="TG208" s="74"/>
      <c r="TH208" s="74"/>
      <c r="TI208" s="74"/>
      <c r="TJ208" s="74"/>
      <c r="TK208" s="74"/>
      <c r="TL208" s="74"/>
      <c r="TM208" s="74"/>
      <c r="TN208" s="74"/>
      <c r="TO208" s="74"/>
      <c r="TP208" s="74"/>
      <c r="TQ208" s="74"/>
      <c r="TR208" s="74"/>
      <c r="TS208" s="74"/>
      <c r="TT208" s="74"/>
      <c r="TU208" s="74"/>
      <c r="TV208" s="74"/>
      <c r="TW208" s="74"/>
      <c r="TX208" s="74"/>
      <c r="TY208" s="74"/>
      <c r="TZ208" s="74"/>
      <c r="UA208" s="74"/>
      <c r="UB208" s="74"/>
      <c r="UC208" s="74"/>
      <c r="UD208" s="74"/>
      <c r="UE208" s="74"/>
      <c r="UF208" s="74"/>
      <c r="UG208" s="74"/>
      <c r="UH208" s="74"/>
      <c r="UI208" s="74"/>
      <c r="UJ208" s="74"/>
      <c r="UK208" s="74"/>
      <c r="UL208" s="74"/>
      <c r="UM208" s="74"/>
      <c r="UN208" s="74"/>
      <c r="UO208" s="74"/>
      <c r="UP208" s="74"/>
      <c r="UQ208" s="74"/>
      <c r="UR208" s="74"/>
      <c r="US208" s="74"/>
      <c r="UT208" s="74"/>
      <c r="UU208" s="74"/>
      <c r="UV208" s="74"/>
      <c r="UW208" s="74"/>
      <c r="UX208" s="74"/>
      <c r="UY208" s="74"/>
      <c r="UZ208" s="74"/>
      <c r="VA208" s="74"/>
      <c r="VB208" s="74"/>
      <c r="VC208" s="74"/>
      <c r="VD208" s="74"/>
      <c r="VE208" s="74"/>
      <c r="VF208" s="74"/>
    </row>
    <row r="209" spans="1:578" s="41" customFormat="1" ht="48.75" customHeight="1" x14ac:dyDescent="0.2">
      <c r="A209" s="39" t="s">
        <v>262</v>
      </c>
      <c r="B209" s="90" t="str">
        <f>'дод 3'!A16</f>
        <v>0160</v>
      </c>
      <c r="C209" s="90" t="str">
        <f>'дод 3'!B16</f>
        <v>0111</v>
      </c>
      <c r="D209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09" s="65">
        <v>11201800</v>
      </c>
      <c r="F209" s="65">
        <v>8745720</v>
      </c>
      <c r="G209" s="65">
        <f>125237+2502</f>
        <v>127739</v>
      </c>
      <c r="H209" s="65">
        <v>2465858.67</v>
      </c>
      <c r="I209" s="65">
        <v>1950735.49</v>
      </c>
      <c r="J209" s="65">
        <v>42606.65</v>
      </c>
      <c r="K209" s="130">
        <f t="shared" ref="K209:K271" si="70">SUM(H209/E209)*100</f>
        <v>22.013057455051865</v>
      </c>
      <c r="L209" s="65">
        <f t="shared" si="45"/>
        <v>100000</v>
      </c>
      <c r="M209" s="65">
        <v>100000</v>
      </c>
      <c r="N209" s="65"/>
      <c r="O209" s="65"/>
      <c r="P209" s="65"/>
      <c r="Q209" s="65">
        <f>100000</f>
        <v>100000</v>
      </c>
      <c r="R209" s="65">
        <f t="shared" ref="R209:R233" si="71">T209+W209</f>
        <v>0</v>
      </c>
      <c r="S209" s="65"/>
      <c r="T209" s="65"/>
      <c r="U209" s="65"/>
      <c r="V209" s="65"/>
      <c r="W209" s="65"/>
      <c r="X209" s="132">
        <f t="shared" si="68"/>
        <v>0</v>
      </c>
      <c r="Y209" s="65">
        <f t="shared" si="69"/>
        <v>2465858.67</v>
      </c>
      <c r="Z209" s="203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47"/>
      <c r="KN209" s="47"/>
      <c r="KO209" s="47"/>
      <c r="KP209" s="47"/>
      <c r="KQ209" s="47"/>
      <c r="KR209" s="47"/>
      <c r="KS209" s="47"/>
      <c r="KT209" s="47"/>
      <c r="KU209" s="47"/>
      <c r="KV209" s="47"/>
      <c r="KW209" s="47"/>
      <c r="KX209" s="47"/>
      <c r="KY209" s="47"/>
      <c r="KZ209" s="47"/>
      <c r="LA209" s="47"/>
      <c r="LB209" s="47"/>
      <c r="LC209" s="47"/>
      <c r="LD209" s="47"/>
      <c r="LE209" s="47"/>
      <c r="LF209" s="47"/>
      <c r="LG209" s="47"/>
      <c r="LH209" s="47"/>
      <c r="LI209" s="47"/>
      <c r="LJ209" s="47"/>
      <c r="LK209" s="47"/>
      <c r="LL209" s="47"/>
      <c r="LM209" s="47"/>
      <c r="LN209" s="47"/>
      <c r="LO209" s="47"/>
      <c r="LP209" s="47"/>
      <c r="LQ209" s="47"/>
      <c r="LR209" s="47"/>
      <c r="LS209" s="47"/>
      <c r="LT209" s="47"/>
      <c r="LU209" s="47"/>
      <c r="LV209" s="47"/>
      <c r="LW209" s="47"/>
      <c r="LX209" s="47"/>
      <c r="LY209" s="47"/>
      <c r="LZ209" s="47"/>
      <c r="MA209" s="47"/>
      <c r="MB209" s="47"/>
      <c r="MC209" s="47"/>
      <c r="MD209" s="47"/>
      <c r="ME209" s="47"/>
      <c r="MF209" s="47"/>
      <c r="MG209" s="47"/>
      <c r="MH209" s="47"/>
      <c r="MI209" s="47"/>
      <c r="MJ209" s="47"/>
      <c r="MK209" s="47"/>
      <c r="ML209" s="47"/>
      <c r="MM209" s="47"/>
      <c r="MN209" s="47"/>
      <c r="MO209" s="47"/>
      <c r="MP209" s="47"/>
      <c r="MQ209" s="47"/>
      <c r="MR209" s="47"/>
      <c r="MS209" s="47"/>
      <c r="MT209" s="47"/>
      <c r="MU209" s="47"/>
      <c r="MV209" s="47"/>
      <c r="MW209" s="47"/>
      <c r="MX209" s="47"/>
      <c r="MY209" s="47"/>
      <c r="MZ209" s="47"/>
      <c r="NA209" s="47"/>
      <c r="NB209" s="47"/>
      <c r="NC209" s="47"/>
      <c r="ND209" s="47"/>
      <c r="NE209" s="47"/>
      <c r="NF209" s="47"/>
      <c r="NG209" s="47"/>
      <c r="NH209" s="47"/>
      <c r="NI209" s="47"/>
      <c r="NJ209" s="47"/>
      <c r="NK209" s="47"/>
      <c r="NL209" s="47"/>
      <c r="NM209" s="47"/>
      <c r="NN209" s="47"/>
      <c r="NO209" s="47"/>
      <c r="NP209" s="47"/>
      <c r="NQ209" s="47"/>
      <c r="NR209" s="47"/>
      <c r="NS209" s="47"/>
      <c r="NT209" s="47"/>
      <c r="NU209" s="47"/>
      <c r="NV209" s="47"/>
      <c r="NW209" s="47"/>
      <c r="NX209" s="47"/>
      <c r="NY209" s="47"/>
      <c r="NZ209" s="47"/>
      <c r="OA209" s="47"/>
      <c r="OB209" s="47"/>
      <c r="OC209" s="47"/>
      <c r="OD209" s="47"/>
      <c r="OE209" s="47"/>
      <c r="OF209" s="47"/>
      <c r="OG209" s="47"/>
      <c r="OH209" s="47"/>
      <c r="OI209" s="47"/>
      <c r="OJ209" s="47"/>
      <c r="OK209" s="47"/>
      <c r="OL209" s="47"/>
      <c r="OM209" s="47"/>
      <c r="ON209" s="47"/>
      <c r="OO209" s="47"/>
      <c r="OP209" s="47"/>
      <c r="OQ209" s="47"/>
      <c r="OR209" s="47"/>
      <c r="OS209" s="47"/>
      <c r="OT209" s="47"/>
      <c r="OU209" s="47"/>
      <c r="OV209" s="47"/>
      <c r="OW209" s="47"/>
      <c r="OX209" s="47"/>
      <c r="OY209" s="47"/>
      <c r="OZ209" s="47"/>
      <c r="PA209" s="47"/>
      <c r="PB209" s="47"/>
      <c r="PC209" s="47"/>
      <c r="PD209" s="47"/>
      <c r="PE209" s="47"/>
      <c r="PF209" s="47"/>
      <c r="PG209" s="47"/>
      <c r="PH209" s="47"/>
      <c r="PI209" s="47"/>
      <c r="PJ209" s="47"/>
      <c r="PK209" s="47"/>
      <c r="PL209" s="47"/>
      <c r="PM209" s="47"/>
      <c r="PN209" s="47"/>
      <c r="PO209" s="47"/>
      <c r="PP209" s="47"/>
      <c r="PQ209" s="47"/>
      <c r="PR209" s="47"/>
      <c r="PS209" s="47"/>
      <c r="PT209" s="47"/>
      <c r="PU209" s="47"/>
      <c r="PV209" s="47"/>
      <c r="PW209" s="47"/>
      <c r="PX209" s="47"/>
      <c r="PY209" s="47"/>
      <c r="PZ209" s="47"/>
      <c r="QA209" s="47"/>
      <c r="QB209" s="47"/>
      <c r="QC209" s="47"/>
      <c r="QD209" s="47"/>
      <c r="QE209" s="47"/>
      <c r="QF209" s="47"/>
      <c r="QG209" s="47"/>
      <c r="QH209" s="47"/>
      <c r="QI209" s="47"/>
      <c r="QJ209" s="47"/>
      <c r="QK209" s="47"/>
      <c r="QL209" s="47"/>
      <c r="QM209" s="47"/>
      <c r="QN209" s="47"/>
      <c r="QO209" s="47"/>
      <c r="QP209" s="47"/>
      <c r="QQ209" s="47"/>
      <c r="QR209" s="47"/>
      <c r="QS209" s="47"/>
      <c r="QT209" s="47"/>
      <c r="QU209" s="47"/>
      <c r="QV209" s="47"/>
      <c r="QW209" s="47"/>
      <c r="QX209" s="47"/>
      <c r="QY209" s="47"/>
      <c r="QZ209" s="47"/>
      <c r="RA209" s="47"/>
      <c r="RB209" s="47"/>
      <c r="RC209" s="47"/>
      <c r="RD209" s="47"/>
      <c r="RE209" s="47"/>
      <c r="RF209" s="47"/>
      <c r="RG209" s="47"/>
      <c r="RH209" s="47"/>
      <c r="RI209" s="47"/>
      <c r="RJ209" s="47"/>
      <c r="RK209" s="47"/>
      <c r="RL209" s="47"/>
      <c r="RM209" s="47"/>
      <c r="RN209" s="47"/>
      <c r="RO209" s="47"/>
      <c r="RP209" s="47"/>
      <c r="RQ209" s="47"/>
      <c r="RR209" s="47"/>
      <c r="RS209" s="47"/>
      <c r="RT209" s="47"/>
      <c r="RU209" s="47"/>
      <c r="RV209" s="47"/>
      <c r="RW209" s="47"/>
      <c r="RX209" s="47"/>
      <c r="RY209" s="47"/>
      <c r="RZ209" s="47"/>
      <c r="SA209" s="47"/>
      <c r="SB209" s="47"/>
      <c r="SC209" s="47"/>
      <c r="SD209" s="47"/>
      <c r="SE209" s="47"/>
      <c r="SF209" s="47"/>
      <c r="SG209" s="47"/>
      <c r="SH209" s="47"/>
      <c r="SI209" s="47"/>
      <c r="SJ209" s="47"/>
      <c r="SK209" s="47"/>
      <c r="SL209" s="47"/>
      <c r="SM209" s="47"/>
      <c r="SN209" s="47"/>
      <c r="SO209" s="47"/>
      <c r="SP209" s="47"/>
      <c r="SQ209" s="47"/>
      <c r="SR209" s="47"/>
      <c r="SS209" s="47"/>
      <c r="ST209" s="47"/>
      <c r="SU209" s="47"/>
      <c r="SV209" s="47"/>
      <c r="SW209" s="47"/>
      <c r="SX209" s="47"/>
      <c r="SY209" s="47"/>
      <c r="SZ209" s="47"/>
      <c r="TA209" s="47"/>
      <c r="TB209" s="47"/>
      <c r="TC209" s="47"/>
      <c r="TD209" s="47"/>
      <c r="TE209" s="47"/>
      <c r="TF209" s="47"/>
      <c r="TG209" s="47"/>
      <c r="TH209" s="47"/>
      <c r="TI209" s="47"/>
      <c r="TJ209" s="47"/>
      <c r="TK209" s="47"/>
      <c r="TL209" s="47"/>
      <c r="TM209" s="47"/>
      <c r="TN209" s="47"/>
      <c r="TO209" s="47"/>
      <c r="TP209" s="47"/>
      <c r="TQ209" s="47"/>
      <c r="TR209" s="47"/>
      <c r="TS209" s="47"/>
      <c r="TT209" s="47"/>
      <c r="TU209" s="47"/>
      <c r="TV209" s="47"/>
      <c r="TW209" s="47"/>
      <c r="TX209" s="47"/>
      <c r="TY209" s="47"/>
      <c r="TZ209" s="47"/>
      <c r="UA209" s="47"/>
      <c r="UB209" s="47"/>
      <c r="UC209" s="47"/>
      <c r="UD209" s="47"/>
      <c r="UE209" s="47"/>
      <c r="UF209" s="47"/>
      <c r="UG209" s="47"/>
      <c r="UH209" s="47"/>
      <c r="UI209" s="47"/>
      <c r="UJ209" s="47"/>
      <c r="UK209" s="47"/>
      <c r="UL209" s="47"/>
      <c r="UM209" s="47"/>
      <c r="UN209" s="47"/>
      <c r="UO209" s="47"/>
      <c r="UP209" s="47"/>
      <c r="UQ209" s="47"/>
      <c r="UR209" s="47"/>
      <c r="US209" s="47"/>
      <c r="UT209" s="47"/>
      <c r="UU209" s="47"/>
      <c r="UV209" s="47"/>
      <c r="UW209" s="47"/>
      <c r="UX209" s="47"/>
      <c r="UY209" s="47"/>
      <c r="UZ209" s="47"/>
      <c r="VA209" s="47"/>
      <c r="VB209" s="47"/>
      <c r="VC209" s="47"/>
      <c r="VD209" s="47"/>
      <c r="VE209" s="47"/>
      <c r="VF209" s="47"/>
    </row>
    <row r="210" spans="1:578" s="41" customFormat="1" ht="19.5" customHeight="1" x14ac:dyDescent="0.2">
      <c r="A210" s="43" t="s">
        <v>394</v>
      </c>
      <c r="B210" s="95" t="str">
        <f>'дод 3'!A117</f>
        <v>3210</v>
      </c>
      <c r="C210" s="95" t="str">
        <f>'дод 3'!B117</f>
        <v>1050</v>
      </c>
      <c r="D210" s="40" t="str">
        <f>'дод 3'!C117</f>
        <v>Організація та проведення громадських робіт</v>
      </c>
      <c r="E210" s="65">
        <v>380000</v>
      </c>
      <c r="F210" s="65"/>
      <c r="G210" s="65"/>
      <c r="H210" s="65">
        <v>33700.019999999997</v>
      </c>
      <c r="I210" s="65"/>
      <c r="J210" s="65"/>
      <c r="K210" s="130">
        <f t="shared" si="70"/>
        <v>8.8684263157894723</v>
      </c>
      <c r="L210" s="65">
        <f t="shared" si="45"/>
        <v>0</v>
      </c>
      <c r="M210" s="65"/>
      <c r="N210" s="65"/>
      <c r="O210" s="65"/>
      <c r="P210" s="65"/>
      <c r="Q210" s="65"/>
      <c r="R210" s="65">
        <f t="shared" si="71"/>
        <v>0</v>
      </c>
      <c r="S210" s="65"/>
      <c r="T210" s="65"/>
      <c r="U210" s="65"/>
      <c r="V210" s="65"/>
      <c r="W210" s="65"/>
      <c r="X210" s="132"/>
      <c r="Y210" s="65">
        <f t="shared" si="69"/>
        <v>33700.019999999997</v>
      </c>
      <c r="Z210" s="203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47"/>
      <c r="KC210" s="47"/>
      <c r="KD210" s="47"/>
      <c r="KE210" s="47"/>
      <c r="KF210" s="47"/>
      <c r="KG210" s="47"/>
      <c r="KH210" s="47"/>
      <c r="KI210" s="47"/>
      <c r="KJ210" s="47"/>
      <c r="KK210" s="47"/>
      <c r="KL210" s="47"/>
      <c r="KM210" s="47"/>
      <c r="KN210" s="47"/>
      <c r="KO210" s="47"/>
      <c r="KP210" s="47"/>
      <c r="KQ210" s="47"/>
      <c r="KR210" s="47"/>
      <c r="KS210" s="47"/>
      <c r="KT210" s="47"/>
      <c r="KU210" s="47"/>
      <c r="KV210" s="47"/>
      <c r="KW210" s="47"/>
      <c r="KX210" s="47"/>
      <c r="KY210" s="47"/>
      <c r="KZ210" s="47"/>
      <c r="LA210" s="47"/>
      <c r="LB210" s="47"/>
      <c r="LC210" s="47"/>
      <c r="LD210" s="47"/>
      <c r="LE210" s="47"/>
      <c r="LF210" s="47"/>
      <c r="LG210" s="47"/>
      <c r="LH210" s="47"/>
      <c r="LI210" s="47"/>
      <c r="LJ210" s="47"/>
      <c r="LK210" s="47"/>
      <c r="LL210" s="47"/>
      <c r="LM210" s="47"/>
      <c r="LN210" s="47"/>
      <c r="LO210" s="47"/>
      <c r="LP210" s="47"/>
      <c r="LQ210" s="47"/>
      <c r="LR210" s="47"/>
      <c r="LS210" s="47"/>
      <c r="LT210" s="47"/>
      <c r="LU210" s="47"/>
      <c r="LV210" s="47"/>
      <c r="LW210" s="47"/>
      <c r="LX210" s="47"/>
      <c r="LY210" s="47"/>
      <c r="LZ210" s="47"/>
      <c r="MA210" s="47"/>
      <c r="MB210" s="47"/>
      <c r="MC210" s="47"/>
      <c r="MD210" s="47"/>
      <c r="ME210" s="47"/>
      <c r="MF210" s="47"/>
      <c r="MG210" s="47"/>
      <c r="MH210" s="47"/>
      <c r="MI210" s="47"/>
      <c r="MJ210" s="47"/>
      <c r="MK210" s="47"/>
      <c r="ML210" s="47"/>
      <c r="MM210" s="47"/>
      <c r="MN210" s="47"/>
      <c r="MO210" s="47"/>
      <c r="MP210" s="47"/>
      <c r="MQ210" s="47"/>
      <c r="MR210" s="47"/>
      <c r="MS210" s="47"/>
      <c r="MT210" s="47"/>
      <c r="MU210" s="47"/>
      <c r="MV210" s="47"/>
      <c r="MW210" s="47"/>
      <c r="MX210" s="47"/>
      <c r="MY210" s="47"/>
      <c r="MZ210" s="47"/>
      <c r="NA210" s="47"/>
      <c r="NB210" s="47"/>
      <c r="NC210" s="47"/>
      <c r="ND210" s="47"/>
      <c r="NE210" s="47"/>
      <c r="NF210" s="47"/>
      <c r="NG210" s="47"/>
      <c r="NH210" s="47"/>
      <c r="NI210" s="47"/>
      <c r="NJ210" s="47"/>
      <c r="NK210" s="47"/>
      <c r="NL210" s="47"/>
      <c r="NM210" s="47"/>
      <c r="NN210" s="47"/>
      <c r="NO210" s="47"/>
      <c r="NP210" s="47"/>
      <c r="NQ210" s="47"/>
      <c r="NR210" s="47"/>
      <c r="NS210" s="47"/>
      <c r="NT210" s="47"/>
      <c r="NU210" s="47"/>
      <c r="NV210" s="47"/>
      <c r="NW210" s="47"/>
      <c r="NX210" s="47"/>
      <c r="NY210" s="47"/>
      <c r="NZ210" s="47"/>
      <c r="OA210" s="47"/>
      <c r="OB210" s="47"/>
      <c r="OC210" s="47"/>
      <c r="OD210" s="47"/>
      <c r="OE210" s="47"/>
      <c r="OF210" s="47"/>
      <c r="OG210" s="47"/>
      <c r="OH210" s="47"/>
      <c r="OI210" s="47"/>
      <c r="OJ210" s="47"/>
      <c r="OK210" s="47"/>
      <c r="OL210" s="47"/>
      <c r="OM210" s="47"/>
      <c r="ON210" s="47"/>
      <c r="OO210" s="47"/>
      <c r="OP210" s="47"/>
      <c r="OQ210" s="47"/>
      <c r="OR210" s="47"/>
      <c r="OS210" s="47"/>
      <c r="OT210" s="47"/>
      <c r="OU210" s="47"/>
      <c r="OV210" s="47"/>
      <c r="OW210" s="47"/>
      <c r="OX210" s="47"/>
      <c r="OY210" s="47"/>
      <c r="OZ210" s="47"/>
      <c r="PA210" s="47"/>
      <c r="PB210" s="47"/>
      <c r="PC210" s="47"/>
      <c r="PD210" s="47"/>
      <c r="PE210" s="47"/>
      <c r="PF210" s="47"/>
      <c r="PG210" s="47"/>
      <c r="PH210" s="47"/>
      <c r="PI210" s="47"/>
      <c r="PJ210" s="47"/>
      <c r="PK210" s="47"/>
      <c r="PL210" s="47"/>
      <c r="PM210" s="47"/>
      <c r="PN210" s="47"/>
      <c r="PO210" s="47"/>
      <c r="PP210" s="47"/>
      <c r="PQ210" s="47"/>
      <c r="PR210" s="47"/>
      <c r="PS210" s="47"/>
      <c r="PT210" s="47"/>
      <c r="PU210" s="47"/>
      <c r="PV210" s="47"/>
      <c r="PW210" s="47"/>
      <c r="PX210" s="47"/>
      <c r="PY210" s="47"/>
      <c r="PZ210" s="47"/>
      <c r="QA210" s="47"/>
      <c r="QB210" s="47"/>
      <c r="QC210" s="47"/>
      <c r="QD210" s="47"/>
      <c r="QE210" s="47"/>
      <c r="QF210" s="47"/>
      <c r="QG210" s="47"/>
      <c r="QH210" s="47"/>
      <c r="QI210" s="47"/>
      <c r="QJ210" s="47"/>
      <c r="QK210" s="47"/>
      <c r="QL210" s="47"/>
      <c r="QM210" s="47"/>
      <c r="QN210" s="47"/>
      <c r="QO210" s="47"/>
      <c r="QP210" s="47"/>
      <c r="QQ210" s="47"/>
      <c r="QR210" s="47"/>
      <c r="QS210" s="47"/>
      <c r="QT210" s="47"/>
      <c r="QU210" s="47"/>
      <c r="QV210" s="47"/>
      <c r="QW210" s="47"/>
      <c r="QX210" s="47"/>
      <c r="QY210" s="47"/>
      <c r="QZ210" s="47"/>
      <c r="RA210" s="47"/>
      <c r="RB210" s="47"/>
      <c r="RC210" s="47"/>
      <c r="RD210" s="47"/>
      <c r="RE210" s="47"/>
      <c r="RF210" s="47"/>
      <c r="RG210" s="47"/>
      <c r="RH210" s="47"/>
      <c r="RI210" s="47"/>
      <c r="RJ210" s="47"/>
      <c r="RK210" s="47"/>
      <c r="RL210" s="47"/>
      <c r="RM210" s="47"/>
      <c r="RN210" s="47"/>
      <c r="RO210" s="47"/>
      <c r="RP210" s="47"/>
      <c r="RQ210" s="47"/>
      <c r="RR210" s="47"/>
      <c r="RS210" s="47"/>
      <c r="RT210" s="47"/>
      <c r="RU210" s="47"/>
      <c r="RV210" s="47"/>
      <c r="RW210" s="47"/>
      <c r="RX210" s="47"/>
      <c r="RY210" s="47"/>
      <c r="RZ210" s="47"/>
      <c r="SA210" s="47"/>
      <c r="SB210" s="47"/>
      <c r="SC210" s="47"/>
      <c r="SD210" s="47"/>
      <c r="SE210" s="47"/>
      <c r="SF210" s="47"/>
      <c r="SG210" s="47"/>
      <c r="SH210" s="47"/>
      <c r="SI210" s="47"/>
      <c r="SJ210" s="47"/>
      <c r="SK210" s="47"/>
      <c r="SL210" s="47"/>
      <c r="SM210" s="47"/>
      <c r="SN210" s="47"/>
      <c r="SO210" s="47"/>
      <c r="SP210" s="47"/>
      <c r="SQ210" s="47"/>
      <c r="SR210" s="47"/>
      <c r="SS210" s="47"/>
      <c r="ST210" s="47"/>
      <c r="SU210" s="47"/>
      <c r="SV210" s="47"/>
      <c r="SW210" s="47"/>
      <c r="SX210" s="47"/>
      <c r="SY210" s="47"/>
      <c r="SZ210" s="47"/>
      <c r="TA210" s="47"/>
      <c r="TB210" s="47"/>
      <c r="TC210" s="47"/>
      <c r="TD210" s="47"/>
      <c r="TE210" s="47"/>
      <c r="TF210" s="47"/>
      <c r="TG210" s="47"/>
      <c r="TH210" s="47"/>
      <c r="TI210" s="47"/>
      <c r="TJ210" s="47"/>
      <c r="TK210" s="47"/>
      <c r="TL210" s="47"/>
      <c r="TM210" s="47"/>
      <c r="TN210" s="47"/>
      <c r="TO210" s="47"/>
      <c r="TP210" s="47"/>
      <c r="TQ210" s="47"/>
      <c r="TR210" s="47"/>
      <c r="TS210" s="47"/>
      <c r="TT210" s="47"/>
      <c r="TU210" s="47"/>
      <c r="TV210" s="47"/>
      <c r="TW210" s="47"/>
      <c r="TX210" s="47"/>
      <c r="TY210" s="47"/>
      <c r="TZ210" s="47"/>
      <c r="UA210" s="47"/>
      <c r="UB210" s="47"/>
      <c r="UC210" s="47"/>
      <c r="UD210" s="47"/>
      <c r="UE210" s="47"/>
      <c r="UF210" s="47"/>
      <c r="UG210" s="47"/>
      <c r="UH210" s="47"/>
      <c r="UI210" s="47"/>
      <c r="UJ210" s="47"/>
      <c r="UK210" s="47"/>
      <c r="UL210" s="47"/>
      <c r="UM210" s="47"/>
      <c r="UN210" s="47"/>
      <c r="UO210" s="47"/>
      <c r="UP210" s="47"/>
      <c r="UQ210" s="47"/>
      <c r="UR210" s="47"/>
      <c r="US210" s="47"/>
      <c r="UT210" s="47"/>
      <c r="UU210" s="47"/>
      <c r="UV210" s="47"/>
      <c r="UW210" s="47"/>
      <c r="UX210" s="47"/>
      <c r="UY210" s="47"/>
      <c r="UZ210" s="47"/>
      <c r="VA210" s="47"/>
      <c r="VB210" s="47"/>
      <c r="VC210" s="47"/>
      <c r="VD210" s="47"/>
      <c r="VE210" s="47"/>
      <c r="VF210" s="47"/>
    </row>
    <row r="211" spans="1:578" s="41" customFormat="1" ht="38.25" customHeight="1" x14ac:dyDescent="0.2">
      <c r="A211" s="39" t="s">
        <v>263</v>
      </c>
      <c r="B211" s="90" t="str">
        <f>'дод 3'!A142</f>
        <v>6011</v>
      </c>
      <c r="C211" s="90" t="str">
        <f>'дод 3'!B142</f>
        <v>0610</v>
      </c>
      <c r="D211" s="42" t="str">
        <f>'дод 3'!C142</f>
        <v>Експлуатація та технічне обслуговування житлового фонду</v>
      </c>
      <c r="E211" s="65">
        <v>0</v>
      </c>
      <c r="F211" s="65"/>
      <c r="G211" s="65"/>
      <c r="H211" s="65"/>
      <c r="I211" s="65"/>
      <c r="J211" s="65"/>
      <c r="K211" s="130"/>
      <c r="L211" s="65">
        <f t="shared" si="45"/>
        <v>26849450</v>
      </c>
      <c r="M211" s="65">
        <v>26849450</v>
      </c>
      <c r="N211" s="65"/>
      <c r="O211" s="65"/>
      <c r="P211" s="65"/>
      <c r="Q211" s="65">
        <f>26800000+72700-23250</f>
        <v>26849450</v>
      </c>
      <c r="R211" s="65">
        <f t="shared" si="71"/>
        <v>497909.74</v>
      </c>
      <c r="S211" s="65">
        <v>497909.74</v>
      </c>
      <c r="T211" s="65"/>
      <c r="U211" s="65"/>
      <c r="V211" s="65"/>
      <c r="W211" s="65">
        <v>497909.74</v>
      </c>
      <c r="X211" s="132">
        <f t="shared" si="68"/>
        <v>1.8544504263588266</v>
      </c>
      <c r="Y211" s="65">
        <f t="shared" si="69"/>
        <v>497909.74</v>
      </c>
      <c r="Z211" s="203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47"/>
      <c r="KC211" s="47"/>
      <c r="KD211" s="47"/>
      <c r="KE211" s="47"/>
      <c r="KF211" s="47"/>
      <c r="KG211" s="47"/>
      <c r="KH211" s="47"/>
      <c r="KI211" s="47"/>
      <c r="KJ211" s="47"/>
      <c r="KK211" s="47"/>
      <c r="KL211" s="47"/>
      <c r="KM211" s="47"/>
      <c r="KN211" s="47"/>
      <c r="KO211" s="47"/>
      <c r="KP211" s="47"/>
      <c r="KQ211" s="47"/>
      <c r="KR211" s="47"/>
      <c r="KS211" s="47"/>
      <c r="KT211" s="47"/>
      <c r="KU211" s="47"/>
      <c r="KV211" s="47"/>
      <c r="KW211" s="47"/>
      <c r="KX211" s="47"/>
      <c r="KY211" s="47"/>
      <c r="KZ211" s="47"/>
      <c r="LA211" s="47"/>
      <c r="LB211" s="47"/>
      <c r="LC211" s="47"/>
      <c r="LD211" s="47"/>
      <c r="LE211" s="47"/>
      <c r="LF211" s="47"/>
      <c r="LG211" s="47"/>
      <c r="LH211" s="47"/>
      <c r="LI211" s="47"/>
      <c r="LJ211" s="47"/>
      <c r="LK211" s="47"/>
      <c r="LL211" s="47"/>
      <c r="LM211" s="47"/>
      <c r="LN211" s="47"/>
      <c r="LO211" s="47"/>
      <c r="LP211" s="47"/>
      <c r="LQ211" s="47"/>
      <c r="LR211" s="47"/>
      <c r="LS211" s="47"/>
      <c r="LT211" s="47"/>
      <c r="LU211" s="47"/>
      <c r="LV211" s="47"/>
      <c r="LW211" s="47"/>
      <c r="LX211" s="47"/>
      <c r="LY211" s="47"/>
      <c r="LZ211" s="47"/>
      <c r="MA211" s="47"/>
      <c r="MB211" s="47"/>
      <c r="MC211" s="47"/>
      <c r="MD211" s="47"/>
      <c r="ME211" s="47"/>
      <c r="MF211" s="47"/>
      <c r="MG211" s="47"/>
      <c r="MH211" s="47"/>
      <c r="MI211" s="47"/>
      <c r="MJ211" s="47"/>
      <c r="MK211" s="47"/>
      <c r="ML211" s="47"/>
      <c r="MM211" s="47"/>
      <c r="MN211" s="47"/>
      <c r="MO211" s="47"/>
      <c r="MP211" s="47"/>
      <c r="MQ211" s="47"/>
      <c r="MR211" s="47"/>
      <c r="MS211" s="47"/>
      <c r="MT211" s="47"/>
      <c r="MU211" s="47"/>
      <c r="MV211" s="47"/>
      <c r="MW211" s="47"/>
      <c r="MX211" s="47"/>
      <c r="MY211" s="47"/>
      <c r="MZ211" s="47"/>
      <c r="NA211" s="47"/>
      <c r="NB211" s="47"/>
      <c r="NC211" s="47"/>
      <c r="ND211" s="47"/>
      <c r="NE211" s="47"/>
      <c r="NF211" s="47"/>
      <c r="NG211" s="47"/>
      <c r="NH211" s="47"/>
      <c r="NI211" s="47"/>
      <c r="NJ211" s="47"/>
      <c r="NK211" s="47"/>
      <c r="NL211" s="47"/>
      <c r="NM211" s="47"/>
      <c r="NN211" s="47"/>
      <c r="NO211" s="47"/>
      <c r="NP211" s="47"/>
      <c r="NQ211" s="47"/>
      <c r="NR211" s="47"/>
      <c r="NS211" s="47"/>
      <c r="NT211" s="47"/>
      <c r="NU211" s="47"/>
      <c r="NV211" s="47"/>
      <c r="NW211" s="47"/>
      <c r="NX211" s="47"/>
      <c r="NY211" s="47"/>
      <c r="NZ211" s="47"/>
      <c r="OA211" s="47"/>
      <c r="OB211" s="47"/>
      <c r="OC211" s="47"/>
      <c r="OD211" s="47"/>
      <c r="OE211" s="47"/>
      <c r="OF211" s="47"/>
      <c r="OG211" s="47"/>
      <c r="OH211" s="47"/>
      <c r="OI211" s="47"/>
      <c r="OJ211" s="47"/>
      <c r="OK211" s="47"/>
      <c r="OL211" s="47"/>
      <c r="OM211" s="47"/>
      <c r="ON211" s="47"/>
      <c r="OO211" s="47"/>
      <c r="OP211" s="47"/>
      <c r="OQ211" s="47"/>
      <c r="OR211" s="47"/>
      <c r="OS211" s="47"/>
      <c r="OT211" s="47"/>
      <c r="OU211" s="47"/>
      <c r="OV211" s="47"/>
      <c r="OW211" s="47"/>
      <c r="OX211" s="47"/>
      <c r="OY211" s="47"/>
      <c r="OZ211" s="47"/>
      <c r="PA211" s="47"/>
      <c r="PB211" s="47"/>
      <c r="PC211" s="47"/>
      <c r="PD211" s="47"/>
      <c r="PE211" s="47"/>
      <c r="PF211" s="47"/>
      <c r="PG211" s="47"/>
      <c r="PH211" s="47"/>
      <c r="PI211" s="47"/>
      <c r="PJ211" s="47"/>
      <c r="PK211" s="47"/>
      <c r="PL211" s="47"/>
      <c r="PM211" s="47"/>
      <c r="PN211" s="47"/>
      <c r="PO211" s="47"/>
      <c r="PP211" s="47"/>
      <c r="PQ211" s="47"/>
      <c r="PR211" s="47"/>
      <c r="PS211" s="47"/>
      <c r="PT211" s="47"/>
      <c r="PU211" s="47"/>
      <c r="PV211" s="47"/>
      <c r="PW211" s="47"/>
      <c r="PX211" s="47"/>
      <c r="PY211" s="47"/>
      <c r="PZ211" s="47"/>
      <c r="QA211" s="47"/>
      <c r="QB211" s="47"/>
      <c r="QC211" s="47"/>
      <c r="QD211" s="47"/>
      <c r="QE211" s="47"/>
      <c r="QF211" s="47"/>
      <c r="QG211" s="47"/>
      <c r="QH211" s="47"/>
      <c r="QI211" s="47"/>
      <c r="QJ211" s="47"/>
      <c r="QK211" s="47"/>
      <c r="QL211" s="47"/>
      <c r="QM211" s="47"/>
      <c r="QN211" s="47"/>
      <c r="QO211" s="47"/>
      <c r="QP211" s="47"/>
      <c r="QQ211" s="47"/>
      <c r="QR211" s="47"/>
      <c r="QS211" s="47"/>
      <c r="QT211" s="47"/>
      <c r="QU211" s="47"/>
      <c r="QV211" s="47"/>
      <c r="QW211" s="47"/>
      <c r="QX211" s="47"/>
      <c r="QY211" s="47"/>
      <c r="QZ211" s="47"/>
      <c r="RA211" s="47"/>
      <c r="RB211" s="47"/>
      <c r="RC211" s="47"/>
      <c r="RD211" s="47"/>
      <c r="RE211" s="47"/>
      <c r="RF211" s="47"/>
      <c r="RG211" s="47"/>
      <c r="RH211" s="47"/>
      <c r="RI211" s="47"/>
      <c r="RJ211" s="47"/>
      <c r="RK211" s="47"/>
      <c r="RL211" s="47"/>
      <c r="RM211" s="47"/>
      <c r="RN211" s="47"/>
      <c r="RO211" s="47"/>
      <c r="RP211" s="47"/>
      <c r="RQ211" s="47"/>
      <c r="RR211" s="47"/>
      <c r="RS211" s="47"/>
      <c r="RT211" s="47"/>
      <c r="RU211" s="47"/>
      <c r="RV211" s="47"/>
      <c r="RW211" s="47"/>
      <c r="RX211" s="47"/>
      <c r="RY211" s="47"/>
      <c r="RZ211" s="47"/>
      <c r="SA211" s="47"/>
      <c r="SB211" s="47"/>
      <c r="SC211" s="47"/>
      <c r="SD211" s="47"/>
      <c r="SE211" s="47"/>
      <c r="SF211" s="47"/>
      <c r="SG211" s="47"/>
      <c r="SH211" s="47"/>
      <c r="SI211" s="47"/>
      <c r="SJ211" s="47"/>
      <c r="SK211" s="47"/>
      <c r="SL211" s="47"/>
      <c r="SM211" s="47"/>
      <c r="SN211" s="47"/>
      <c r="SO211" s="47"/>
      <c r="SP211" s="47"/>
      <c r="SQ211" s="47"/>
      <c r="SR211" s="47"/>
      <c r="SS211" s="47"/>
      <c r="ST211" s="47"/>
      <c r="SU211" s="47"/>
      <c r="SV211" s="47"/>
      <c r="SW211" s="47"/>
      <c r="SX211" s="47"/>
      <c r="SY211" s="47"/>
      <c r="SZ211" s="47"/>
      <c r="TA211" s="47"/>
      <c r="TB211" s="47"/>
      <c r="TC211" s="47"/>
      <c r="TD211" s="47"/>
      <c r="TE211" s="47"/>
      <c r="TF211" s="47"/>
      <c r="TG211" s="47"/>
      <c r="TH211" s="47"/>
      <c r="TI211" s="47"/>
      <c r="TJ211" s="47"/>
      <c r="TK211" s="47"/>
      <c r="TL211" s="47"/>
      <c r="TM211" s="47"/>
      <c r="TN211" s="47"/>
      <c r="TO211" s="47"/>
      <c r="TP211" s="47"/>
      <c r="TQ211" s="47"/>
      <c r="TR211" s="47"/>
      <c r="TS211" s="47"/>
      <c r="TT211" s="47"/>
      <c r="TU211" s="47"/>
      <c r="TV211" s="47"/>
      <c r="TW211" s="47"/>
      <c r="TX211" s="47"/>
      <c r="TY211" s="47"/>
      <c r="TZ211" s="47"/>
      <c r="UA211" s="47"/>
      <c r="UB211" s="47"/>
      <c r="UC211" s="47"/>
      <c r="UD211" s="47"/>
      <c r="UE211" s="47"/>
      <c r="UF211" s="47"/>
      <c r="UG211" s="47"/>
      <c r="UH211" s="47"/>
      <c r="UI211" s="47"/>
      <c r="UJ211" s="47"/>
      <c r="UK211" s="47"/>
      <c r="UL211" s="47"/>
      <c r="UM211" s="47"/>
      <c r="UN211" s="47"/>
      <c r="UO211" s="47"/>
      <c r="UP211" s="47"/>
      <c r="UQ211" s="47"/>
      <c r="UR211" s="47"/>
      <c r="US211" s="47"/>
      <c r="UT211" s="47"/>
      <c r="UU211" s="47"/>
      <c r="UV211" s="47"/>
      <c r="UW211" s="47"/>
      <c r="UX211" s="47"/>
      <c r="UY211" s="47"/>
      <c r="UZ211" s="47"/>
      <c r="VA211" s="47"/>
      <c r="VB211" s="47"/>
      <c r="VC211" s="47"/>
      <c r="VD211" s="47"/>
      <c r="VE211" s="47"/>
      <c r="VF211" s="47"/>
    </row>
    <row r="212" spans="1:578" s="41" customFormat="1" ht="33" customHeight="1" x14ac:dyDescent="0.2">
      <c r="A212" s="39" t="s">
        <v>264</v>
      </c>
      <c r="B212" s="90" t="str">
        <f>'дод 3'!A143</f>
        <v>6013</v>
      </c>
      <c r="C212" s="90" t="str">
        <f>'дод 3'!B143</f>
        <v>0620</v>
      </c>
      <c r="D212" s="42" t="str">
        <f>'дод 3'!C143</f>
        <v>Забезпечення діяльності водопровідно-каналізаційного господарства</v>
      </c>
      <c r="E212" s="65">
        <v>14082357</v>
      </c>
      <c r="F212" s="65"/>
      <c r="G212" s="65">
        <v>15000</v>
      </c>
      <c r="H212" s="65">
        <v>8652971.7699999996</v>
      </c>
      <c r="I212" s="65"/>
      <c r="J212" s="65"/>
      <c r="K212" s="130">
        <f t="shared" si="70"/>
        <v>61.445479403767422</v>
      </c>
      <c r="L212" s="65">
        <f t="shared" si="45"/>
        <v>0</v>
      </c>
      <c r="M212" s="65"/>
      <c r="N212" s="65"/>
      <c r="O212" s="65"/>
      <c r="P212" s="65"/>
      <c r="Q212" s="65"/>
      <c r="R212" s="65">
        <f t="shared" si="71"/>
        <v>0</v>
      </c>
      <c r="S212" s="65"/>
      <c r="T212" s="65"/>
      <c r="U212" s="65"/>
      <c r="V212" s="65"/>
      <c r="W212" s="65"/>
      <c r="X212" s="132"/>
      <c r="Y212" s="65">
        <f t="shared" si="69"/>
        <v>8652971.7699999996</v>
      </c>
      <c r="Z212" s="203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47"/>
      <c r="KC212" s="47"/>
      <c r="KD212" s="47"/>
      <c r="KE212" s="47"/>
      <c r="KF212" s="47"/>
      <c r="KG212" s="47"/>
      <c r="KH212" s="47"/>
      <c r="KI212" s="47"/>
      <c r="KJ212" s="47"/>
      <c r="KK212" s="47"/>
      <c r="KL212" s="47"/>
      <c r="KM212" s="47"/>
      <c r="KN212" s="47"/>
      <c r="KO212" s="47"/>
      <c r="KP212" s="47"/>
      <c r="KQ212" s="47"/>
      <c r="KR212" s="47"/>
      <c r="KS212" s="47"/>
      <c r="KT212" s="47"/>
      <c r="KU212" s="47"/>
      <c r="KV212" s="47"/>
      <c r="KW212" s="47"/>
      <c r="KX212" s="47"/>
      <c r="KY212" s="47"/>
      <c r="KZ212" s="47"/>
      <c r="LA212" s="47"/>
      <c r="LB212" s="47"/>
      <c r="LC212" s="47"/>
      <c r="LD212" s="47"/>
      <c r="LE212" s="47"/>
      <c r="LF212" s="47"/>
      <c r="LG212" s="47"/>
      <c r="LH212" s="47"/>
      <c r="LI212" s="47"/>
      <c r="LJ212" s="47"/>
      <c r="LK212" s="47"/>
      <c r="LL212" s="47"/>
      <c r="LM212" s="47"/>
      <c r="LN212" s="47"/>
      <c r="LO212" s="47"/>
      <c r="LP212" s="47"/>
      <c r="LQ212" s="47"/>
      <c r="LR212" s="47"/>
      <c r="LS212" s="47"/>
      <c r="LT212" s="47"/>
      <c r="LU212" s="47"/>
      <c r="LV212" s="47"/>
      <c r="LW212" s="47"/>
      <c r="LX212" s="47"/>
      <c r="LY212" s="47"/>
      <c r="LZ212" s="47"/>
      <c r="MA212" s="47"/>
      <c r="MB212" s="47"/>
      <c r="MC212" s="47"/>
      <c r="MD212" s="47"/>
      <c r="ME212" s="47"/>
      <c r="MF212" s="47"/>
      <c r="MG212" s="47"/>
      <c r="MH212" s="47"/>
      <c r="MI212" s="47"/>
      <c r="MJ212" s="47"/>
      <c r="MK212" s="47"/>
      <c r="ML212" s="47"/>
      <c r="MM212" s="47"/>
      <c r="MN212" s="47"/>
      <c r="MO212" s="47"/>
      <c r="MP212" s="47"/>
      <c r="MQ212" s="47"/>
      <c r="MR212" s="47"/>
      <c r="MS212" s="47"/>
      <c r="MT212" s="47"/>
      <c r="MU212" s="47"/>
      <c r="MV212" s="47"/>
      <c r="MW212" s="47"/>
      <c r="MX212" s="47"/>
      <c r="MY212" s="47"/>
      <c r="MZ212" s="47"/>
      <c r="NA212" s="47"/>
      <c r="NB212" s="47"/>
      <c r="NC212" s="47"/>
      <c r="ND212" s="47"/>
      <c r="NE212" s="47"/>
      <c r="NF212" s="47"/>
      <c r="NG212" s="47"/>
      <c r="NH212" s="47"/>
      <c r="NI212" s="47"/>
      <c r="NJ212" s="47"/>
      <c r="NK212" s="47"/>
      <c r="NL212" s="47"/>
      <c r="NM212" s="47"/>
      <c r="NN212" s="47"/>
      <c r="NO212" s="47"/>
      <c r="NP212" s="47"/>
      <c r="NQ212" s="47"/>
      <c r="NR212" s="47"/>
      <c r="NS212" s="47"/>
      <c r="NT212" s="47"/>
      <c r="NU212" s="47"/>
      <c r="NV212" s="47"/>
      <c r="NW212" s="47"/>
      <c r="NX212" s="47"/>
      <c r="NY212" s="47"/>
      <c r="NZ212" s="47"/>
      <c r="OA212" s="47"/>
      <c r="OB212" s="47"/>
      <c r="OC212" s="47"/>
      <c r="OD212" s="47"/>
      <c r="OE212" s="47"/>
      <c r="OF212" s="47"/>
      <c r="OG212" s="47"/>
      <c r="OH212" s="47"/>
      <c r="OI212" s="47"/>
      <c r="OJ212" s="47"/>
      <c r="OK212" s="47"/>
      <c r="OL212" s="47"/>
      <c r="OM212" s="47"/>
      <c r="ON212" s="47"/>
      <c r="OO212" s="47"/>
      <c r="OP212" s="47"/>
      <c r="OQ212" s="47"/>
      <c r="OR212" s="47"/>
      <c r="OS212" s="47"/>
      <c r="OT212" s="47"/>
      <c r="OU212" s="47"/>
      <c r="OV212" s="47"/>
      <c r="OW212" s="47"/>
      <c r="OX212" s="47"/>
      <c r="OY212" s="47"/>
      <c r="OZ212" s="47"/>
      <c r="PA212" s="47"/>
      <c r="PB212" s="47"/>
      <c r="PC212" s="47"/>
      <c r="PD212" s="47"/>
      <c r="PE212" s="47"/>
      <c r="PF212" s="47"/>
      <c r="PG212" s="47"/>
      <c r="PH212" s="47"/>
      <c r="PI212" s="47"/>
      <c r="PJ212" s="47"/>
      <c r="PK212" s="47"/>
      <c r="PL212" s="47"/>
      <c r="PM212" s="47"/>
      <c r="PN212" s="47"/>
      <c r="PO212" s="47"/>
      <c r="PP212" s="47"/>
      <c r="PQ212" s="47"/>
      <c r="PR212" s="47"/>
      <c r="PS212" s="47"/>
      <c r="PT212" s="47"/>
      <c r="PU212" s="47"/>
      <c r="PV212" s="47"/>
      <c r="PW212" s="47"/>
      <c r="PX212" s="47"/>
      <c r="PY212" s="47"/>
      <c r="PZ212" s="47"/>
      <c r="QA212" s="47"/>
      <c r="QB212" s="47"/>
      <c r="QC212" s="47"/>
      <c r="QD212" s="47"/>
      <c r="QE212" s="47"/>
      <c r="QF212" s="47"/>
      <c r="QG212" s="47"/>
      <c r="QH212" s="47"/>
      <c r="QI212" s="47"/>
      <c r="QJ212" s="47"/>
      <c r="QK212" s="47"/>
      <c r="QL212" s="47"/>
      <c r="QM212" s="47"/>
      <c r="QN212" s="47"/>
      <c r="QO212" s="47"/>
      <c r="QP212" s="47"/>
      <c r="QQ212" s="47"/>
      <c r="QR212" s="47"/>
      <c r="QS212" s="47"/>
      <c r="QT212" s="47"/>
      <c r="QU212" s="47"/>
      <c r="QV212" s="47"/>
      <c r="QW212" s="47"/>
      <c r="QX212" s="47"/>
      <c r="QY212" s="47"/>
      <c r="QZ212" s="47"/>
      <c r="RA212" s="47"/>
      <c r="RB212" s="47"/>
      <c r="RC212" s="47"/>
      <c r="RD212" s="47"/>
      <c r="RE212" s="47"/>
      <c r="RF212" s="47"/>
      <c r="RG212" s="47"/>
      <c r="RH212" s="47"/>
      <c r="RI212" s="47"/>
      <c r="RJ212" s="47"/>
      <c r="RK212" s="47"/>
      <c r="RL212" s="47"/>
      <c r="RM212" s="47"/>
      <c r="RN212" s="47"/>
      <c r="RO212" s="47"/>
      <c r="RP212" s="47"/>
      <c r="RQ212" s="47"/>
      <c r="RR212" s="47"/>
      <c r="RS212" s="47"/>
      <c r="RT212" s="47"/>
      <c r="RU212" s="47"/>
      <c r="RV212" s="47"/>
      <c r="RW212" s="47"/>
      <c r="RX212" s="47"/>
      <c r="RY212" s="47"/>
      <c r="RZ212" s="47"/>
      <c r="SA212" s="47"/>
      <c r="SB212" s="47"/>
      <c r="SC212" s="47"/>
      <c r="SD212" s="47"/>
      <c r="SE212" s="47"/>
      <c r="SF212" s="47"/>
      <c r="SG212" s="47"/>
      <c r="SH212" s="47"/>
      <c r="SI212" s="47"/>
      <c r="SJ212" s="47"/>
      <c r="SK212" s="47"/>
      <c r="SL212" s="47"/>
      <c r="SM212" s="47"/>
      <c r="SN212" s="47"/>
      <c r="SO212" s="47"/>
      <c r="SP212" s="47"/>
      <c r="SQ212" s="47"/>
      <c r="SR212" s="47"/>
      <c r="SS212" s="47"/>
      <c r="ST212" s="47"/>
      <c r="SU212" s="47"/>
      <c r="SV212" s="47"/>
      <c r="SW212" s="47"/>
      <c r="SX212" s="47"/>
      <c r="SY212" s="47"/>
      <c r="SZ212" s="47"/>
      <c r="TA212" s="47"/>
      <c r="TB212" s="47"/>
      <c r="TC212" s="47"/>
      <c r="TD212" s="47"/>
      <c r="TE212" s="47"/>
      <c r="TF212" s="47"/>
      <c r="TG212" s="47"/>
      <c r="TH212" s="47"/>
      <c r="TI212" s="47"/>
      <c r="TJ212" s="47"/>
      <c r="TK212" s="47"/>
      <c r="TL212" s="47"/>
      <c r="TM212" s="47"/>
      <c r="TN212" s="47"/>
      <c r="TO212" s="47"/>
      <c r="TP212" s="47"/>
      <c r="TQ212" s="47"/>
      <c r="TR212" s="47"/>
      <c r="TS212" s="47"/>
      <c r="TT212" s="47"/>
      <c r="TU212" s="47"/>
      <c r="TV212" s="47"/>
      <c r="TW212" s="47"/>
      <c r="TX212" s="47"/>
      <c r="TY212" s="47"/>
      <c r="TZ212" s="47"/>
      <c r="UA212" s="47"/>
      <c r="UB212" s="47"/>
      <c r="UC212" s="47"/>
      <c r="UD212" s="47"/>
      <c r="UE212" s="47"/>
      <c r="UF212" s="47"/>
      <c r="UG212" s="47"/>
      <c r="UH212" s="47"/>
      <c r="UI212" s="47"/>
      <c r="UJ212" s="47"/>
      <c r="UK212" s="47"/>
      <c r="UL212" s="47"/>
      <c r="UM212" s="47"/>
      <c r="UN212" s="47"/>
      <c r="UO212" s="47"/>
      <c r="UP212" s="47"/>
      <c r="UQ212" s="47"/>
      <c r="UR212" s="47"/>
      <c r="US212" s="47"/>
      <c r="UT212" s="47"/>
      <c r="UU212" s="47"/>
      <c r="UV212" s="47"/>
      <c r="UW212" s="47"/>
      <c r="UX212" s="47"/>
      <c r="UY212" s="47"/>
      <c r="UZ212" s="47"/>
      <c r="VA212" s="47"/>
      <c r="VB212" s="47"/>
      <c r="VC212" s="47"/>
      <c r="VD212" s="47"/>
      <c r="VE212" s="47"/>
      <c r="VF212" s="47"/>
    </row>
    <row r="213" spans="1:578" s="41" customFormat="1" ht="27.75" customHeight="1" x14ac:dyDescent="0.2">
      <c r="A213" s="39" t="s">
        <v>335</v>
      </c>
      <c r="B213" s="90" t="str">
        <f>'дод 3'!A144</f>
        <v>6015</v>
      </c>
      <c r="C213" s="90" t="str">
        <f>'дод 3'!B144</f>
        <v>0620</v>
      </c>
      <c r="D213" s="42" t="str">
        <f>'дод 3'!C144</f>
        <v>Забезпечення надійної та безперебійної експлуатації ліфтів</v>
      </c>
      <c r="E213" s="65">
        <v>535300</v>
      </c>
      <c r="F213" s="65"/>
      <c r="G213" s="65"/>
      <c r="H213" s="65">
        <v>111631.14</v>
      </c>
      <c r="I213" s="65"/>
      <c r="J213" s="65"/>
      <c r="K213" s="130">
        <f t="shared" si="70"/>
        <v>20.853939846814871</v>
      </c>
      <c r="L213" s="65">
        <f t="shared" si="45"/>
        <v>19865000</v>
      </c>
      <c r="M213" s="65">
        <v>19865000</v>
      </c>
      <c r="N213" s="65"/>
      <c r="O213" s="65"/>
      <c r="P213" s="65"/>
      <c r="Q213" s="65">
        <v>19865000</v>
      </c>
      <c r="R213" s="65">
        <f t="shared" si="71"/>
        <v>1224546.3600000001</v>
      </c>
      <c r="S213" s="65">
        <v>1224546.3600000001</v>
      </c>
      <c r="T213" s="65"/>
      <c r="U213" s="65"/>
      <c r="V213" s="65"/>
      <c r="W213" s="65">
        <v>1224546.3600000001</v>
      </c>
      <c r="X213" s="132">
        <f t="shared" si="68"/>
        <v>6.1643411024414805</v>
      </c>
      <c r="Y213" s="65">
        <f t="shared" si="69"/>
        <v>1336177.5</v>
      </c>
      <c r="Z213" s="203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47"/>
      <c r="KC213" s="47"/>
      <c r="KD213" s="47"/>
      <c r="KE213" s="47"/>
      <c r="KF213" s="47"/>
      <c r="KG213" s="47"/>
      <c r="KH213" s="47"/>
      <c r="KI213" s="47"/>
      <c r="KJ213" s="47"/>
      <c r="KK213" s="47"/>
      <c r="KL213" s="47"/>
      <c r="KM213" s="47"/>
      <c r="KN213" s="47"/>
      <c r="KO213" s="47"/>
      <c r="KP213" s="47"/>
      <c r="KQ213" s="47"/>
      <c r="KR213" s="47"/>
      <c r="KS213" s="47"/>
      <c r="KT213" s="47"/>
      <c r="KU213" s="47"/>
      <c r="KV213" s="47"/>
      <c r="KW213" s="47"/>
      <c r="KX213" s="47"/>
      <c r="KY213" s="47"/>
      <c r="KZ213" s="47"/>
      <c r="LA213" s="47"/>
      <c r="LB213" s="47"/>
      <c r="LC213" s="47"/>
      <c r="LD213" s="47"/>
      <c r="LE213" s="47"/>
      <c r="LF213" s="47"/>
      <c r="LG213" s="47"/>
      <c r="LH213" s="47"/>
      <c r="LI213" s="47"/>
      <c r="LJ213" s="47"/>
      <c r="LK213" s="47"/>
      <c r="LL213" s="47"/>
      <c r="LM213" s="47"/>
      <c r="LN213" s="47"/>
      <c r="LO213" s="47"/>
      <c r="LP213" s="47"/>
      <c r="LQ213" s="47"/>
      <c r="LR213" s="47"/>
      <c r="LS213" s="47"/>
      <c r="LT213" s="47"/>
      <c r="LU213" s="47"/>
      <c r="LV213" s="47"/>
      <c r="LW213" s="47"/>
      <c r="LX213" s="47"/>
      <c r="LY213" s="47"/>
      <c r="LZ213" s="47"/>
      <c r="MA213" s="47"/>
      <c r="MB213" s="47"/>
      <c r="MC213" s="47"/>
      <c r="MD213" s="47"/>
      <c r="ME213" s="47"/>
      <c r="MF213" s="47"/>
      <c r="MG213" s="47"/>
      <c r="MH213" s="47"/>
      <c r="MI213" s="47"/>
      <c r="MJ213" s="47"/>
      <c r="MK213" s="47"/>
      <c r="ML213" s="47"/>
      <c r="MM213" s="47"/>
      <c r="MN213" s="47"/>
      <c r="MO213" s="47"/>
      <c r="MP213" s="47"/>
      <c r="MQ213" s="47"/>
      <c r="MR213" s="47"/>
      <c r="MS213" s="47"/>
      <c r="MT213" s="47"/>
      <c r="MU213" s="47"/>
      <c r="MV213" s="47"/>
      <c r="MW213" s="47"/>
      <c r="MX213" s="47"/>
      <c r="MY213" s="47"/>
      <c r="MZ213" s="47"/>
      <c r="NA213" s="47"/>
      <c r="NB213" s="47"/>
      <c r="NC213" s="47"/>
      <c r="ND213" s="47"/>
      <c r="NE213" s="47"/>
      <c r="NF213" s="47"/>
      <c r="NG213" s="47"/>
      <c r="NH213" s="47"/>
      <c r="NI213" s="47"/>
      <c r="NJ213" s="47"/>
      <c r="NK213" s="47"/>
      <c r="NL213" s="47"/>
      <c r="NM213" s="47"/>
      <c r="NN213" s="47"/>
      <c r="NO213" s="47"/>
      <c r="NP213" s="47"/>
      <c r="NQ213" s="47"/>
      <c r="NR213" s="47"/>
      <c r="NS213" s="47"/>
      <c r="NT213" s="47"/>
      <c r="NU213" s="47"/>
      <c r="NV213" s="47"/>
      <c r="NW213" s="47"/>
      <c r="NX213" s="47"/>
      <c r="NY213" s="47"/>
      <c r="NZ213" s="47"/>
      <c r="OA213" s="47"/>
      <c r="OB213" s="47"/>
      <c r="OC213" s="47"/>
      <c r="OD213" s="47"/>
      <c r="OE213" s="47"/>
      <c r="OF213" s="47"/>
      <c r="OG213" s="47"/>
      <c r="OH213" s="47"/>
      <c r="OI213" s="47"/>
      <c r="OJ213" s="47"/>
      <c r="OK213" s="47"/>
      <c r="OL213" s="47"/>
      <c r="OM213" s="47"/>
      <c r="ON213" s="47"/>
      <c r="OO213" s="47"/>
      <c r="OP213" s="47"/>
      <c r="OQ213" s="47"/>
      <c r="OR213" s="47"/>
      <c r="OS213" s="47"/>
      <c r="OT213" s="47"/>
      <c r="OU213" s="47"/>
      <c r="OV213" s="47"/>
      <c r="OW213" s="47"/>
      <c r="OX213" s="47"/>
      <c r="OY213" s="47"/>
      <c r="OZ213" s="47"/>
      <c r="PA213" s="47"/>
      <c r="PB213" s="47"/>
      <c r="PC213" s="47"/>
      <c r="PD213" s="47"/>
      <c r="PE213" s="47"/>
      <c r="PF213" s="47"/>
      <c r="PG213" s="47"/>
      <c r="PH213" s="47"/>
      <c r="PI213" s="47"/>
      <c r="PJ213" s="47"/>
      <c r="PK213" s="47"/>
      <c r="PL213" s="47"/>
      <c r="PM213" s="47"/>
      <c r="PN213" s="47"/>
      <c r="PO213" s="47"/>
      <c r="PP213" s="47"/>
      <c r="PQ213" s="47"/>
      <c r="PR213" s="47"/>
      <c r="PS213" s="47"/>
      <c r="PT213" s="47"/>
      <c r="PU213" s="47"/>
      <c r="PV213" s="47"/>
      <c r="PW213" s="47"/>
      <c r="PX213" s="47"/>
      <c r="PY213" s="47"/>
      <c r="PZ213" s="47"/>
      <c r="QA213" s="47"/>
      <c r="QB213" s="47"/>
      <c r="QC213" s="47"/>
      <c r="QD213" s="47"/>
      <c r="QE213" s="47"/>
      <c r="QF213" s="47"/>
      <c r="QG213" s="47"/>
      <c r="QH213" s="47"/>
      <c r="QI213" s="47"/>
      <c r="QJ213" s="47"/>
      <c r="QK213" s="47"/>
      <c r="QL213" s="47"/>
      <c r="QM213" s="47"/>
      <c r="QN213" s="47"/>
      <c r="QO213" s="47"/>
      <c r="QP213" s="47"/>
      <c r="QQ213" s="47"/>
      <c r="QR213" s="47"/>
      <c r="QS213" s="47"/>
      <c r="QT213" s="47"/>
      <c r="QU213" s="47"/>
      <c r="QV213" s="47"/>
      <c r="QW213" s="47"/>
      <c r="QX213" s="47"/>
      <c r="QY213" s="47"/>
      <c r="QZ213" s="47"/>
      <c r="RA213" s="47"/>
      <c r="RB213" s="47"/>
      <c r="RC213" s="47"/>
      <c r="RD213" s="47"/>
      <c r="RE213" s="47"/>
      <c r="RF213" s="47"/>
      <c r="RG213" s="47"/>
      <c r="RH213" s="47"/>
      <c r="RI213" s="47"/>
      <c r="RJ213" s="47"/>
      <c r="RK213" s="47"/>
      <c r="RL213" s="47"/>
      <c r="RM213" s="47"/>
      <c r="RN213" s="47"/>
      <c r="RO213" s="47"/>
      <c r="RP213" s="47"/>
      <c r="RQ213" s="47"/>
      <c r="RR213" s="47"/>
      <c r="RS213" s="47"/>
      <c r="RT213" s="47"/>
      <c r="RU213" s="47"/>
      <c r="RV213" s="47"/>
      <c r="RW213" s="47"/>
      <c r="RX213" s="47"/>
      <c r="RY213" s="47"/>
      <c r="RZ213" s="47"/>
      <c r="SA213" s="47"/>
      <c r="SB213" s="47"/>
      <c r="SC213" s="47"/>
      <c r="SD213" s="47"/>
      <c r="SE213" s="47"/>
      <c r="SF213" s="47"/>
      <c r="SG213" s="47"/>
      <c r="SH213" s="47"/>
      <c r="SI213" s="47"/>
      <c r="SJ213" s="47"/>
      <c r="SK213" s="47"/>
      <c r="SL213" s="47"/>
      <c r="SM213" s="47"/>
      <c r="SN213" s="47"/>
      <c r="SO213" s="47"/>
      <c r="SP213" s="47"/>
      <c r="SQ213" s="47"/>
      <c r="SR213" s="47"/>
      <c r="SS213" s="47"/>
      <c r="ST213" s="47"/>
      <c r="SU213" s="47"/>
      <c r="SV213" s="47"/>
      <c r="SW213" s="47"/>
      <c r="SX213" s="47"/>
      <c r="SY213" s="47"/>
      <c r="SZ213" s="47"/>
      <c r="TA213" s="47"/>
      <c r="TB213" s="47"/>
      <c r="TC213" s="47"/>
      <c r="TD213" s="47"/>
      <c r="TE213" s="47"/>
      <c r="TF213" s="47"/>
      <c r="TG213" s="47"/>
      <c r="TH213" s="47"/>
      <c r="TI213" s="47"/>
      <c r="TJ213" s="47"/>
      <c r="TK213" s="47"/>
      <c r="TL213" s="47"/>
      <c r="TM213" s="47"/>
      <c r="TN213" s="47"/>
      <c r="TO213" s="47"/>
      <c r="TP213" s="47"/>
      <c r="TQ213" s="47"/>
      <c r="TR213" s="47"/>
      <c r="TS213" s="47"/>
      <c r="TT213" s="47"/>
      <c r="TU213" s="47"/>
      <c r="TV213" s="47"/>
      <c r="TW213" s="47"/>
      <c r="TX213" s="47"/>
      <c r="TY213" s="47"/>
      <c r="TZ213" s="47"/>
      <c r="UA213" s="47"/>
      <c r="UB213" s="47"/>
      <c r="UC213" s="47"/>
      <c r="UD213" s="47"/>
      <c r="UE213" s="47"/>
      <c r="UF213" s="47"/>
      <c r="UG213" s="47"/>
      <c r="UH213" s="47"/>
      <c r="UI213" s="47"/>
      <c r="UJ213" s="47"/>
      <c r="UK213" s="47"/>
      <c r="UL213" s="47"/>
      <c r="UM213" s="47"/>
      <c r="UN213" s="47"/>
      <c r="UO213" s="47"/>
      <c r="UP213" s="47"/>
      <c r="UQ213" s="47"/>
      <c r="UR213" s="47"/>
      <c r="US213" s="47"/>
      <c r="UT213" s="47"/>
      <c r="UU213" s="47"/>
      <c r="UV213" s="47"/>
      <c r="UW213" s="47"/>
      <c r="UX213" s="47"/>
      <c r="UY213" s="47"/>
      <c r="UZ213" s="47"/>
      <c r="VA213" s="47"/>
      <c r="VB213" s="47"/>
      <c r="VC213" s="47"/>
      <c r="VD213" s="47"/>
      <c r="VE213" s="47"/>
      <c r="VF213" s="47"/>
    </row>
    <row r="214" spans="1:578" s="41" customFormat="1" ht="38.25" customHeight="1" x14ac:dyDescent="0.2">
      <c r="A214" s="39" t="s">
        <v>505</v>
      </c>
      <c r="B214" s="90" t="str">
        <f>'дод 3'!A145</f>
        <v>6016</v>
      </c>
      <c r="C214" s="90" t="str">
        <f>'дод 3'!B145</f>
        <v>0620</v>
      </c>
      <c r="D214" s="42" t="str">
        <f>'дод 3'!C145</f>
        <v>Впровадження засобів обліку витрат та регулювання споживання води та теплової енергії</v>
      </c>
      <c r="E214" s="65">
        <v>0</v>
      </c>
      <c r="F214" s="65"/>
      <c r="G214" s="65"/>
      <c r="H214" s="65"/>
      <c r="I214" s="65"/>
      <c r="J214" s="65"/>
      <c r="K214" s="130"/>
      <c r="L214" s="65">
        <f t="shared" si="45"/>
        <v>1136130</v>
      </c>
      <c r="M214" s="65">
        <v>1136130</v>
      </c>
      <c r="N214" s="65"/>
      <c r="O214" s="65"/>
      <c r="P214" s="65"/>
      <c r="Q214" s="65">
        <f>1108600+27530</f>
        <v>1136130</v>
      </c>
      <c r="R214" s="65">
        <f t="shared" si="71"/>
        <v>27529.98</v>
      </c>
      <c r="S214" s="65">
        <v>27529.98</v>
      </c>
      <c r="T214" s="65"/>
      <c r="U214" s="65"/>
      <c r="V214" s="65"/>
      <c r="W214" s="65">
        <v>27529.98</v>
      </c>
      <c r="X214" s="132">
        <f t="shared" si="68"/>
        <v>2.4231364368514163</v>
      </c>
      <c r="Y214" s="65">
        <f t="shared" si="69"/>
        <v>27529.98</v>
      </c>
      <c r="Z214" s="203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  <c r="OB214" s="47"/>
      <c r="OC214" s="47"/>
      <c r="OD214" s="47"/>
      <c r="OE214" s="47"/>
      <c r="OF214" s="47"/>
      <c r="OG214" s="47"/>
      <c r="OH214" s="47"/>
      <c r="OI214" s="47"/>
      <c r="OJ214" s="47"/>
      <c r="OK214" s="47"/>
      <c r="OL214" s="47"/>
      <c r="OM214" s="47"/>
      <c r="ON214" s="47"/>
      <c r="OO214" s="47"/>
      <c r="OP214" s="47"/>
      <c r="OQ214" s="47"/>
      <c r="OR214" s="47"/>
      <c r="OS214" s="47"/>
      <c r="OT214" s="47"/>
      <c r="OU214" s="47"/>
      <c r="OV214" s="47"/>
      <c r="OW214" s="47"/>
      <c r="OX214" s="47"/>
      <c r="OY214" s="47"/>
      <c r="OZ214" s="47"/>
      <c r="PA214" s="47"/>
      <c r="PB214" s="47"/>
      <c r="PC214" s="47"/>
      <c r="PD214" s="47"/>
      <c r="PE214" s="47"/>
      <c r="PF214" s="47"/>
      <c r="PG214" s="47"/>
      <c r="PH214" s="47"/>
      <c r="PI214" s="47"/>
      <c r="PJ214" s="47"/>
      <c r="PK214" s="47"/>
      <c r="PL214" s="47"/>
      <c r="PM214" s="47"/>
      <c r="PN214" s="47"/>
      <c r="PO214" s="47"/>
      <c r="PP214" s="47"/>
      <c r="PQ214" s="47"/>
      <c r="PR214" s="47"/>
      <c r="PS214" s="47"/>
      <c r="PT214" s="47"/>
      <c r="PU214" s="47"/>
      <c r="PV214" s="47"/>
      <c r="PW214" s="47"/>
      <c r="PX214" s="47"/>
      <c r="PY214" s="47"/>
      <c r="PZ214" s="47"/>
      <c r="QA214" s="47"/>
      <c r="QB214" s="47"/>
      <c r="QC214" s="47"/>
      <c r="QD214" s="47"/>
      <c r="QE214" s="47"/>
      <c r="QF214" s="47"/>
      <c r="QG214" s="47"/>
      <c r="QH214" s="47"/>
      <c r="QI214" s="47"/>
      <c r="QJ214" s="47"/>
      <c r="QK214" s="47"/>
      <c r="QL214" s="47"/>
      <c r="QM214" s="47"/>
      <c r="QN214" s="47"/>
      <c r="QO214" s="47"/>
      <c r="QP214" s="47"/>
      <c r="QQ214" s="47"/>
      <c r="QR214" s="47"/>
      <c r="QS214" s="47"/>
      <c r="QT214" s="47"/>
      <c r="QU214" s="47"/>
      <c r="QV214" s="47"/>
      <c r="QW214" s="47"/>
      <c r="QX214" s="47"/>
      <c r="QY214" s="47"/>
      <c r="QZ214" s="47"/>
      <c r="RA214" s="47"/>
      <c r="RB214" s="47"/>
      <c r="RC214" s="47"/>
      <c r="RD214" s="47"/>
      <c r="RE214" s="47"/>
      <c r="RF214" s="47"/>
      <c r="RG214" s="47"/>
      <c r="RH214" s="47"/>
      <c r="RI214" s="47"/>
      <c r="RJ214" s="47"/>
      <c r="RK214" s="47"/>
      <c r="RL214" s="47"/>
      <c r="RM214" s="47"/>
      <c r="RN214" s="47"/>
      <c r="RO214" s="47"/>
      <c r="RP214" s="47"/>
      <c r="RQ214" s="47"/>
      <c r="RR214" s="47"/>
      <c r="RS214" s="47"/>
      <c r="RT214" s="47"/>
      <c r="RU214" s="47"/>
      <c r="RV214" s="47"/>
      <c r="RW214" s="47"/>
      <c r="RX214" s="47"/>
      <c r="RY214" s="47"/>
      <c r="RZ214" s="47"/>
      <c r="SA214" s="47"/>
      <c r="SB214" s="47"/>
      <c r="SC214" s="47"/>
      <c r="SD214" s="47"/>
      <c r="SE214" s="47"/>
      <c r="SF214" s="47"/>
      <c r="SG214" s="47"/>
      <c r="SH214" s="47"/>
      <c r="SI214" s="47"/>
      <c r="SJ214" s="47"/>
      <c r="SK214" s="47"/>
      <c r="SL214" s="47"/>
      <c r="SM214" s="47"/>
      <c r="SN214" s="47"/>
      <c r="SO214" s="47"/>
      <c r="SP214" s="47"/>
      <c r="SQ214" s="47"/>
      <c r="SR214" s="47"/>
      <c r="SS214" s="47"/>
      <c r="ST214" s="47"/>
      <c r="SU214" s="47"/>
      <c r="SV214" s="47"/>
      <c r="SW214" s="47"/>
      <c r="SX214" s="47"/>
      <c r="SY214" s="47"/>
      <c r="SZ214" s="47"/>
      <c r="TA214" s="47"/>
      <c r="TB214" s="47"/>
      <c r="TC214" s="47"/>
      <c r="TD214" s="47"/>
      <c r="TE214" s="47"/>
      <c r="TF214" s="47"/>
      <c r="TG214" s="47"/>
      <c r="TH214" s="47"/>
      <c r="TI214" s="47"/>
      <c r="TJ214" s="47"/>
      <c r="TK214" s="47"/>
      <c r="TL214" s="47"/>
      <c r="TM214" s="47"/>
      <c r="TN214" s="47"/>
      <c r="TO214" s="47"/>
      <c r="TP214" s="47"/>
      <c r="TQ214" s="47"/>
      <c r="TR214" s="47"/>
      <c r="TS214" s="47"/>
      <c r="TT214" s="47"/>
      <c r="TU214" s="47"/>
      <c r="TV214" s="47"/>
      <c r="TW214" s="47"/>
      <c r="TX214" s="47"/>
      <c r="TY214" s="47"/>
      <c r="TZ214" s="47"/>
      <c r="UA214" s="47"/>
      <c r="UB214" s="47"/>
      <c r="UC214" s="47"/>
      <c r="UD214" s="47"/>
      <c r="UE214" s="47"/>
      <c r="UF214" s="47"/>
      <c r="UG214" s="47"/>
      <c r="UH214" s="47"/>
      <c r="UI214" s="47"/>
      <c r="UJ214" s="47"/>
      <c r="UK214" s="47"/>
      <c r="UL214" s="47"/>
      <c r="UM214" s="47"/>
      <c r="UN214" s="47"/>
      <c r="UO214" s="47"/>
      <c r="UP214" s="47"/>
      <c r="UQ214" s="47"/>
      <c r="UR214" s="47"/>
      <c r="US214" s="47"/>
      <c r="UT214" s="47"/>
      <c r="UU214" s="47"/>
      <c r="UV214" s="47"/>
      <c r="UW214" s="47"/>
      <c r="UX214" s="47"/>
      <c r="UY214" s="47"/>
      <c r="UZ214" s="47"/>
      <c r="VA214" s="47"/>
      <c r="VB214" s="47"/>
      <c r="VC214" s="47"/>
      <c r="VD214" s="47"/>
      <c r="VE214" s="47"/>
      <c r="VF214" s="47"/>
    </row>
    <row r="215" spans="1:578" s="41" customFormat="1" ht="38.25" customHeight="1" x14ac:dyDescent="0.2">
      <c r="A215" s="39" t="s">
        <v>338</v>
      </c>
      <c r="B215" s="90" t="str">
        <f>'дод 3'!A146</f>
        <v>6017</v>
      </c>
      <c r="C215" s="90" t="str">
        <f>'дод 3'!B146</f>
        <v>0620</v>
      </c>
      <c r="D215" s="42" t="str">
        <f>'дод 3'!C146</f>
        <v xml:space="preserve">Інша діяльність, пов’язана з експлуатацією об’єктів житлово-комунального господарства </v>
      </c>
      <c r="E215" s="65">
        <v>500000</v>
      </c>
      <c r="F215" s="65"/>
      <c r="G215" s="65"/>
      <c r="H215" s="65"/>
      <c r="I215" s="65"/>
      <c r="J215" s="65"/>
      <c r="K215" s="130">
        <f t="shared" si="70"/>
        <v>0</v>
      </c>
      <c r="L215" s="65">
        <f t="shared" si="45"/>
        <v>0</v>
      </c>
      <c r="M215" s="65"/>
      <c r="N215" s="65"/>
      <c r="O215" s="65"/>
      <c r="P215" s="65"/>
      <c r="Q215" s="65"/>
      <c r="R215" s="65">
        <f t="shared" si="71"/>
        <v>0</v>
      </c>
      <c r="S215" s="65"/>
      <c r="T215" s="65"/>
      <c r="U215" s="65"/>
      <c r="V215" s="65"/>
      <c r="W215" s="65"/>
      <c r="X215" s="132"/>
      <c r="Y215" s="65">
        <f t="shared" si="69"/>
        <v>0</v>
      </c>
      <c r="Z215" s="203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  <c r="OB215" s="47"/>
      <c r="OC215" s="47"/>
      <c r="OD215" s="47"/>
      <c r="OE215" s="47"/>
      <c r="OF215" s="47"/>
      <c r="OG215" s="47"/>
      <c r="OH215" s="47"/>
      <c r="OI215" s="47"/>
      <c r="OJ215" s="47"/>
      <c r="OK215" s="47"/>
      <c r="OL215" s="47"/>
      <c r="OM215" s="47"/>
      <c r="ON215" s="47"/>
      <c r="OO215" s="47"/>
      <c r="OP215" s="47"/>
      <c r="OQ215" s="47"/>
      <c r="OR215" s="47"/>
      <c r="OS215" s="47"/>
      <c r="OT215" s="47"/>
      <c r="OU215" s="47"/>
      <c r="OV215" s="47"/>
      <c r="OW215" s="47"/>
      <c r="OX215" s="47"/>
      <c r="OY215" s="47"/>
      <c r="OZ215" s="47"/>
      <c r="PA215" s="47"/>
      <c r="PB215" s="47"/>
      <c r="PC215" s="47"/>
      <c r="PD215" s="47"/>
      <c r="PE215" s="47"/>
      <c r="PF215" s="47"/>
      <c r="PG215" s="47"/>
      <c r="PH215" s="47"/>
      <c r="PI215" s="47"/>
      <c r="PJ215" s="47"/>
      <c r="PK215" s="47"/>
      <c r="PL215" s="47"/>
      <c r="PM215" s="47"/>
      <c r="PN215" s="47"/>
      <c r="PO215" s="47"/>
      <c r="PP215" s="47"/>
      <c r="PQ215" s="47"/>
      <c r="PR215" s="47"/>
      <c r="PS215" s="47"/>
      <c r="PT215" s="47"/>
      <c r="PU215" s="47"/>
      <c r="PV215" s="47"/>
      <c r="PW215" s="47"/>
      <c r="PX215" s="47"/>
      <c r="PY215" s="47"/>
      <c r="PZ215" s="47"/>
      <c r="QA215" s="47"/>
      <c r="QB215" s="47"/>
      <c r="QC215" s="47"/>
      <c r="QD215" s="47"/>
      <c r="QE215" s="47"/>
      <c r="QF215" s="47"/>
      <c r="QG215" s="47"/>
      <c r="QH215" s="47"/>
      <c r="QI215" s="47"/>
      <c r="QJ215" s="47"/>
      <c r="QK215" s="47"/>
      <c r="QL215" s="47"/>
      <c r="QM215" s="47"/>
      <c r="QN215" s="47"/>
      <c r="QO215" s="47"/>
      <c r="QP215" s="47"/>
      <c r="QQ215" s="47"/>
      <c r="QR215" s="47"/>
      <c r="QS215" s="47"/>
      <c r="QT215" s="47"/>
      <c r="QU215" s="47"/>
      <c r="QV215" s="47"/>
      <c r="QW215" s="47"/>
      <c r="QX215" s="47"/>
      <c r="QY215" s="47"/>
      <c r="QZ215" s="47"/>
      <c r="RA215" s="47"/>
      <c r="RB215" s="47"/>
      <c r="RC215" s="47"/>
      <c r="RD215" s="47"/>
      <c r="RE215" s="47"/>
      <c r="RF215" s="47"/>
      <c r="RG215" s="47"/>
      <c r="RH215" s="47"/>
      <c r="RI215" s="47"/>
      <c r="RJ215" s="47"/>
      <c r="RK215" s="47"/>
      <c r="RL215" s="47"/>
      <c r="RM215" s="47"/>
      <c r="RN215" s="47"/>
      <c r="RO215" s="47"/>
      <c r="RP215" s="47"/>
      <c r="RQ215" s="47"/>
      <c r="RR215" s="47"/>
      <c r="RS215" s="47"/>
      <c r="RT215" s="47"/>
      <c r="RU215" s="47"/>
      <c r="RV215" s="47"/>
      <c r="RW215" s="47"/>
      <c r="RX215" s="47"/>
      <c r="RY215" s="47"/>
      <c r="RZ215" s="47"/>
      <c r="SA215" s="47"/>
      <c r="SB215" s="47"/>
      <c r="SC215" s="47"/>
      <c r="SD215" s="47"/>
      <c r="SE215" s="47"/>
      <c r="SF215" s="47"/>
      <c r="SG215" s="47"/>
      <c r="SH215" s="47"/>
      <c r="SI215" s="47"/>
      <c r="SJ215" s="47"/>
      <c r="SK215" s="47"/>
      <c r="SL215" s="47"/>
      <c r="SM215" s="47"/>
      <c r="SN215" s="47"/>
      <c r="SO215" s="47"/>
      <c r="SP215" s="47"/>
      <c r="SQ215" s="47"/>
      <c r="SR215" s="47"/>
      <c r="SS215" s="47"/>
      <c r="ST215" s="47"/>
      <c r="SU215" s="47"/>
      <c r="SV215" s="47"/>
      <c r="SW215" s="47"/>
      <c r="SX215" s="47"/>
      <c r="SY215" s="47"/>
      <c r="SZ215" s="47"/>
      <c r="TA215" s="47"/>
      <c r="TB215" s="47"/>
      <c r="TC215" s="47"/>
      <c r="TD215" s="47"/>
      <c r="TE215" s="47"/>
      <c r="TF215" s="47"/>
      <c r="TG215" s="47"/>
      <c r="TH215" s="47"/>
      <c r="TI215" s="47"/>
      <c r="TJ215" s="47"/>
      <c r="TK215" s="47"/>
      <c r="TL215" s="47"/>
      <c r="TM215" s="47"/>
      <c r="TN215" s="47"/>
      <c r="TO215" s="47"/>
      <c r="TP215" s="47"/>
      <c r="TQ215" s="47"/>
      <c r="TR215" s="47"/>
      <c r="TS215" s="47"/>
      <c r="TT215" s="47"/>
      <c r="TU215" s="47"/>
      <c r="TV215" s="47"/>
      <c r="TW215" s="47"/>
      <c r="TX215" s="47"/>
      <c r="TY215" s="47"/>
      <c r="TZ215" s="47"/>
      <c r="UA215" s="47"/>
      <c r="UB215" s="47"/>
      <c r="UC215" s="47"/>
      <c r="UD215" s="47"/>
      <c r="UE215" s="47"/>
      <c r="UF215" s="47"/>
      <c r="UG215" s="47"/>
      <c r="UH215" s="47"/>
      <c r="UI215" s="47"/>
      <c r="UJ215" s="47"/>
      <c r="UK215" s="47"/>
      <c r="UL215" s="47"/>
      <c r="UM215" s="47"/>
      <c r="UN215" s="47"/>
      <c r="UO215" s="47"/>
      <c r="UP215" s="47"/>
      <c r="UQ215" s="47"/>
      <c r="UR215" s="47"/>
      <c r="US215" s="47"/>
      <c r="UT215" s="47"/>
      <c r="UU215" s="47"/>
      <c r="UV215" s="47"/>
      <c r="UW215" s="47"/>
      <c r="UX215" s="47"/>
      <c r="UY215" s="47"/>
      <c r="UZ215" s="47"/>
      <c r="VA215" s="47"/>
      <c r="VB215" s="47"/>
      <c r="VC215" s="47"/>
      <c r="VD215" s="47"/>
      <c r="VE215" s="47"/>
      <c r="VF215" s="47"/>
    </row>
    <row r="216" spans="1:578" s="41" customFormat="1" ht="45" x14ac:dyDescent="0.2">
      <c r="A216" s="39" t="s">
        <v>265</v>
      </c>
      <c r="B216" s="90" t="str">
        <f>'дод 3'!A147</f>
        <v>6020</v>
      </c>
      <c r="C216" s="90" t="str">
        <f>'дод 3'!B147</f>
        <v>0620</v>
      </c>
      <c r="D216" s="42" t="str">
        <f>'дод 3'!C147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65">
        <v>1044000</v>
      </c>
      <c r="F216" s="65"/>
      <c r="G216" s="65"/>
      <c r="H216" s="65">
        <v>782908.12</v>
      </c>
      <c r="I216" s="65"/>
      <c r="J216" s="65"/>
      <c r="K216" s="130">
        <f t="shared" si="70"/>
        <v>74.991199233716472</v>
      </c>
      <c r="L216" s="65">
        <f t="shared" si="45"/>
        <v>0</v>
      </c>
      <c r="M216" s="65"/>
      <c r="N216" s="65"/>
      <c r="O216" s="65"/>
      <c r="P216" s="65"/>
      <c r="Q216" s="65"/>
      <c r="R216" s="65">
        <f t="shared" si="71"/>
        <v>0</v>
      </c>
      <c r="S216" s="65"/>
      <c r="T216" s="65"/>
      <c r="U216" s="65"/>
      <c r="V216" s="65"/>
      <c r="W216" s="65"/>
      <c r="X216" s="132"/>
      <c r="Y216" s="65">
        <f t="shared" si="69"/>
        <v>782908.12</v>
      </c>
      <c r="Z216" s="203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  <c r="OB216" s="47"/>
      <c r="OC216" s="47"/>
      <c r="OD216" s="47"/>
      <c r="OE216" s="47"/>
      <c r="OF216" s="47"/>
      <c r="OG216" s="47"/>
      <c r="OH216" s="47"/>
      <c r="OI216" s="47"/>
      <c r="OJ216" s="47"/>
      <c r="OK216" s="47"/>
      <c r="OL216" s="47"/>
      <c r="OM216" s="47"/>
      <c r="ON216" s="47"/>
      <c r="OO216" s="47"/>
      <c r="OP216" s="47"/>
      <c r="OQ216" s="47"/>
      <c r="OR216" s="47"/>
      <c r="OS216" s="47"/>
      <c r="OT216" s="47"/>
      <c r="OU216" s="47"/>
      <c r="OV216" s="47"/>
      <c r="OW216" s="47"/>
      <c r="OX216" s="47"/>
      <c r="OY216" s="47"/>
      <c r="OZ216" s="47"/>
      <c r="PA216" s="47"/>
      <c r="PB216" s="47"/>
      <c r="PC216" s="47"/>
      <c r="PD216" s="47"/>
      <c r="PE216" s="47"/>
      <c r="PF216" s="47"/>
      <c r="PG216" s="47"/>
      <c r="PH216" s="47"/>
      <c r="PI216" s="47"/>
      <c r="PJ216" s="47"/>
      <c r="PK216" s="47"/>
      <c r="PL216" s="47"/>
      <c r="PM216" s="47"/>
      <c r="PN216" s="47"/>
      <c r="PO216" s="47"/>
      <c r="PP216" s="47"/>
      <c r="PQ216" s="47"/>
      <c r="PR216" s="47"/>
      <c r="PS216" s="47"/>
      <c r="PT216" s="47"/>
      <c r="PU216" s="47"/>
      <c r="PV216" s="47"/>
      <c r="PW216" s="47"/>
      <c r="PX216" s="47"/>
      <c r="PY216" s="47"/>
      <c r="PZ216" s="47"/>
      <c r="QA216" s="47"/>
      <c r="QB216" s="47"/>
      <c r="QC216" s="47"/>
      <c r="QD216" s="47"/>
      <c r="QE216" s="47"/>
      <c r="QF216" s="47"/>
      <c r="QG216" s="47"/>
      <c r="QH216" s="47"/>
      <c r="QI216" s="47"/>
      <c r="QJ216" s="47"/>
      <c r="QK216" s="47"/>
      <c r="QL216" s="47"/>
      <c r="QM216" s="47"/>
      <c r="QN216" s="47"/>
      <c r="QO216" s="47"/>
      <c r="QP216" s="47"/>
      <c r="QQ216" s="47"/>
      <c r="QR216" s="47"/>
      <c r="QS216" s="47"/>
      <c r="QT216" s="47"/>
      <c r="QU216" s="47"/>
      <c r="QV216" s="47"/>
      <c r="QW216" s="47"/>
      <c r="QX216" s="47"/>
      <c r="QY216" s="47"/>
      <c r="QZ216" s="47"/>
      <c r="RA216" s="47"/>
      <c r="RB216" s="47"/>
      <c r="RC216" s="47"/>
      <c r="RD216" s="47"/>
      <c r="RE216" s="47"/>
      <c r="RF216" s="47"/>
      <c r="RG216" s="47"/>
      <c r="RH216" s="47"/>
      <c r="RI216" s="47"/>
      <c r="RJ216" s="47"/>
      <c r="RK216" s="47"/>
      <c r="RL216" s="47"/>
      <c r="RM216" s="47"/>
      <c r="RN216" s="47"/>
      <c r="RO216" s="47"/>
      <c r="RP216" s="47"/>
      <c r="RQ216" s="47"/>
      <c r="RR216" s="47"/>
      <c r="RS216" s="47"/>
      <c r="RT216" s="47"/>
      <c r="RU216" s="47"/>
      <c r="RV216" s="47"/>
      <c r="RW216" s="47"/>
      <c r="RX216" s="47"/>
      <c r="RY216" s="47"/>
      <c r="RZ216" s="47"/>
      <c r="SA216" s="47"/>
      <c r="SB216" s="47"/>
      <c r="SC216" s="47"/>
      <c r="SD216" s="47"/>
      <c r="SE216" s="47"/>
      <c r="SF216" s="47"/>
      <c r="SG216" s="47"/>
      <c r="SH216" s="47"/>
      <c r="SI216" s="47"/>
      <c r="SJ216" s="47"/>
      <c r="SK216" s="47"/>
      <c r="SL216" s="47"/>
      <c r="SM216" s="47"/>
      <c r="SN216" s="47"/>
      <c r="SO216" s="47"/>
      <c r="SP216" s="47"/>
      <c r="SQ216" s="47"/>
      <c r="SR216" s="47"/>
      <c r="SS216" s="47"/>
      <c r="ST216" s="47"/>
      <c r="SU216" s="47"/>
      <c r="SV216" s="47"/>
      <c r="SW216" s="47"/>
      <c r="SX216" s="47"/>
      <c r="SY216" s="47"/>
      <c r="SZ216" s="47"/>
      <c r="TA216" s="47"/>
      <c r="TB216" s="47"/>
      <c r="TC216" s="47"/>
      <c r="TD216" s="47"/>
      <c r="TE216" s="47"/>
      <c r="TF216" s="47"/>
      <c r="TG216" s="47"/>
      <c r="TH216" s="47"/>
      <c r="TI216" s="47"/>
      <c r="TJ216" s="47"/>
      <c r="TK216" s="47"/>
      <c r="TL216" s="47"/>
      <c r="TM216" s="47"/>
      <c r="TN216" s="47"/>
      <c r="TO216" s="47"/>
      <c r="TP216" s="47"/>
      <c r="TQ216" s="47"/>
      <c r="TR216" s="47"/>
      <c r="TS216" s="47"/>
      <c r="TT216" s="47"/>
      <c r="TU216" s="47"/>
      <c r="TV216" s="47"/>
      <c r="TW216" s="47"/>
      <c r="TX216" s="47"/>
      <c r="TY216" s="47"/>
      <c r="TZ216" s="47"/>
      <c r="UA216" s="47"/>
      <c r="UB216" s="47"/>
      <c r="UC216" s="47"/>
      <c r="UD216" s="47"/>
      <c r="UE216" s="47"/>
      <c r="UF216" s="47"/>
      <c r="UG216" s="47"/>
      <c r="UH216" s="47"/>
      <c r="UI216" s="47"/>
      <c r="UJ216" s="47"/>
      <c r="UK216" s="47"/>
      <c r="UL216" s="47"/>
      <c r="UM216" s="47"/>
      <c r="UN216" s="47"/>
      <c r="UO216" s="47"/>
      <c r="UP216" s="47"/>
      <c r="UQ216" s="47"/>
      <c r="UR216" s="47"/>
      <c r="US216" s="47"/>
      <c r="UT216" s="47"/>
      <c r="UU216" s="47"/>
      <c r="UV216" s="47"/>
      <c r="UW216" s="47"/>
      <c r="UX216" s="47"/>
      <c r="UY216" s="47"/>
      <c r="UZ216" s="47"/>
      <c r="VA216" s="47"/>
      <c r="VB216" s="47"/>
      <c r="VC216" s="47"/>
      <c r="VD216" s="47"/>
      <c r="VE216" s="47"/>
      <c r="VF216" s="47"/>
    </row>
    <row r="217" spans="1:578" s="41" customFormat="1" ht="21.75" customHeight="1" x14ac:dyDescent="0.2">
      <c r="A217" s="39" t="s">
        <v>266</v>
      </c>
      <c r="B217" s="90" t="str">
        <f>'дод 3'!A148</f>
        <v>6030</v>
      </c>
      <c r="C217" s="90" t="str">
        <f>'дод 3'!B148</f>
        <v>0620</v>
      </c>
      <c r="D217" s="42" t="str">
        <f>'дод 3'!C148</f>
        <v>Організація благоустрою населених пунктів</v>
      </c>
      <c r="E217" s="65">
        <v>178882350</v>
      </c>
      <c r="F217" s="65"/>
      <c r="G217" s="65">
        <f>20263000+1150000</f>
        <v>21413000</v>
      </c>
      <c r="H217" s="65">
        <v>32423947.949999999</v>
      </c>
      <c r="I217" s="65"/>
      <c r="J217" s="65">
        <v>7712995.5599999996</v>
      </c>
      <c r="K217" s="130">
        <f t="shared" si="70"/>
        <v>18.125850845541777</v>
      </c>
      <c r="L217" s="65">
        <f t="shared" si="45"/>
        <v>36336367.629999995</v>
      </c>
      <c r="M217" s="65">
        <v>36336367.630000003</v>
      </c>
      <c r="N217" s="65"/>
      <c r="O217" s="65"/>
      <c r="P217" s="65"/>
      <c r="Q217" s="65">
        <f>35285000+1000000-4500000+200000+300000+3528000+859910-29177.17-307365.2</f>
        <v>36336367.629999995</v>
      </c>
      <c r="R217" s="65">
        <f t="shared" si="71"/>
        <v>1299078.26</v>
      </c>
      <c r="S217" s="65">
        <v>1299078.26</v>
      </c>
      <c r="T217" s="65"/>
      <c r="U217" s="65"/>
      <c r="V217" s="65"/>
      <c r="W217" s="65">
        <v>1299078.26</v>
      </c>
      <c r="X217" s="132">
        <f t="shared" si="68"/>
        <v>3.5751461819960682</v>
      </c>
      <c r="Y217" s="65">
        <f t="shared" si="69"/>
        <v>33723026.210000001</v>
      </c>
      <c r="Z217" s="203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</row>
    <row r="218" spans="1:578" s="41" customFormat="1" ht="31.5" customHeight="1" x14ac:dyDescent="0.2">
      <c r="A218" s="39" t="s">
        <v>326</v>
      </c>
      <c r="B218" s="90" t="str">
        <f>'дод 3'!A155</f>
        <v>6090</v>
      </c>
      <c r="C218" s="90" t="str">
        <f>'дод 3'!B155</f>
        <v>0640</v>
      </c>
      <c r="D218" s="42" t="str">
        <f>'дод 3'!C155</f>
        <v>Інша діяльність у сфері житлово-комунального господарства</v>
      </c>
      <c r="E218" s="65">
        <v>5878910</v>
      </c>
      <c r="F218" s="65"/>
      <c r="G218" s="65">
        <v>40000</v>
      </c>
      <c r="H218" s="65">
        <v>386886.36</v>
      </c>
      <c r="I218" s="65"/>
      <c r="J218" s="65">
        <v>5453.36</v>
      </c>
      <c r="K218" s="130">
        <f t="shared" si="70"/>
        <v>6.5809199324364549</v>
      </c>
      <c r="L218" s="65">
        <f t="shared" si="45"/>
        <v>15234190</v>
      </c>
      <c r="M218" s="65">
        <v>15234190</v>
      </c>
      <c r="N218" s="65"/>
      <c r="O218" s="65"/>
      <c r="P218" s="65"/>
      <c r="Q218" s="65">
        <f>7350000+10000000-1739810-324000-52000</f>
        <v>15234190</v>
      </c>
      <c r="R218" s="65">
        <f t="shared" si="71"/>
        <v>0</v>
      </c>
      <c r="S218" s="65"/>
      <c r="T218" s="65"/>
      <c r="U218" s="65"/>
      <c r="V218" s="65"/>
      <c r="W218" s="65"/>
      <c r="X218" s="132">
        <f t="shared" si="68"/>
        <v>0</v>
      </c>
      <c r="Y218" s="65">
        <f t="shared" si="69"/>
        <v>386886.36</v>
      </c>
      <c r="Z218" s="203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</row>
    <row r="219" spans="1:578" s="41" customFormat="1" ht="169.5" hidden="1" customHeight="1" x14ac:dyDescent="0.2">
      <c r="A219" s="39" t="s">
        <v>526</v>
      </c>
      <c r="B219" s="90" t="str">
        <f>'дод 3'!A149</f>
        <v>6072</v>
      </c>
      <c r="C219" s="90" t="str">
        <f>'дод 3'!B149</f>
        <v>0640</v>
      </c>
      <c r="D219" s="40" t="s">
        <v>525</v>
      </c>
      <c r="E219" s="65">
        <v>0</v>
      </c>
      <c r="F219" s="65"/>
      <c r="G219" s="65"/>
      <c r="H219" s="65"/>
      <c r="I219" s="65"/>
      <c r="J219" s="65"/>
      <c r="K219" s="130" t="e">
        <f t="shared" si="70"/>
        <v>#DIV/0!</v>
      </c>
      <c r="L219" s="65">
        <f t="shared" si="45"/>
        <v>0</v>
      </c>
      <c r="M219" s="65"/>
      <c r="N219" s="65"/>
      <c r="O219" s="65"/>
      <c r="P219" s="65"/>
      <c r="Q219" s="65"/>
      <c r="R219" s="65">
        <f t="shared" si="71"/>
        <v>0</v>
      </c>
      <c r="S219" s="65"/>
      <c r="T219" s="65"/>
      <c r="U219" s="65"/>
      <c r="V219" s="65"/>
      <c r="W219" s="65"/>
      <c r="X219" s="132" t="e">
        <f t="shared" si="68"/>
        <v>#DIV/0!</v>
      </c>
      <c r="Y219" s="65">
        <f t="shared" si="69"/>
        <v>0</v>
      </c>
      <c r="Z219" s="203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</row>
    <row r="220" spans="1:578" s="41" customFormat="1" ht="18" hidden="1" customHeight="1" x14ac:dyDescent="0.2">
      <c r="A220" s="39"/>
      <c r="B220" s="90"/>
      <c r="C220" s="90"/>
      <c r="D220" s="42" t="s">
        <v>344</v>
      </c>
      <c r="E220" s="65">
        <v>0</v>
      </c>
      <c r="F220" s="65"/>
      <c r="G220" s="65"/>
      <c r="H220" s="65"/>
      <c r="I220" s="65"/>
      <c r="J220" s="65"/>
      <c r="K220" s="130" t="e">
        <f t="shared" si="70"/>
        <v>#DIV/0!</v>
      </c>
      <c r="L220" s="65">
        <f t="shared" si="45"/>
        <v>0</v>
      </c>
      <c r="M220" s="65"/>
      <c r="N220" s="65"/>
      <c r="O220" s="65"/>
      <c r="P220" s="65"/>
      <c r="Q220" s="65"/>
      <c r="R220" s="65">
        <f t="shared" si="71"/>
        <v>0</v>
      </c>
      <c r="S220" s="65"/>
      <c r="T220" s="65"/>
      <c r="U220" s="65"/>
      <c r="V220" s="65"/>
      <c r="W220" s="65"/>
      <c r="X220" s="132" t="e">
        <f t="shared" si="68"/>
        <v>#DIV/0!</v>
      </c>
      <c r="Y220" s="65">
        <f t="shared" si="69"/>
        <v>0</v>
      </c>
      <c r="Z220" s="203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</row>
    <row r="221" spans="1:578" s="41" customFormat="1" ht="31.5" hidden="1" customHeight="1" x14ac:dyDescent="0.2">
      <c r="A221" s="39" t="s">
        <v>519</v>
      </c>
      <c r="B221" s="90" t="str">
        <f>'дод 3'!A158</f>
        <v>7130</v>
      </c>
      <c r="C221" s="90" t="str">
        <f>'дод 3'!B158</f>
        <v>0421</v>
      </c>
      <c r="D221" s="42" t="str">
        <f>'дод 3'!C158</f>
        <v>Здійснення  заходів із землеустрою</v>
      </c>
      <c r="E221" s="65">
        <v>0</v>
      </c>
      <c r="F221" s="65"/>
      <c r="G221" s="65"/>
      <c r="H221" s="65"/>
      <c r="I221" s="65"/>
      <c r="J221" s="65"/>
      <c r="K221" s="130" t="e">
        <f t="shared" si="70"/>
        <v>#DIV/0!</v>
      </c>
      <c r="L221" s="65">
        <f t="shared" si="45"/>
        <v>0</v>
      </c>
      <c r="M221" s="65">
        <v>75608227</v>
      </c>
      <c r="N221" s="65"/>
      <c r="O221" s="65"/>
      <c r="P221" s="65"/>
      <c r="Q221" s="65"/>
      <c r="R221" s="65">
        <f t="shared" si="71"/>
        <v>0</v>
      </c>
      <c r="S221" s="65"/>
      <c r="T221" s="65"/>
      <c r="U221" s="65"/>
      <c r="V221" s="65"/>
      <c r="W221" s="65"/>
      <c r="X221" s="132" t="e">
        <f t="shared" si="68"/>
        <v>#DIV/0!</v>
      </c>
      <c r="Y221" s="65">
        <f t="shared" si="69"/>
        <v>0</v>
      </c>
      <c r="Z221" s="203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</row>
    <row r="222" spans="1:578" s="41" customFormat="1" ht="33.75" customHeight="1" x14ac:dyDescent="0.2">
      <c r="A222" s="39" t="s">
        <v>352</v>
      </c>
      <c r="B222" s="90" t="str">
        <f>'дод 3'!A161</f>
        <v>7310</v>
      </c>
      <c r="C222" s="90" t="str">
        <f>'дод 3'!B161</f>
        <v>0443</v>
      </c>
      <c r="D222" s="42" t="str">
        <f>'дод 3'!C161</f>
        <v>Будівництво об'єктів житлово-комунального господарства</v>
      </c>
      <c r="E222" s="65">
        <v>0</v>
      </c>
      <c r="F222" s="65"/>
      <c r="G222" s="65"/>
      <c r="H222" s="65"/>
      <c r="I222" s="65"/>
      <c r="J222" s="65"/>
      <c r="K222" s="130"/>
      <c r="L222" s="65">
        <f t="shared" si="45"/>
        <v>26515614.43</v>
      </c>
      <c r="M222" s="65">
        <v>26515614.43</v>
      </c>
      <c r="N222" s="65"/>
      <c r="O222" s="65"/>
      <c r="P222" s="65"/>
      <c r="Q222" s="65">
        <f>15050000+11900000-7308614.43-165090-245000+7308614.43-24295.57</f>
        <v>26515614.43</v>
      </c>
      <c r="R222" s="65">
        <f t="shared" si="71"/>
        <v>3366872.49</v>
      </c>
      <c r="S222" s="65">
        <v>3366872.49</v>
      </c>
      <c r="T222" s="65"/>
      <c r="U222" s="65"/>
      <c r="V222" s="65"/>
      <c r="W222" s="65">
        <v>3366872.49</v>
      </c>
      <c r="X222" s="132">
        <f t="shared" si="68"/>
        <v>12.69769742235613</v>
      </c>
      <c r="Y222" s="65">
        <f t="shared" si="69"/>
        <v>3366872.49</v>
      </c>
      <c r="Z222" s="203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</row>
    <row r="223" spans="1:578" s="41" customFormat="1" ht="32.25" customHeight="1" x14ac:dyDescent="0.2">
      <c r="A223" s="39" t="s">
        <v>354</v>
      </c>
      <c r="B223" s="90" t="str">
        <f>'дод 3'!A165</f>
        <v>7330</v>
      </c>
      <c r="C223" s="90" t="str">
        <f>'дод 3'!B165</f>
        <v>0443</v>
      </c>
      <c r="D223" s="42" t="str">
        <f>'дод 3'!C165</f>
        <v>Будівництво інших об'єктів комунальної власності</v>
      </c>
      <c r="E223" s="65">
        <v>0</v>
      </c>
      <c r="F223" s="65"/>
      <c r="G223" s="65"/>
      <c r="H223" s="65"/>
      <c r="I223" s="65"/>
      <c r="J223" s="65"/>
      <c r="K223" s="130"/>
      <c r="L223" s="65">
        <f t="shared" si="45"/>
        <v>5765753</v>
      </c>
      <c r="M223" s="65">
        <v>5765753</v>
      </c>
      <c r="N223" s="65"/>
      <c r="O223" s="65"/>
      <c r="P223" s="65"/>
      <c r="Q223" s="65">
        <v>5765753</v>
      </c>
      <c r="R223" s="65">
        <f t="shared" si="71"/>
        <v>0</v>
      </c>
      <c r="S223" s="65"/>
      <c r="T223" s="65"/>
      <c r="U223" s="65"/>
      <c r="V223" s="65"/>
      <c r="W223" s="65"/>
      <c r="X223" s="132">
        <f t="shared" si="68"/>
        <v>0</v>
      </c>
      <c r="Y223" s="65">
        <f t="shared" si="69"/>
        <v>0</v>
      </c>
      <c r="Z223" s="203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</row>
    <row r="224" spans="1:578" s="41" customFormat="1" ht="36.75" customHeight="1" x14ac:dyDescent="0.2">
      <c r="A224" s="39" t="s">
        <v>267</v>
      </c>
      <c r="B224" s="90" t="str">
        <f>'дод 3'!A166</f>
        <v>7340</v>
      </c>
      <c r="C224" s="90" t="str">
        <f>'дод 3'!B166</f>
        <v>0443</v>
      </c>
      <c r="D224" s="42" t="str">
        <f>'дод 3'!C166</f>
        <v>Проектування, реставрація та охорона пам'яток архітектури</v>
      </c>
      <c r="E224" s="65">
        <v>0</v>
      </c>
      <c r="F224" s="65"/>
      <c r="G224" s="65"/>
      <c r="H224" s="65"/>
      <c r="I224" s="65"/>
      <c r="J224" s="65"/>
      <c r="K224" s="130"/>
      <c r="L224" s="65">
        <f t="shared" si="45"/>
        <v>3100000</v>
      </c>
      <c r="M224" s="65">
        <v>3100000</v>
      </c>
      <c r="N224" s="65"/>
      <c r="O224" s="65"/>
      <c r="P224" s="65"/>
      <c r="Q224" s="65">
        <f>3100000+3700000-3700000</f>
        <v>3100000</v>
      </c>
      <c r="R224" s="65">
        <f t="shared" si="71"/>
        <v>0</v>
      </c>
      <c r="S224" s="65"/>
      <c r="T224" s="65"/>
      <c r="U224" s="65"/>
      <c r="V224" s="65"/>
      <c r="W224" s="65"/>
      <c r="X224" s="132">
        <f t="shared" si="68"/>
        <v>0</v>
      </c>
      <c r="Y224" s="65">
        <f t="shared" si="69"/>
        <v>0</v>
      </c>
      <c r="Z224" s="203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</row>
    <row r="225" spans="1:578" s="41" customFormat="1" ht="55.5" hidden="1" customHeight="1" x14ac:dyDescent="0.2">
      <c r="A225" s="39" t="s">
        <v>513</v>
      </c>
      <c r="B225" s="90" t="str">
        <f>'дод 3'!A168</f>
        <v>7361</v>
      </c>
      <c r="C225" s="90" t="str">
        <f>'дод 3'!B168</f>
        <v>0490</v>
      </c>
      <c r="D225" s="42" t="str">
        <f>'дод 3'!C168</f>
        <v>Співфінансування інвестиційних проектів, що реалізуються за рахунок коштів державного фонду регіонального розвитку</v>
      </c>
      <c r="E225" s="65">
        <v>0</v>
      </c>
      <c r="F225" s="65"/>
      <c r="G225" s="65"/>
      <c r="H225" s="65"/>
      <c r="I225" s="65"/>
      <c r="J225" s="65"/>
      <c r="K225" s="130" t="e">
        <f t="shared" si="70"/>
        <v>#DIV/0!</v>
      </c>
      <c r="L225" s="65">
        <f t="shared" si="45"/>
        <v>0</v>
      </c>
      <c r="M225" s="65"/>
      <c r="N225" s="65"/>
      <c r="O225" s="65"/>
      <c r="P225" s="65"/>
      <c r="Q225" s="65"/>
      <c r="R225" s="65">
        <f t="shared" si="71"/>
        <v>0</v>
      </c>
      <c r="S225" s="65"/>
      <c r="T225" s="65"/>
      <c r="U225" s="65"/>
      <c r="V225" s="65"/>
      <c r="W225" s="65"/>
      <c r="X225" s="132" t="e">
        <f t="shared" si="68"/>
        <v>#DIV/0!</v>
      </c>
      <c r="Y225" s="65">
        <f t="shared" si="69"/>
        <v>0</v>
      </c>
      <c r="Z225" s="203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</row>
    <row r="226" spans="1:578" s="41" customFormat="1" ht="55.5" customHeight="1" x14ac:dyDescent="0.2">
      <c r="A226" s="39" t="s">
        <v>506</v>
      </c>
      <c r="B226" s="90" t="str">
        <f>'дод 3'!A169</f>
        <v>7363</v>
      </c>
      <c r="C226" s="90" t="str">
        <f>'дод 3'!B169</f>
        <v>0490</v>
      </c>
      <c r="D226" s="42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26" s="65">
        <v>0</v>
      </c>
      <c r="F226" s="65"/>
      <c r="G226" s="65"/>
      <c r="H226" s="65"/>
      <c r="I226" s="65"/>
      <c r="J226" s="65"/>
      <c r="K226" s="130"/>
      <c r="L226" s="65">
        <f t="shared" si="45"/>
        <v>26768553.820000008</v>
      </c>
      <c r="M226" s="65">
        <v>26768553.82</v>
      </c>
      <c r="N226" s="65"/>
      <c r="O226" s="65"/>
      <c r="P226" s="65"/>
      <c r="Q226" s="65">
        <f>7308614.43+53472.74+11064300+15155075.88+495705.2-7308614.43</f>
        <v>26768553.820000008</v>
      </c>
      <c r="R226" s="65">
        <f t="shared" si="71"/>
        <v>93254.74</v>
      </c>
      <c r="S226" s="65">
        <v>93254.74</v>
      </c>
      <c r="T226" s="65"/>
      <c r="U226" s="65"/>
      <c r="V226" s="65"/>
      <c r="W226" s="65">
        <v>93254.74</v>
      </c>
      <c r="X226" s="132">
        <f t="shared" si="68"/>
        <v>0.34837421784932265</v>
      </c>
      <c r="Y226" s="65">
        <f t="shared" si="69"/>
        <v>93254.74</v>
      </c>
      <c r="Z226" s="203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7"/>
      <c r="TM226" s="47"/>
      <c r="TN226" s="47"/>
      <c r="TO226" s="47"/>
      <c r="TP226" s="47"/>
      <c r="TQ226" s="47"/>
      <c r="TR226" s="47"/>
      <c r="TS226" s="47"/>
      <c r="TT226" s="47"/>
      <c r="TU226" s="47"/>
      <c r="TV226" s="47"/>
      <c r="TW226" s="47"/>
      <c r="TX226" s="47"/>
      <c r="TY226" s="47"/>
      <c r="TZ226" s="47"/>
      <c r="UA226" s="47"/>
      <c r="UB226" s="47"/>
      <c r="UC226" s="47"/>
      <c r="UD226" s="47"/>
      <c r="UE226" s="47"/>
      <c r="UF226" s="47"/>
      <c r="UG226" s="47"/>
      <c r="UH226" s="47"/>
      <c r="UI226" s="47"/>
      <c r="UJ226" s="47"/>
      <c r="UK226" s="47"/>
      <c r="UL226" s="47"/>
      <c r="UM226" s="47"/>
      <c r="UN226" s="47"/>
      <c r="UO226" s="47"/>
      <c r="UP226" s="47"/>
      <c r="UQ226" s="47"/>
      <c r="UR226" s="47"/>
      <c r="US226" s="47"/>
      <c r="UT226" s="47"/>
      <c r="UU226" s="47"/>
      <c r="UV226" s="47"/>
      <c r="UW226" s="47"/>
      <c r="UX226" s="47"/>
      <c r="UY226" s="47"/>
      <c r="UZ226" s="47"/>
      <c r="VA226" s="47"/>
      <c r="VB226" s="47"/>
      <c r="VC226" s="47"/>
      <c r="VD226" s="47"/>
      <c r="VE226" s="47"/>
      <c r="VF226" s="47"/>
    </row>
    <row r="227" spans="1:578" s="41" customFormat="1" x14ac:dyDescent="0.2">
      <c r="A227" s="39"/>
      <c r="B227" s="90"/>
      <c r="C227" s="90"/>
      <c r="D227" s="40" t="s">
        <v>344</v>
      </c>
      <c r="E227" s="65">
        <v>0</v>
      </c>
      <c r="F227" s="65"/>
      <c r="G227" s="65"/>
      <c r="H227" s="65"/>
      <c r="I227" s="65"/>
      <c r="J227" s="65"/>
      <c r="K227" s="130"/>
      <c r="L227" s="65">
        <f t="shared" si="45"/>
        <v>26219375.880000003</v>
      </c>
      <c r="M227" s="65">
        <v>26219375.879999999</v>
      </c>
      <c r="N227" s="65"/>
      <c r="O227" s="65"/>
      <c r="P227" s="65"/>
      <c r="Q227" s="65">
        <f>11064300+15155075.88</f>
        <v>26219375.880000003</v>
      </c>
      <c r="R227" s="65">
        <f>T227+W227</f>
        <v>38599</v>
      </c>
      <c r="S227" s="65">
        <v>38599</v>
      </c>
      <c r="T227" s="65"/>
      <c r="U227" s="65"/>
      <c r="V227" s="65"/>
      <c r="W227" s="65">
        <v>38599</v>
      </c>
      <c r="X227" s="132">
        <f t="shared" si="68"/>
        <v>0.14721555607066569</v>
      </c>
      <c r="Y227" s="65">
        <f t="shared" si="69"/>
        <v>38599</v>
      </c>
      <c r="Z227" s="203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7"/>
      <c r="SY227" s="47"/>
      <c r="SZ227" s="47"/>
      <c r="TA227" s="47"/>
      <c r="TB227" s="47"/>
      <c r="TC227" s="47"/>
      <c r="TD227" s="47"/>
      <c r="TE227" s="47"/>
      <c r="TF227" s="47"/>
      <c r="TG227" s="47"/>
      <c r="TH227" s="47"/>
      <c r="TI227" s="47"/>
      <c r="TJ227" s="47"/>
      <c r="TK227" s="47"/>
      <c r="TL227" s="47"/>
      <c r="TM227" s="47"/>
      <c r="TN227" s="47"/>
      <c r="TO227" s="47"/>
      <c r="TP227" s="47"/>
      <c r="TQ227" s="47"/>
      <c r="TR227" s="47"/>
      <c r="TS227" s="47"/>
      <c r="TT227" s="47"/>
      <c r="TU227" s="47"/>
      <c r="TV227" s="47"/>
      <c r="TW227" s="47"/>
      <c r="TX227" s="47"/>
      <c r="TY227" s="47"/>
      <c r="TZ227" s="47"/>
      <c r="UA227" s="47"/>
      <c r="UB227" s="47"/>
      <c r="UC227" s="47"/>
      <c r="UD227" s="47"/>
      <c r="UE227" s="47"/>
      <c r="UF227" s="47"/>
      <c r="UG227" s="47"/>
      <c r="UH227" s="47"/>
      <c r="UI227" s="47"/>
      <c r="UJ227" s="47"/>
      <c r="UK227" s="47"/>
      <c r="UL227" s="47"/>
      <c r="UM227" s="47"/>
      <c r="UN227" s="47"/>
      <c r="UO227" s="47"/>
      <c r="UP227" s="47"/>
      <c r="UQ227" s="47"/>
      <c r="UR227" s="47"/>
      <c r="US227" s="47"/>
      <c r="UT227" s="47"/>
      <c r="UU227" s="47"/>
      <c r="UV227" s="47"/>
      <c r="UW227" s="47"/>
      <c r="UX227" s="47"/>
      <c r="UY227" s="47"/>
      <c r="UZ227" s="47"/>
      <c r="VA227" s="47"/>
      <c r="VB227" s="47"/>
      <c r="VC227" s="47"/>
      <c r="VD227" s="47"/>
      <c r="VE227" s="47"/>
      <c r="VF227" s="47"/>
    </row>
    <row r="228" spans="1:578" s="41" customFormat="1" ht="24" customHeight="1" x14ac:dyDescent="0.2">
      <c r="A228" s="39" t="s">
        <v>268</v>
      </c>
      <c r="B228" s="90" t="str">
        <f>'дод 3'!A185</f>
        <v>7640</v>
      </c>
      <c r="C228" s="90" t="str">
        <f>'дод 3'!B185</f>
        <v>0470</v>
      </c>
      <c r="D228" s="42" t="str">
        <f>'дод 3'!C185</f>
        <v>Заходи з енергозбереження</v>
      </c>
      <c r="E228" s="65">
        <v>1500000</v>
      </c>
      <c r="F228" s="65"/>
      <c r="G228" s="65"/>
      <c r="H228" s="65">
        <v>192941.33</v>
      </c>
      <c r="I228" s="65"/>
      <c r="J228" s="65"/>
      <c r="K228" s="130">
        <f t="shared" si="70"/>
        <v>12.862755333333331</v>
      </c>
      <c r="L228" s="65">
        <f t="shared" si="45"/>
        <v>0</v>
      </c>
      <c r="M228" s="65"/>
      <c r="N228" s="65"/>
      <c r="O228" s="65"/>
      <c r="P228" s="65"/>
      <c r="Q228" s="65"/>
      <c r="R228" s="65">
        <f t="shared" si="71"/>
        <v>0</v>
      </c>
      <c r="S228" s="65"/>
      <c r="T228" s="65"/>
      <c r="U228" s="65"/>
      <c r="V228" s="65"/>
      <c r="W228" s="65"/>
      <c r="X228" s="132"/>
      <c r="Y228" s="65">
        <f t="shared" si="69"/>
        <v>192941.33</v>
      </c>
      <c r="Z228" s="203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</row>
    <row r="229" spans="1:578" s="41" customFormat="1" ht="18" customHeight="1" x14ac:dyDescent="0.2">
      <c r="A229" s="39" t="s">
        <v>562</v>
      </c>
      <c r="B229" s="90" t="str">
        <f>'дод 3'!A188</f>
        <v>7670</v>
      </c>
      <c r="C229" s="90" t="str">
        <f>'дод 3'!B188</f>
        <v>0490</v>
      </c>
      <c r="D229" s="50" t="str">
        <f>'дод 3'!C188</f>
        <v>Внески до статутного капіталу суб’єктів господарювання</v>
      </c>
      <c r="E229" s="65">
        <v>0</v>
      </c>
      <c r="F229" s="65"/>
      <c r="G229" s="65"/>
      <c r="H229" s="65"/>
      <c r="I229" s="65"/>
      <c r="J229" s="65"/>
      <c r="K229" s="130"/>
      <c r="L229" s="65">
        <f t="shared" si="45"/>
        <v>63000</v>
      </c>
      <c r="M229" s="65">
        <v>63000</v>
      </c>
      <c r="N229" s="65"/>
      <c r="O229" s="65"/>
      <c r="P229" s="65"/>
      <c r="Q229" s="65">
        <v>63000</v>
      </c>
      <c r="R229" s="65">
        <f t="shared" si="71"/>
        <v>0</v>
      </c>
      <c r="S229" s="65"/>
      <c r="T229" s="65"/>
      <c r="U229" s="65"/>
      <c r="V229" s="65"/>
      <c r="W229" s="65"/>
      <c r="X229" s="132">
        <f t="shared" si="68"/>
        <v>0</v>
      </c>
      <c r="Y229" s="65">
        <f t="shared" si="69"/>
        <v>0</v>
      </c>
      <c r="Z229" s="203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  <c r="SK229" s="47"/>
      <c r="SL229" s="47"/>
      <c r="SM229" s="47"/>
      <c r="SN229" s="47"/>
      <c r="SO229" s="47"/>
      <c r="SP229" s="47"/>
      <c r="SQ229" s="47"/>
      <c r="SR229" s="47"/>
      <c r="SS229" s="47"/>
      <c r="ST229" s="47"/>
      <c r="SU229" s="47"/>
      <c r="SV229" s="47"/>
      <c r="SW229" s="47"/>
      <c r="SX229" s="47"/>
      <c r="SY229" s="47"/>
      <c r="SZ229" s="47"/>
      <c r="TA229" s="47"/>
      <c r="TB229" s="47"/>
      <c r="TC229" s="47"/>
      <c r="TD229" s="47"/>
      <c r="TE229" s="47"/>
      <c r="TF229" s="47"/>
      <c r="TG229" s="47"/>
      <c r="TH229" s="47"/>
      <c r="TI229" s="47"/>
      <c r="TJ229" s="47"/>
      <c r="TK229" s="47"/>
      <c r="TL229" s="47"/>
      <c r="TM229" s="47"/>
      <c r="TN229" s="47"/>
      <c r="TO229" s="47"/>
      <c r="TP229" s="47"/>
      <c r="TQ229" s="47"/>
      <c r="TR229" s="47"/>
      <c r="TS229" s="47"/>
      <c r="TT229" s="47"/>
      <c r="TU229" s="47"/>
      <c r="TV229" s="47"/>
      <c r="TW229" s="47"/>
      <c r="TX229" s="47"/>
      <c r="TY229" s="47"/>
      <c r="TZ229" s="47"/>
      <c r="UA229" s="47"/>
      <c r="UB229" s="47"/>
      <c r="UC229" s="47"/>
      <c r="UD229" s="47"/>
      <c r="UE229" s="47"/>
      <c r="UF229" s="47"/>
      <c r="UG229" s="47"/>
      <c r="UH229" s="47"/>
      <c r="UI229" s="47"/>
      <c r="UJ229" s="47"/>
      <c r="UK229" s="47"/>
      <c r="UL229" s="47"/>
      <c r="UM229" s="47"/>
      <c r="UN229" s="47"/>
      <c r="UO229" s="47"/>
      <c r="UP229" s="47"/>
      <c r="UQ229" s="47"/>
      <c r="UR229" s="47"/>
      <c r="US229" s="47"/>
      <c r="UT229" s="47"/>
      <c r="UU229" s="47"/>
      <c r="UV229" s="47"/>
      <c r="UW229" s="47"/>
      <c r="UX229" s="47"/>
      <c r="UY229" s="47"/>
      <c r="UZ229" s="47"/>
      <c r="VA229" s="47"/>
      <c r="VB229" s="47"/>
      <c r="VC229" s="47"/>
      <c r="VD229" s="47"/>
      <c r="VE229" s="47"/>
      <c r="VF229" s="47"/>
    </row>
    <row r="230" spans="1:578" s="41" customFormat="1" ht="107.25" customHeight="1" x14ac:dyDescent="0.2">
      <c r="A230" s="43" t="s">
        <v>392</v>
      </c>
      <c r="B230" s="95">
        <v>7691</v>
      </c>
      <c r="C230" s="95" t="s">
        <v>113</v>
      </c>
      <c r="D230" s="40" t="s">
        <v>415</v>
      </c>
      <c r="E230" s="65">
        <v>0</v>
      </c>
      <c r="F230" s="65"/>
      <c r="G230" s="65"/>
      <c r="H230" s="65"/>
      <c r="I230" s="65"/>
      <c r="J230" s="65"/>
      <c r="K230" s="130"/>
      <c r="L230" s="65">
        <f t="shared" si="45"/>
        <v>287835.41000000003</v>
      </c>
      <c r="M230" s="65"/>
      <c r="N230" s="65">
        <f>65000+20000+67835.41</f>
        <v>152835.41</v>
      </c>
      <c r="O230" s="65"/>
      <c r="P230" s="65"/>
      <c r="Q230" s="65">
        <f>20000+115000</f>
        <v>135000</v>
      </c>
      <c r="R230" s="65">
        <f t="shared" si="71"/>
        <v>0</v>
      </c>
      <c r="S230" s="65"/>
      <c r="T230" s="65"/>
      <c r="U230" s="65"/>
      <c r="V230" s="65"/>
      <c r="W230" s="65"/>
      <c r="X230" s="132">
        <f t="shared" si="68"/>
        <v>0</v>
      </c>
      <c r="Y230" s="65">
        <f t="shared" si="69"/>
        <v>0</v>
      </c>
      <c r="Z230" s="203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  <c r="SK230" s="47"/>
      <c r="SL230" s="47"/>
      <c r="SM230" s="47"/>
      <c r="SN230" s="47"/>
      <c r="SO230" s="47"/>
      <c r="SP230" s="47"/>
      <c r="SQ230" s="47"/>
      <c r="SR230" s="47"/>
      <c r="SS230" s="47"/>
      <c r="ST230" s="47"/>
      <c r="SU230" s="47"/>
      <c r="SV230" s="47"/>
      <c r="SW230" s="47"/>
      <c r="SX230" s="47"/>
      <c r="SY230" s="47"/>
      <c r="SZ230" s="47"/>
      <c r="TA230" s="47"/>
      <c r="TB230" s="47"/>
      <c r="TC230" s="47"/>
      <c r="TD230" s="47"/>
      <c r="TE230" s="47"/>
      <c r="TF230" s="47"/>
      <c r="TG230" s="47"/>
      <c r="TH230" s="47"/>
      <c r="TI230" s="47"/>
      <c r="TJ230" s="47"/>
      <c r="TK230" s="47"/>
      <c r="TL230" s="47"/>
      <c r="TM230" s="47"/>
      <c r="TN230" s="47"/>
      <c r="TO230" s="47"/>
      <c r="TP230" s="47"/>
      <c r="TQ230" s="47"/>
      <c r="TR230" s="47"/>
      <c r="TS230" s="47"/>
      <c r="TT230" s="47"/>
      <c r="TU230" s="47"/>
      <c r="TV230" s="47"/>
      <c r="TW230" s="47"/>
      <c r="TX230" s="47"/>
      <c r="TY230" s="47"/>
      <c r="TZ230" s="47"/>
      <c r="UA230" s="47"/>
      <c r="UB230" s="47"/>
      <c r="UC230" s="47"/>
      <c r="UD230" s="47"/>
      <c r="UE230" s="47"/>
      <c r="UF230" s="47"/>
      <c r="UG230" s="47"/>
      <c r="UH230" s="47"/>
      <c r="UI230" s="47"/>
      <c r="UJ230" s="47"/>
      <c r="UK230" s="47"/>
      <c r="UL230" s="47"/>
      <c r="UM230" s="47"/>
      <c r="UN230" s="47"/>
      <c r="UO230" s="47"/>
      <c r="UP230" s="47"/>
      <c r="UQ230" s="47"/>
      <c r="UR230" s="47"/>
      <c r="US230" s="47"/>
      <c r="UT230" s="47"/>
      <c r="UU230" s="47"/>
      <c r="UV230" s="47"/>
      <c r="UW230" s="47"/>
      <c r="UX230" s="47"/>
      <c r="UY230" s="47"/>
      <c r="UZ230" s="47"/>
      <c r="VA230" s="47"/>
      <c r="VB230" s="47"/>
      <c r="VC230" s="47"/>
      <c r="VD230" s="47"/>
      <c r="VE230" s="47"/>
      <c r="VF230" s="47"/>
    </row>
    <row r="231" spans="1:578" s="41" customFormat="1" ht="15" hidden="1" customHeight="1" x14ac:dyDescent="0.2">
      <c r="A231" s="39" t="s">
        <v>269</v>
      </c>
      <c r="B231" s="90" t="str">
        <f>'дод 3'!A201</f>
        <v>8320</v>
      </c>
      <c r="C231" s="90" t="str">
        <f>'дод 3'!B201</f>
        <v>0520</v>
      </c>
      <c r="D231" s="42" t="str">
        <f>'дод 3'!C201</f>
        <v>Збереження природно-заповідного фонду</v>
      </c>
      <c r="E231" s="65">
        <v>0</v>
      </c>
      <c r="F231" s="65"/>
      <c r="G231" s="65"/>
      <c r="H231" s="65"/>
      <c r="I231" s="65"/>
      <c r="J231" s="65"/>
      <c r="K231" s="130" t="e">
        <f t="shared" si="70"/>
        <v>#DIV/0!</v>
      </c>
      <c r="L231" s="65">
        <f t="shared" si="45"/>
        <v>0</v>
      </c>
      <c r="M231" s="65"/>
      <c r="N231" s="65"/>
      <c r="O231" s="65"/>
      <c r="P231" s="65"/>
      <c r="Q231" s="65"/>
      <c r="R231" s="65">
        <f t="shared" si="71"/>
        <v>0</v>
      </c>
      <c r="S231" s="65"/>
      <c r="T231" s="65"/>
      <c r="U231" s="65"/>
      <c r="V231" s="65"/>
      <c r="W231" s="65"/>
      <c r="X231" s="132" t="e">
        <f t="shared" si="68"/>
        <v>#DIV/0!</v>
      </c>
      <c r="Y231" s="65">
        <f t="shared" si="69"/>
        <v>0</v>
      </c>
      <c r="Z231" s="203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  <c r="SK231" s="47"/>
      <c r="SL231" s="47"/>
      <c r="SM231" s="47"/>
      <c r="SN231" s="47"/>
      <c r="SO231" s="47"/>
      <c r="SP231" s="47"/>
      <c r="SQ231" s="47"/>
      <c r="SR231" s="47"/>
      <c r="SS231" s="47"/>
      <c r="ST231" s="47"/>
      <c r="SU231" s="47"/>
      <c r="SV231" s="47"/>
      <c r="SW231" s="47"/>
      <c r="SX231" s="47"/>
      <c r="SY231" s="47"/>
      <c r="SZ231" s="47"/>
      <c r="TA231" s="47"/>
      <c r="TB231" s="47"/>
      <c r="TC231" s="47"/>
      <c r="TD231" s="47"/>
      <c r="TE231" s="47"/>
      <c r="TF231" s="47"/>
      <c r="TG231" s="47"/>
      <c r="TH231" s="47"/>
      <c r="TI231" s="47"/>
      <c r="TJ231" s="47"/>
      <c r="TK231" s="47"/>
      <c r="TL231" s="47"/>
      <c r="TM231" s="47"/>
      <c r="TN231" s="47"/>
      <c r="TO231" s="47"/>
      <c r="TP231" s="47"/>
      <c r="TQ231" s="47"/>
      <c r="TR231" s="47"/>
      <c r="TS231" s="47"/>
      <c r="TT231" s="47"/>
      <c r="TU231" s="47"/>
      <c r="TV231" s="47"/>
      <c r="TW231" s="47"/>
      <c r="TX231" s="47"/>
      <c r="TY231" s="47"/>
      <c r="TZ231" s="47"/>
      <c r="UA231" s="47"/>
      <c r="UB231" s="47"/>
      <c r="UC231" s="47"/>
      <c r="UD231" s="47"/>
      <c r="UE231" s="47"/>
      <c r="UF231" s="47"/>
      <c r="UG231" s="47"/>
      <c r="UH231" s="47"/>
      <c r="UI231" s="47"/>
      <c r="UJ231" s="47"/>
      <c r="UK231" s="47"/>
      <c r="UL231" s="47"/>
      <c r="UM231" s="47"/>
      <c r="UN231" s="47"/>
      <c r="UO231" s="47"/>
      <c r="UP231" s="47"/>
      <c r="UQ231" s="47"/>
      <c r="UR231" s="47"/>
      <c r="US231" s="47"/>
      <c r="UT231" s="47"/>
      <c r="UU231" s="47"/>
      <c r="UV231" s="47"/>
      <c r="UW231" s="47"/>
      <c r="UX231" s="47"/>
      <c r="UY231" s="47"/>
      <c r="UZ231" s="47"/>
      <c r="VA231" s="47"/>
      <c r="VB231" s="47"/>
      <c r="VC231" s="47"/>
      <c r="VD231" s="47"/>
      <c r="VE231" s="47"/>
      <c r="VF231" s="47"/>
    </row>
    <row r="232" spans="1:578" s="41" customFormat="1" ht="27.75" customHeight="1" x14ac:dyDescent="0.2">
      <c r="A232" s="39" t="s">
        <v>270</v>
      </c>
      <c r="B232" s="90" t="str">
        <f>'дод 3'!A202</f>
        <v>8340</v>
      </c>
      <c r="C232" s="90" t="str">
        <f>'дод 3'!B202</f>
        <v>0540</v>
      </c>
      <c r="D232" s="42" t="str">
        <f>'дод 3'!C202</f>
        <v>Природоохоронні заходи за рахунок цільових фондів</v>
      </c>
      <c r="E232" s="65">
        <v>0</v>
      </c>
      <c r="F232" s="65"/>
      <c r="G232" s="65"/>
      <c r="H232" s="65"/>
      <c r="I232" s="65"/>
      <c r="J232" s="65"/>
      <c r="K232" s="130"/>
      <c r="L232" s="65">
        <f t="shared" si="45"/>
        <v>4905900</v>
      </c>
      <c r="M232" s="65"/>
      <c r="N232" s="65">
        <f>1910000-70000+60000</f>
        <v>1900000</v>
      </c>
      <c r="O232" s="65"/>
      <c r="P232" s="65"/>
      <c r="Q232" s="65">
        <f>1985900+70000+950000</f>
        <v>3005900</v>
      </c>
      <c r="R232" s="65">
        <f t="shared" si="71"/>
        <v>0</v>
      </c>
      <c r="S232" s="65"/>
      <c r="T232" s="65"/>
      <c r="U232" s="65"/>
      <c r="V232" s="65"/>
      <c r="W232" s="65"/>
      <c r="X232" s="132">
        <f t="shared" si="68"/>
        <v>0</v>
      </c>
      <c r="Y232" s="65">
        <f t="shared" si="69"/>
        <v>0</v>
      </c>
      <c r="Z232" s="203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47"/>
      <c r="KC232" s="47"/>
      <c r="KD232" s="47"/>
      <c r="KE232" s="47"/>
      <c r="KF232" s="47"/>
      <c r="KG232" s="47"/>
      <c r="KH232" s="47"/>
      <c r="KI232" s="47"/>
      <c r="KJ232" s="47"/>
      <c r="KK232" s="47"/>
      <c r="KL232" s="47"/>
      <c r="KM232" s="47"/>
      <c r="KN232" s="47"/>
      <c r="KO232" s="47"/>
      <c r="KP232" s="47"/>
      <c r="KQ232" s="47"/>
      <c r="KR232" s="47"/>
      <c r="KS232" s="47"/>
      <c r="KT232" s="47"/>
      <c r="KU232" s="47"/>
      <c r="KV232" s="47"/>
      <c r="KW232" s="47"/>
      <c r="KX232" s="47"/>
      <c r="KY232" s="47"/>
      <c r="KZ232" s="47"/>
      <c r="LA232" s="47"/>
      <c r="LB232" s="47"/>
      <c r="LC232" s="47"/>
      <c r="LD232" s="47"/>
      <c r="LE232" s="47"/>
      <c r="LF232" s="47"/>
      <c r="LG232" s="47"/>
      <c r="LH232" s="47"/>
      <c r="LI232" s="47"/>
      <c r="LJ232" s="47"/>
      <c r="LK232" s="47"/>
      <c r="LL232" s="47"/>
      <c r="LM232" s="47"/>
      <c r="LN232" s="47"/>
      <c r="LO232" s="47"/>
      <c r="LP232" s="47"/>
      <c r="LQ232" s="47"/>
      <c r="LR232" s="47"/>
      <c r="LS232" s="47"/>
      <c r="LT232" s="47"/>
      <c r="LU232" s="47"/>
      <c r="LV232" s="47"/>
      <c r="LW232" s="47"/>
      <c r="LX232" s="47"/>
      <c r="LY232" s="47"/>
      <c r="LZ232" s="47"/>
      <c r="MA232" s="47"/>
      <c r="MB232" s="47"/>
      <c r="MC232" s="47"/>
      <c r="MD232" s="47"/>
      <c r="ME232" s="47"/>
      <c r="MF232" s="47"/>
      <c r="MG232" s="47"/>
      <c r="MH232" s="47"/>
      <c r="MI232" s="47"/>
      <c r="MJ232" s="47"/>
      <c r="MK232" s="47"/>
      <c r="ML232" s="47"/>
      <c r="MM232" s="47"/>
      <c r="MN232" s="47"/>
      <c r="MO232" s="47"/>
      <c r="MP232" s="47"/>
      <c r="MQ232" s="47"/>
      <c r="MR232" s="47"/>
      <c r="MS232" s="47"/>
      <c r="MT232" s="47"/>
      <c r="MU232" s="47"/>
      <c r="MV232" s="47"/>
      <c r="MW232" s="47"/>
      <c r="MX232" s="47"/>
      <c r="MY232" s="47"/>
      <c r="MZ232" s="47"/>
      <c r="NA232" s="47"/>
      <c r="NB232" s="47"/>
      <c r="NC232" s="47"/>
      <c r="ND232" s="47"/>
      <c r="NE232" s="47"/>
      <c r="NF232" s="47"/>
      <c r="NG232" s="47"/>
      <c r="NH232" s="47"/>
      <c r="NI232" s="47"/>
      <c r="NJ232" s="47"/>
      <c r="NK232" s="47"/>
      <c r="NL232" s="47"/>
      <c r="NM232" s="47"/>
      <c r="NN232" s="47"/>
      <c r="NO232" s="47"/>
      <c r="NP232" s="47"/>
      <c r="NQ232" s="47"/>
      <c r="NR232" s="47"/>
      <c r="NS232" s="47"/>
      <c r="NT232" s="47"/>
      <c r="NU232" s="47"/>
      <c r="NV232" s="47"/>
      <c r="NW232" s="47"/>
      <c r="NX232" s="47"/>
      <c r="NY232" s="47"/>
      <c r="NZ232" s="47"/>
      <c r="OA232" s="47"/>
      <c r="OB232" s="47"/>
      <c r="OC232" s="47"/>
      <c r="OD232" s="47"/>
      <c r="OE232" s="47"/>
      <c r="OF232" s="47"/>
      <c r="OG232" s="47"/>
      <c r="OH232" s="47"/>
      <c r="OI232" s="47"/>
      <c r="OJ232" s="47"/>
      <c r="OK232" s="47"/>
      <c r="OL232" s="47"/>
      <c r="OM232" s="47"/>
      <c r="ON232" s="47"/>
      <c r="OO232" s="47"/>
      <c r="OP232" s="47"/>
      <c r="OQ232" s="47"/>
      <c r="OR232" s="47"/>
      <c r="OS232" s="47"/>
      <c r="OT232" s="47"/>
      <c r="OU232" s="47"/>
      <c r="OV232" s="47"/>
      <c r="OW232" s="47"/>
      <c r="OX232" s="47"/>
      <c r="OY232" s="47"/>
      <c r="OZ232" s="47"/>
      <c r="PA232" s="47"/>
      <c r="PB232" s="47"/>
      <c r="PC232" s="47"/>
      <c r="PD232" s="47"/>
      <c r="PE232" s="47"/>
      <c r="PF232" s="47"/>
      <c r="PG232" s="47"/>
      <c r="PH232" s="47"/>
      <c r="PI232" s="47"/>
      <c r="PJ232" s="47"/>
      <c r="PK232" s="47"/>
      <c r="PL232" s="47"/>
      <c r="PM232" s="47"/>
      <c r="PN232" s="47"/>
      <c r="PO232" s="47"/>
      <c r="PP232" s="47"/>
      <c r="PQ232" s="47"/>
      <c r="PR232" s="47"/>
      <c r="PS232" s="47"/>
      <c r="PT232" s="47"/>
      <c r="PU232" s="47"/>
      <c r="PV232" s="47"/>
      <c r="PW232" s="47"/>
      <c r="PX232" s="47"/>
      <c r="PY232" s="47"/>
      <c r="PZ232" s="47"/>
      <c r="QA232" s="47"/>
      <c r="QB232" s="47"/>
      <c r="QC232" s="47"/>
      <c r="QD232" s="47"/>
      <c r="QE232" s="47"/>
      <c r="QF232" s="47"/>
      <c r="QG232" s="47"/>
      <c r="QH232" s="47"/>
      <c r="QI232" s="47"/>
      <c r="QJ232" s="47"/>
      <c r="QK232" s="47"/>
      <c r="QL232" s="47"/>
      <c r="QM232" s="47"/>
      <c r="QN232" s="47"/>
      <c r="QO232" s="47"/>
      <c r="QP232" s="47"/>
      <c r="QQ232" s="47"/>
      <c r="QR232" s="47"/>
      <c r="QS232" s="47"/>
      <c r="QT232" s="47"/>
      <c r="QU232" s="47"/>
      <c r="QV232" s="47"/>
      <c r="QW232" s="47"/>
      <c r="QX232" s="47"/>
      <c r="QY232" s="47"/>
      <c r="QZ232" s="47"/>
      <c r="RA232" s="47"/>
      <c r="RB232" s="47"/>
      <c r="RC232" s="47"/>
      <c r="RD232" s="47"/>
      <c r="RE232" s="47"/>
      <c r="RF232" s="47"/>
      <c r="RG232" s="47"/>
      <c r="RH232" s="47"/>
      <c r="RI232" s="47"/>
      <c r="RJ232" s="47"/>
      <c r="RK232" s="47"/>
      <c r="RL232" s="47"/>
      <c r="RM232" s="47"/>
      <c r="RN232" s="47"/>
      <c r="RO232" s="47"/>
      <c r="RP232" s="47"/>
      <c r="RQ232" s="47"/>
      <c r="RR232" s="47"/>
      <c r="RS232" s="47"/>
      <c r="RT232" s="47"/>
      <c r="RU232" s="47"/>
      <c r="RV232" s="47"/>
      <c r="RW232" s="47"/>
      <c r="RX232" s="47"/>
      <c r="RY232" s="47"/>
      <c r="RZ232" s="47"/>
      <c r="SA232" s="47"/>
      <c r="SB232" s="47"/>
      <c r="SC232" s="47"/>
      <c r="SD232" s="47"/>
      <c r="SE232" s="47"/>
      <c r="SF232" s="47"/>
      <c r="SG232" s="47"/>
      <c r="SH232" s="47"/>
      <c r="SI232" s="47"/>
      <c r="SJ232" s="47"/>
      <c r="SK232" s="47"/>
      <c r="SL232" s="47"/>
      <c r="SM232" s="47"/>
      <c r="SN232" s="47"/>
      <c r="SO232" s="47"/>
      <c r="SP232" s="47"/>
      <c r="SQ232" s="47"/>
      <c r="SR232" s="47"/>
      <c r="SS232" s="47"/>
      <c r="ST232" s="47"/>
      <c r="SU232" s="47"/>
      <c r="SV232" s="47"/>
      <c r="SW232" s="47"/>
      <c r="SX232" s="47"/>
      <c r="SY232" s="47"/>
      <c r="SZ232" s="47"/>
      <c r="TA232" s="47"/>
      <c r="TB232" s="47"/>
      <c r="TC232" s="47"/>
      <c r="TD232" s="47"/>
      <c r="TE232" s="47"/>
      <c r="TF232" s="47"/>
      <c r="TG232" s="47"/>
      <c r="TH232" s="47"/>
      <c r="TI232" s="47"/>
      <c r="TJ232" s="47"/>
      <c r="TK232" s="47"/>
      <c r="TL232" s="47"/>
      <c r="TM232" s="47"/>
      <c r="TN232" s="47"/>
      <c r="TO232" s="47"/>
      <c r="TP232" s="47"/>
      <c r="TQ232" s="47"/>
      <c r="TR232" s="47"/>
      <c r="TS232" s="47"/>
      <c r="TT232" s="47"/>
      <c r="TU232" s="47"/>
      <c r="TV232" s="47"/>
      <c r="TW232" s="47"/>
      <c r="TX232" s="47"/>
      <c r="TY232" s="47"/>
      <c r="TZ232" s="47"/>
      <c r="UA232" s="47"/>
      <c r="UB232" s="47"/>
      <c r="UC232" s="47"/>
      <c r="UD232" s="47"/>
      <c r="UE232" s="47"/>
      <c r="UF232" s="47"/>
      <c r="UG232" s="47"/>
      <c r="UH232" s="47"/>
      <c r="UI232" s="47"/>
      <c r="UJ232" s="47"/>
      <c r="UK232" s="47"/>
      <c r="UL232" s="47"/>
      <c r="UM232" s="47"/>
      <c r="UN232" s="47"/>
      <c r="UO232" s="47"/>
      <c r="UP232" s="47"/>
      <c r="UQ232" s="47"/>
      <c r="UR232" s="47"/>
      <c r="US232" s="47"/>
      <c r="UT232" s="47"/>
      <c r="UU232" s="47"/>
      <c r="UV232" s="47"/>
      <c r="UW232" s="47"/>
      <c r="UX232" s="47"/>
      <c r="UY232" s="47"/>
      <c r="UZ232" s="47"/>
      <c r="VA232" s="47"/>
      <c r="VB232" s="47"/>
      <c r="VC232" s="47"/>
      <c r="VD232" s="47"/>
      <c r="VE232" s="47"/>
      <c r="VF232" s="47"/>
    </row>
    <row r="233" spans="1:578" s="41" customFormat="1" ht="24.75" customHeight="1" x14ac:dyDescent="0.2">
      <c r="A233" s="39" t="s">
        <v>271</v>
      </c>
      <c r="B233" s="90" t="str">
        <f>'дод 3'!A220</f>
        <v>9770</v>
      </c>
      <c r="C233" s="90" t="str">
        <f>'дод 3'!B220</f>
        <v>0180</v>
      </c>
      <c r="D233" s="42" t="str">
        <f>'дод 3'!C220</f>
        <v xml:space="preserve">Інші субвенції з місцевого бюджету </v>
      </c>
      <c r="E233" s="65">
        <v>0</v>
      </c>
      <c r="F233" s="65"/>
      <c r="G233" s="65"/>
      <c r="H233" s="65"/>
      <c r="I233" s="65"/>
      <c r="J233" s="65"/>
      <c r="K233" s="130"/>
      <c r="L233" s="65">
        <f t="shared" si="45"/>
        <v>7992500</v>
      </c>
      <c r="M233" s="65">
        <v>7992500</v>
      </c>
      <c r="N233" s="65"/>
      <c r="O233" s="65"/>
      <c r="P233" s="65"/>
      <c r="Q233" s="65">
        <f>7000000+992500</f>
        <v>7992500</v>
      </c>
      <c r="R233" s="65">
        <f t="shared" si="71"/>
        <v>0</v>
      </c>
      <c r="S233" s="65"/>
      <c r="T233" s="65"/>
      <c r="U233" s="65"/>
      <c r="V233" s="65"/>
      <c r="W233" s="65"/>
      <c r="X233" s="132">
        <f t="shared" si="68"/>
        <v>0</v>
      </c>
      <c r="Y233" s="65">
        <f t="shared" si="69"/>
        <v>0</v>
      </c>
      <c r="Z233" s="203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  <c r="SK233" s="47"/>
      <c r="SL233" s="47"/>
      <c r="SM233" s="47"/>
      <c r="SN233" s="47"/>
      <c r="SO233" s="47"/>
      <c r="SP233" s="47"/>
      <c r="SQ233" s="47"/>
      <c r="SR233" s="47"/>
      <c r="SS233" s="47"/>
      <c r="ST233" s="47"/>
      <c r="SU233" s="47"/>
      <c r="SV233" s="47"/>
      <c r="SW233" s="47"/>
      <c r="SX233" s="47"/>
      <c r="SY233" s="47"/>
      <c r="SZ233" s="47"/>
      <c r="TA233" s="47"/>
      <c r="TB233" s="47"/>
      <c r="TC233" s="47"/>
      <c r="TD233" s="47"/>
      <c r="TE233" s="47"/>
      <c r="TF233" s="47"/>
      <c r="TG233" s="47"/>
      <c r="TH233" s="47"/>
      <c r="TI233" s="47"/>
      <c r="TJ233" s="47"/>
      <c r="TK233" s="47"/>
      <c r="TL233" s="47"/>
      <c r="TM233" s="47"/>
      <c r="TN233" s="47"/>
      <c r="TO233" s="47"/>
      <c r="TP233" s="47"/>
      <c r="TQ233" s="47"/>
      <c r="TR233" s="47"/>
      <c r="TS233" s="47"/>
      <c r="TT233" s="47"/>
      <c r="TU233" s="47"/>
      <c r="TV233" s="47"/>
      <c r="TW233" s="47"/>
      <c r="TX233" s="47"/>
      <c r="TY233" s="47"/>
      <c r="TZ233" s="47"/>
      <c r="UA233" s="47"/>
      <c r="UB233" s="47"/>
      <c r="UC233" s="47"/>
      <c r="UD233" s="47"/>
      <c r="UE233" s="47"/>
      <c r="UF233" s="47"/>
      <c r="UG233" s="47"/>
      <c r="UH233" s="47"/>
      <c r="UI233" s="47"/>
      <c r="UJ233" s="47"/>
      <c r="UK233" s="47"/>
      <c r="UL233" s="47"/>
      <c r="UM233" s="47"/>
      <c r="UN233" s="47"/>
      <c r="UO233" s="47"/>
      <c r="UP233" s="47"/>
      <c r="UQ233" s="47"/>
      <c r="UR233" s="47"/>
      <c r="US233" s="47"/>
      <c r="UT233" s="47"/>
      <c r="UU233" s="47"/>
      <c r="UV233" s="47"/>
      <c r="UW233" s="47"/>
      <c r="UX233" s="47"/>
      <c r="UY233" s="47"/>
      <c r="UZ233" s="47"/>
      <c r="VA233" s="47"/>
      <c r="VB233" s="47"/>
      <c r="VC233" s="47"/>
      <c r="VD233" s="47"/>
      <c r="VE233" s="47"/>
      <c r="VF233" s="47"/>
    </row>
    <row r="234" spans="1:578" s="57" customFormat="1" ht="28.5" customHeight="1" x14ac:dyDescent="0.2">
      <c r="A234" s="55" t="s">
        <v>45</v>
      </c>
      <c r="B234" s="99"/>
      <c r="C234" s="99"/>
      <c r="D234" s="56" t="s">
        <v>57</v>
      </c>
      <c r="E234" s="79">
        <v>5556200</v>
      </c>
      <c r="F234" s="79">
        <f t="shared" ref="F234:W235" si="72">F235</f>
        <v>4335700</v>
      </c>
      <c r="G234" s="79">
        <f t="shared" si="72"/>
        <v>105490</v>
      </c>
      <c r="H234" s="79">
        <f t="shared" si="72"/>
        <v>1247877.58</v>
      </c>
      <c r="I234" s="79">
        <f t="shared" si="72"/>
        <v>977652.88</v>
      </c>
      <c r="J234" s="79">
        <f t="shared" si="72"/>
        <v>37696.47</v>
      </c>
      <c r="K234" s="129">
        <f t="shared" si="70"/>
        <v>22.459191173823836</v>
      </c>
      <c r="L234" s="79">
        <f t="shared" si="72"/>
        <v>100000</v>
      </c>
      <c r="M234" s="79">
        <f t="shared" si="72"/>
        <v>100000</v>
      </c>
      <c r="N234" s="79">
        <f t="shared" si="72"/>
        <v>0</v>
      </c>
      <c r="O234" s="79">
        <f t="shared" si="72"/>
        <v>0</v>
      </c>
      <c r="P234" s="79">
        <f t="shared" si="72"/>
        <v>0</v>
      </c>
      <c r="Q234" s="79">
        <f t="shared" si="72"/>
        <v>100000</v>
      </c>
      <c r="R234" s="79">
        <f t="shared" si="72"/>
        <v>0</v>
      </c>
      <c r="S234" s="79">
        <f t="shared" si="72"/>
        <v>0</v>
      </c>
      <c r="T234" s="79">
        <f t="shared" si="72"/>
        <v>0</v>
      </c>
      <c r="U234" s="79">
        <f t="shared" si="72"/>
        <v>0</v>
      </c>
      <c r="V234" s="79">
        <f t="shared" si="72"/>
        <v>0</v>
      </c>
      <c r="W234" s="79">
        <f t="shared" si="72"/>
        <v>0</v>
      </c>
      <c r="X234" s="131">
        <f t="shared" si="68"/>
        <v>0</v>
      </c>
      <c r="Y234" s="79">
        <f t="shared" si="69"/>
        <v>1247877.58</v>
      </c>
      <c r="Z234" s="20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  <c r="HP234" s="73"/>
      <c r="HQ234" s="73"/>
      <c r="HR234" s="73"/>
      <c r="HS234" s="73"/>
      <c r="HT234" s="73"/>
      <c r="HU234" s="73"/>
      <c r="HV234" s="73"/>
      <c r="HW234" s="73"/>
      <c r="HX234" s="73"/>
      <c r="HY234" s="73"/>
      <c r="HZ234" s="73"/>
      <c r="IA234" s="73"/>
      <c r="IB234" s="73"/>
      <c r="IC234" s="73"/>
      <c r="ID234" s="73"/>
      <c r="IE234" s="73"/>
      <c r="IF234" s="73"/>
      <c r="IG234" s="73"/>
      <c r="IH234" s="73"/>
      <c r="II234" s="73"/>
      <c r="IJ234" s="73"/>
      <c r="IK234" s="73"/>
      <c r="IL234" s="73"/>
      <c r="IM234" s="73"/>
      <c r="IN234" s="73"/>
      <c r="IO234" s="73"/>
      <c r="IP234" s="73"/>
      <c r="IQ234" s="73"/>
      <c r="IR234" s="73"/>
      <c r="IS234" s="73"/>
      <c r="IT234" s="73"/>
      <c r="IU234" s="73"/>
      <c r="IV234" s="73"/>
      <c r="IW234" s="73"/>
      <c r="IX234" s="73"/>
      <c r="IY234" s="73"/>
      <c r="IZ234" s="73"/>
      <c r="JA234" s="73"/>
      <c r="JB234" s="73"/>
      <c r="JC234" s="73"/>
      <c r="JD234" s="73"/>
      <c r="JE234" s="73"/>
      <c r="JF234" s="73"/>
      <c r="JG234" s="73"/>
      <c r="JH234" s="73"/>
      <c r="JI234" s="73"/>
      <c r="JJ234" s="73"/>
      <c r="JK234" s="73"/>
      <c r="JL234" s="73"/>
      <c r="JM234" s="73"/>
      <c r="JN234" s="73"/>
      <c r="JO234" s="73"/>
      <c r="JP234" s="73"/>
      <c r="JQ234" s="73"/>
      <c r="JR234" s="73"/>
      <c r="JS234" s="73"/>
      <c r="JT234" s="73"/>
      <c r="JU234" s="73"/>
      <c r="JV234" s="73"/>
      <c r="JW234" s="73"/>
      <c r="JX234" s="73"/>
      <c r="JY234" s="73"/>
      <c r="JZ234" s="73"/>
      <c r="KA234" s="73"/>
      <c r="KB234" s="73"/>
      <c r="KC234" s="73"/>
      <c r="KD234" s="73"/>
      <c r="KE234" s="73"/>
      <c r="KF234" s="73"/>
      <c r="KG234" s="73"/>
      <c r="KH234" s="73"/>
      <c r="KI234" s="73"/>
      <c r="KJ234" s="73"/>
      <c r="KK234" s="73"/>
      <c r="KL234" s="73"/>
      <c r="KM234" s="73"/>
      <c r="KN234" s="73"/>
      <c r="KO234" s="73"/>
      <c r="KP234" s="73"/>
      <c r="KQ234" s="73"/>
      <c r="KR234" s="73"/>
      <c r="KS234" s="73"/>
      <c r="KT234" s="73"/>
      <c r="KU234" s="73"/>
      <c r="KV234" s="73"/>
      <c r="KW234" s="73"/>
      <c r="KX234" s="73"/>
      <c r="KY234" s="73"/>
      <c r="KZ234" s="73"/>
      <c r="LA234" s="73"/>
      <c r="LB234" s="73"/>
      <c r="LC234" s="73"/>
      <c r="LD234" s="73"/>
      <c r="LE234" s="73"/>
      <c r="LF234" s="73"/>
      <c r="LG234" s="73"/>
      <c r="LH234" s="73"/>
      <c r="LI234" s="73"/>
      <c r="LJ234" s="73"/>
      <c r="LK234" s="73"/>
      <c r="LL234" s="73"/>
      <c r="LM234" s="73"/>
      <c r="LN234" s="73"/>
      <c r="LO234" s="73"/>
      <c r="LP234" s="73"/>
      <c r="LQ234" s="73"/>
      <c r="LR234" s="73"/>
      <c r="LS234" s="73"/>
      <c r="LT234" s="73"/>
      <c r="LU234" s="73"/>
      <c r="LV234" s="73"/>
      <c r="LW234" s="73"/>
      <c r="LX234" s="73"/>
      <c r="LY234" s="73"/>
      <c r="LZ234" s="73"/>
      <c r="MA234" s="73"/>
      <c r="MB234" s="73"/>
      <c r="MC234" s="73"/>
      <c r="MD234" s="73"/>
      <c r="ME234" s="73"/>
      <c r="MF234" s="73"/>
      <c r="MG234" s="73"/>
      <c r="MH234" s="73"/>
      <c r="MI234" s="73"/>
      <c r="MJ234" s="73"/>
      <c r="MK234" s="73"/>
      <c r="ML234" s="73"/>
      <c r="MM234" s="73"/>
      <c r="MN234" s="73"/>
      <c r="MO234" s="73"/>
      <c r="MP234" s="73"/>
      <c r="MQ234" s="73"/>
      <c r="MR234" s="73"/>
      <c r="MS234" s="73"/>
      <c r="MT234" s="73"/>
      <c r="MU234" s="73"/>
      <c r="MV234" s="73"/>
      <c r="MW234" s="73"/>
      <c r="MX234" s="73"/>
      <c r="MY234" s="73"/>
      <c r="MZ234" s="73"/>
      <c r="NA234" s="73"/>
      <c r="NB234" s="73"/>
      <c r="NC234" s="73"/>
      <c r="ND234" s="73"/>
      <c r="NE234" s="73"/>
      <c r="NF234" s="73"/>
      <c r="NG234" s="73"/>
      <c r="NH234" s="73"/>
      <c r="NI234" s="73"/>
      <c r="NJ234" s="73"/>
      <c r="NK234" s="73"/>
      <c r="NL234" s="73"/>
      <c r="NM234" s="73"/>
      <c r="NN234" s="73"/>
      <c r="NO234" s="73"/>
      <c r="NP234" s="73"/>
      <c r="NQ234" s="73"/>
      <c r="NR234" s="73"/>
      <c r="NS234" s="73"/>
      <c r="NT234" s="73"/>
      <c r="NU234" s="73"/>
      <c r="NV234" s="73"/>
      <c r="NW234" s="73"/>
      <c r="NX234" s="73"/>
      <c r="NY234" s="73"/>
      <c r="NZ234" s="73"/>
      <c r="OA234" s="73"/>
      <c r="OB234" s="73"/>
      <c r="OC234" s="73"/>
      <c r="OD234" s="73"/>
      <c r="OE234" s="73"/>
      <c r="OF234" s="73"/>
      <c r="OG234" s="73"/>
      <c r="OH234" s="73"/>
      <c r="OI234" s="73"/>
      <c r="OJ234" s="73"/>
      <c r="OK234" s="73"/>
      <c r="OL234" s="73"/>
      <c r="OM234" s="73"/>
      <c r="ON234" s="73"/>
      <c r="OO234" s="73"/>
      <c r="OP234" s="73"/>
      <c r="OQ234" s="73"/>
      <c r="OR234" s="73"/>
      <c r="OS234" s="73"/>
      <c r="OT234" s="73"/>
      <c r="OU234" s="73"/>
      <c r="OV234" s="73"/>
      <c r="OW234" s="73"/>
      <c r="OX234" s="73"/>
      <c r="OY234" s="73"/>
      <c r="OZ234" s="73"/>
      <c r="PA234" s="73"/>
      <c r="PB234" s="73"/>
      <c r="PC234" s="73"/>
      <c r="PD234" s="73"/>
      <c r="PE234" s="73"/>
      <c r="PF234" s="73"/>
      <c r="PG234" s="73"/>
      <c r="PH234" s="73"/>
      <c r="PI234" s="73"/>
      <c r="PJ234" s="73"/>
      <c r="PK234" s="73"/>
      <c r="PL234" s="73"/>
      <c r="PM234" s="73"/>
      <c r="PN234" s="73"/>
      <c r="PO234" s="73"/>
      <c r="PP234" s="73"/>
      <c r="PQ234" s="73"/>
      <c r="PR234" s="73"/>
      <c r="PS234" s="73"/>
      <c r="PT234" s="73"/>
      <c r="PU234" s="73"/>
      <c r="PV234" s="73"/>
      <c r="PW234" s="73"/>
      <c r="PX234" s="73"/>
      <c r="PY234" s="73"/>
      <c r="PZ234" s="73"/>
      <c r="QA234" s="73"/>
      <c r="QB234" s="73"/>
      <c r="QC234" s="73"/>
      <c r="QD234" s="73"/>
      <c r="QE234" s="73"/>
      <c r="QF234" s="73"/>
      <c r="QG234" s="73"/>
      <c r="QH234" s="73"/>
      <c r="QI234" s="73"/>
      <c r="QJ234" s="73"/>
      <c r="QK234" s="73"/>
      <c r="QL234" s="73"/>
      <c r="QM234" s="73"/>
      <c r="QN234" s="73"/>
      <c r="QO234" s="73"/>
      <c r="QP234" s="73"/>
      <c r="QQ234" s="73"/>
      <c r="QR234" s="73"/>
      <c r="QS234" s="73"/>
      <c r="QT234" s="73"/>
      <c r="QU234" s="73"/>
      <c r="QV234" s="73"/>
      <c r="QW234" s="73"/>
      <c r="QX234" s="73"/>
      <c r="QY234" s="73"/>
      <c r="QZ234" s="73"/>
      <c r="RA234" s="73"/>
      <c r="RB234" s="73"/>
      <c r="RC234" s="73"/>
      <c r="RD234" s="73"/>
      <c r="RE234" s="73"/>
      <c r="RF234" s="73"/>
      <c r="RG234" s="73"/>
      <c r="RH234" s="73"/>
      <c r="RI234" s="73"/>
      <c r="RJ234" s="73"/>
      <c r="RK234" s="73"/>
      <c r="RL234" s="73"/>
      <c r="RM234" s="73"/>
      <c r="RN234" s="73"/>
      <c r="RO234" s="73"/>
      <c r="RP234" s="73"/>
      <c r="RQ234" s="73"/>
      <c r="RR234" s="73"/>
      <c r="RS234" s="73"/>
      <c r="RT234" s="73"/>
      <c r="RU234" s="73"/>
      <c r="RV234" s="73"/>
      <c r="RW234" s="73"/>
      <c r="RX234" s="73"/>
      <c r="RY234" s="73"/>
      <c r="RZ234" s="73"/>
      <c r="SA234" s="73"/>
      <c r="SB234" s="73"/>
      <c r="SC234" s="73"/>
      <c r="SD234" s="73"/>
      <c r="SE234" s="73"/>
      <c r="SF234" s="73"/>
      <c r="SG234" s="73"/>
      <c r="SH234" s="73"/>
      <c r="SI234" s="73"/>
      <c r="SJ234" s="73"/>
      <c r="SK234" s="73"/>
      <c r="SL234" s="73"/>
      <c r="SM234" s="73"/>
      <c r="SN234" s="73"/>
      <c r="SO234" s="73"/>
      <c r="SP234" s="73"/>
      <c r="SQ234" s="73"/>
      <c r="SR234" s="73"/>
      <c r="SS234" s="73"/>
      <c r="ST234" s="73"/>
      <c r="SU234" s="73"/>
      <c r="SV234" s="73"/>
      <c r="SW234" s="73"/>
      <c r="SX234" s="73"/>
      <c r="SY234" s="73"/>
      <c r="SZ234" s="73"/>
      <c r="TA234" s="73"/>
      <c r="TB234" s="73"/>
      <c r="TC234" s="73"/>
      <c r="TD234" s="73"/>
      <c r="TE234" s="73"/>
      <c r="TF234" s="73"/>
      <c r="TG234" s="73"/>
      <c r="TH234" s="73"/>
      <c r="TI234" s="73"/>
      <c r="TJ234" s="73"/>
      <c r="TK234" s="73"/>
      <c r="TL234" s="73"/>
      <c r="TM234" s="73"/>
      <c r="TN234" s="73"/>
      <c r="TO234" s="73"/>
      <c r="TP234" s="73"/>
      <c r="TQ234" s="73"/>
      <c r="TR234" s="73"/>
      <c r="TS234" s="73"/>
      <c r="TT234" s="73"/>
      <c r="TU234" s="73"/>
      <c r="TV234" s="73"/>
      <c r="TW234" s="73"/>
      <c r="TX234" s="73"/>
      <c r="TY234" s="73"/>
      <c r="TZ234" s="73"/>
      <c r="UA234" s="73"/>
      <c r="UB234" s="73"/>
      <c r="UC234" s="73"/>
      <c r="UD234" s="73"/>
      <c r="UE234" s="73"/>
      <c r="UF234" s="73"/>
      <c r="UG234" s="73"/>
      <c r="UH234" s="73"/>
      <c r="UI234" s="73"/>
      <c r="UJ234" s="73"/>
      <c r="UK234" s="73"/>
      <c r="UL234" s="73"/>
      <c r="UM234" s="73"/>
      <c r="UN234" s="73"/>
      <c r="UO234" s="73"/>
      <c r="UP234" s="73"/>
      <c r="UQ234" s="73"/>
      <c r="UR234" s="73"/>
      <c r="US234" s="73"/>
      <c r="UT234" s="73"/>
      <c r="UU234" s="73"/>
      <c r="UV234" s="73"/>
      <c r="UW234" s="73"/>
      <c r="UX234" s="73"/>
      <c r="UY234" s="73"/>
      <c r="UZ234" s="73"/>
      <c r="VA234" s="73"/>
      <c r="VB234" s="73"/>
      <c r="VC234" s="73"/>
      <c r="VD234" s="73"/>
      <c r="VE234" s="73"/>
      <c r="VF234" s="73"/>
    </row>
    <row r="235" spans="1:578" s="75" customFormat="1" ht="33" customHeight="1" x14ac:dyDescent="0.2">
      <c r="A235" s="60" t="s">
        <v>152</v>
      </c>
      <c r="B235" s="100"/>
      <c r="C235" s="100"/>
      <c r="D235" s="61" t="s">
        <v>57</v>
      </c>
      <c r="E235" s="78">
        <v>5556200</v>
      </c>
      <c r="F235" s="78">
        <f t="shared" si="72"/>
        <v>4335700</v>
      </c>
      <c r="G235" s="78">
        <f t="shared" si="72"/>
        <v>105490</v>
      </c>
      <c r="H235" s="78">
        <f t="shared" si="72"/>
        <v>1247877.58</v>
      </c>
      <c r="I235" s="78">
        <f t="shared" si="72"/>
        <v>977652.88</v>
      </c>
      <c r="J235" s="78">
        <f t="shared" si="72"/>
        <v>37696.47</v>
      </c>
      <c r="K235" s="129">
        <f t="shared" si="70"/>
        <v>22.459191173823836</v>
      </c>
      <c r="L235" s="78">
        <f t="shared" si="72"/>
        <v>100000</v>
      </c>
      <c r="M235" s="78">
        <f t="shared" si="72"/>
        <v>100000</v>
      </c>
      <c r="N235" s="78">
        <f t="shared" si="72"/>
        <v>0</v>
      </c>
      <c r="O235" s="78">
        <f t="shared" si="72"/>
        <v>0</v>
      </c>
      <c r="P235" s="78">
        <f t="shared" si="72"/>
        <v>0</v>
      </c>
      <c r="Q235" s="78">
        <f t="shared" si="72"/>
        <v>100000</v>
      </c>
      <c r="R235" s="78">
        <f t="shared" si="72"/>
        <v>0</v>
      </c>
      <c r="S235" s="78">
        <f t="shared" si="72"/>
        <v>0</v>
      </c>
      <c r="T235" s="78">
        <f t="shared" si="72"/>
        <v>0</v>
      </c>
      <c r="U235" s="78">
        <f t="shared" si="72"/>
        <v>0</v>
      </c>
      <c r="V235" s="78">
        <f t="shared" si="72"/>
        <v>0</v>
      </c>
      <c r="W235" s="78">
        <f t="shared" si="72"/>
        <v>0</v>
      </c>
      <c r="X235" s="131">
        <f t="shared" si="68"/>
        <v>0</v>
      </c>
      <c r="Y235" s="79">
        <f t="shared" si="69"/>
        <v>1247877.58</v>
      </c>
      <c r="Z235" s="203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  <c r="HE235" s="74"/>
      <c r="HF235" s="74"/>
      <c r="HG235" s="74"/>
      <c r="HH235" s="74"/>
      <c r="HI235" s="74"/>
      <c r="HJ235" s="74"/>
      <c r="HK235" s="74"/>
      <c r="HL235" s="74"/>
      <c r="HM235" s="74"/>
      <c r="HN235" s="74"/>
      <c r="HO235" s="74"/>
      <c r="HP235" s="74"/>
      <c r="HQ235" s="74"/>
      <c r="HR235" s="74"/>
      <c r="HS235" s="74"/>
      <c r="HT235" s="74"/>
      <c r="HU235" s="74"/>
      <c r="HV235" s="74"/>
      <c r="HW235" s="74"/>
      <c r="HX235" s="74"/>
      <c r="HY235" s="74"/>
      <c r="HZ235" s="74"/>
      <c r="IA235" s="74"/>
      <c r="IB235" s="74"/>
      <c r="IC235" s="74"/>
      <c r="ID235" s="74"/>
      <c r="IE235" s="74"/>
      <c r="IF235" s="74"/>
      <c r="IG235" s="74"/>
      <c r="IH235" s="74"/>
      <c r="II235" s="74"/>
      <c r="IJ235" s="74"/>
      <c r="IK235" s="74"/>
      <c r="IL235" s="74"/>
      <c r="IM235" s="74"/>
      <c r="IN235" s="74"/>
      <c r="IO235" s="74"/>
      <c r="IP235" s="74"/>
      <c r="IQ235" s="74"/>
      <c r="IR235" s="74"/>
      <c r="IS235" s="74"/>
      <c r="IT235" s="74"/>
      <c r="IU235" s="74"/>
      <c r="IV235" s="74"/>
      <c r="IW235" s="74"/>
      <c r="IX235" s="74"/>
      <c r="IY235" s="74"/>
      <c r="IZ235" s="74"/>
      <c r="JA235" s="74"/>
      <c r="JB235" s="74"/>
      <c r="JC235" s="74"/>
      <c r="JD235" s="74"/>
      <c r="JE235" s="74"/>
      <c r="JF235" s="74"/>
      <c r="JG235" s="74"/>
      <c r="JH235" s="74"/>
      <c r="JI235" s="74"/>
      <c r="JJ235" s="74"/>
      <c r="JK235" s="74"/>
      <c r="JL235" s="74"/>
      <c r="JM235" s="74"/>
      <c r="JN235" s="74"/>
      <c r="JO235" s="74"/>
      <c r="JP235" s="74"/>
      <c r="JQ235" s="74"/>
      <c r="JR235" s="74"/>
      <c r="JS235" s="74"/>
      <c r="JT235" s="74"/>
      <c r="JU235" s="74"/>
      <c r="JV235" s="74"/>
      <c r="JW235" s="74"/>
      <c r="JX235" s="74"/>
      <c r="JY235" s="74"/>
      <c r="JZ235" s="74"/>
      <c r="KA235" s="74"/>
      <c r="KB235" s="74"/>
      <c r="KC235" s="74"/>
      <c r="KD235" s="74"/>
      <c r="KE235" s="74"/>
      <c r="KF235" s="74"/>
      <c r="KG235" s="74"/>
      <c r="KH235" s="74"/>
      <c r="KI235" s="74"/>
      <c r="KJ235" s="74"/>
      <c r="KK235" s="74"/>
      <c r="KL235" s="74"/>
      <c r="KM235" s="74"/>
      <c r="KN235" s="74"/>
      <c r="KO235" s="74"/>
      <c r="KP235" s="74"/>
      <c r="KQ235" s="74"/>
      <c r="KR235" s="74"/>
      <c r="KS235" s="74"/>
      <c r="KT235" s="74"/>
      <c r="KU235" s="74"/>
      <c r="KV235" s="74"/>
      <c r="KW235" s="74"/>
      <c r="KX235" s="74"/>
      <c r="KY235" s="74"/>
      <c r="KZ235" s="74"/>
      <c r="LA235" s="74"/>
      <c r="LB235" s="74"/>
      <c r="LC235" s="74"/>
      <c r="LD235" s="74"/>
      <c r="LE235" s="74"/>
      <c r="LF235" s="74"/>
      <c r="LG235" s="74"/>
      <c r="LH235" s="74"/>
      <c r="LI235" s="74"/>
      <c r="LJ235" s="74"/>
      <c r="LK235" s="74"/>
      <c r="LL235" s="74"/>
      <c r="LM235" s="74"/>
      <c r="LN235" s="74"/>
      <c r="LO235" s="74"/>
      <c r="LP235" s="74"/>
      <c r="LQ235" s="74"/>
      <c r="LR235" s="74"/>
      <c r="LS235" s="74"/>
      <c r="LT235" s="74"/>
      <c r="LU235" s="74"/>
      <c r="LV235" s="74"/>
      <c r="LW235" s="74"/>
      <c r="LX235" s="74"/>
      <c r="LY235" s="74"/>
      <c r="LZ235" s="74"/>
      <c r="MA235" s="74"/>
      <c r="MB235" s="74"/>
      <c r="MC235" s="74"/>
      <c r="MD235" s="74"/>
      <c r="ME235" s="74"/>
      <c r="MF235" s="74"/>
      <c r="MG235" s="74"/>
      <c r="MH235" s="74"/>
      <c r="MI235" s="74"/>
      <c r="MJ235" s="74"/>
      <c r="MK235" s="74"/>
      <c r="ML235" s="74"/>
      <c r="MM235" s="74"/>
      <c r="MN235" s="74"/>
      <c r="MO235" s="74"/>
      <c r="MP235" s="74"/>
      <c r="MQ235" s="74"/>
      <c r="MR235" s="74"/>
      <c r="MS235" s="74"/>
      <c r="MT235" s="74"/>
      <c r="MU235" s="74"/>
      <c r="MV235" s="74"/>
      <c r="MW235" s="74"/>
      <c r="MX235" s="74"/>
      <c r="MY235" s="74"/>
      <c r="MZ235" s="74"/>
      <c r="NA235" s="74"/>
      <c r="NB235" s="74"/>
      <c r="NC235" s="74"/>
      <c r="ND235" s="74"/>
      <c r="NE235" s="74"/>
      <c r="NF235" s="74"/>
      <c r="NG235" s="74"/>
      <c r="NH235" s="74"/>
      <c r="NI235" s="74"/>
      <c r="NJ235" s="74"/>
      <c r="NK235" s="74"/>
      <c r="NL235" s="74"/>
      <c r="NM235" s="74"/>
      <c r="NN235" s="74"/>
      <c r="NO235" s="74"/>
      <c r="NP235" s="74"/>
      <c r="NQ235" s="74"/>
      <c r="NR235" s="74"/>
      <c r="NS235" s="74"/>
      <c r="NT235" s="74"/>
      <c r="NU235" s="74"/>
      <c r="NV235" s="74"/>
      <c r="NW235" s="74"/>
      <c r="NX235" s="74"/>
      <c r="NY235" s="74"/>
      <c r="NZ235" s="74"/>
      <c r="OA235" s="74"/>
      <c r="OB235" s="74"/>
      <c r="OC235" s="74"/>
      <c r="OD235" s="74"/>
      <c r="OE235" s="74"/>
      <c r="OF235" s="74"/>
      <c r="OG235" s="74"/>
      <c r="OH235" s="74"/>
      <c r="OI235" s="74"/>
      <c r="OJ235" s="74"/>
      <c r="OK235" s="74"/>
      <c r="OL235" s="74"/>
      <c r="OM235" s="74"/>
      <c r="ON235" s="74"/>
      <c r="OO235" s="74"/>
      <c r="OP235" s="74"/>
      <c r="OQ235" s="74"/>
      <c r="OR235" s="74"/>
      <c r="OS235" s="74"/>
      <c r="OT235" s="74"/>
      <c r="OU235" s="74"/>
      <c r="OV235" s="74"/>
      <c r="OW235" s="74"/>
      <c r="OX235" s="74"/>
      <c r="OY235" s="74"/>
      <c r="OZ235" s="74"/>
      <c r="PA235" s="74"/>
      <c r="PB235" s="74"/>
      <c r="PC235" s="74"/>
      <c r="PD235" s="74"/>
      <c r="PE235" s="74"/>
      <c r="PF235" s="74"/>
      <c r="PG235" s="74"/>
      <c r="PH235" s="74"/>
      <c r="PI235" s="74"/>
      <c r="PJ235" s="74"/>
      <c r="PK235" s="74"/>
      <c r="PL235" s="74"/>
      <c r="PM235" s="74"/>
      <c r="PN235" s="74"/>
      <c r="PO235" s="74"/>
      <c r="PP235" s="74"/>
      <c r="PQ235" s="74"/>
      <c r="PR235" s="74"/>
      <c r="PS235" s="74"/>
      <c r="PT235" s="74"/>
      <c r="PU235" s="74"/>
      <c r="PV235" s="74"/>
      <c r="PW235" s="74"/>
      <c r="PX235" s="74"/>
      <c r="PY235" s="74"/>
      <c r="PZ235" s="74"/>
      <c r="QA235" s="74"/>
      <c r="QB235" s="74"/>
      <c r="QC235" s="74"/>
      <c r="QD235" s="74"/>
      <c r="QE235" s="74"/>
      <c r="QF235" s="74"/>
      <c r="QG235" s="74"/>
      <c r="QH235" s="74"/>
      <c r="QI235" s="74"/>
      <c r="QJ235" s="74"/>
      <c r="QK235" s="74"/>
      <c r="QL235" s="74"/>
      <c r="QM235" s="74"/>
      <c r="QN235" s="74"/>
      <c r="QO235" s="74"/>
      <c r="QP235" s="74"/>
      <c r="QQ235" s="74"/>
      <c r="QR235" s="74"/>
      <c r="QS235" s="74"/>
      <c r="QT235" s="74"/>
      <c r="QU235" s="74"/>
      <c r="QV235" s="74"/>
      <c r="QW235" s="74"/>
      <c r="QX235" s="74"/>
      <c r="QY235" s="74"/>
      <c r="QZ235" s="74"/>
      <c r="RA235" s="74"/>
      <c r="RB235" s="74"/>
      <c r="RC235" s="74"/>
      <c r="RD235" s="74"/>
      <c r="RE235" s="74"/>
      <c r="RF235" s="74"/>
      <c r="RG235" s="74"/>
      <c r="RH235" s="74"/>
      <c r="RI235" s="74"/>
      <c r="RJ235" s="74"/>
      <c r="RK235" s="74"/>
      <c r="RL235" s="74"/>
      <c r="RM235" s="74"/>
      <c r="RN235" s="74"/>
      <c r="RO235" s="74"/>
      <c r="RP235" s="74"/>
      <c r="RQ235" s="74"/>
      <c r="RR235" s="74"/>
      <c r="RS235" s="74"/>
      <c r="RT235" s="74"/>
      <c r="RU235" s="74"/>
      <c r="RV235" s="74"/>
      <c r="RW235" s="74"/>
      <c r="RX235" s="74"/>
      <c r="RY235" s="74"/>
      <c r="RZ235" s="74"/>
      <c r="SA235" s="74"/>
      <c r="SB235" s="74"/>
      <c r="SC235" s="74"/>
      <c r="SD235" s="74"/>
      <c r="SE235" s="74"/>
      <c r="SF235" s="74"/>
      <c r="SG235" s="74"/>
      <c r="SH235" s="74"/>
      <c r="SI235" s="74"/>
      <c r="SJ235" s="74"/>
      <c r="SK235" s="74"/>
      <c r="SL235" s="74"/>
      <c r="SM235" s="74"/>
      <c r="SN235" s="74"/>
      <c r="SO235" s="74"/>
      <c r="SP235" s="74"/>
      <c r="SQ235" s="74"/>
      <c r="SR235" s="74"/>
      <c r="SS235" s="74"/>
      <c r="ST235" s="74"/>
      <c r="SU235" s="74"/>
      <c r="SV235" s="74"/>
      <c r="SW235" s="74"/>
      <c r="SX235" s="74"/>
      <c r="SY235" s="74"/>
      <c r="SZ235" s="74"/>
      <c r="TA235" s="74"/>
      <c r="TB235" s="74"/>
      <c r="TC235" s="74"/>
      <c r="TD235" s="74"/>
      <c r="TE235" s="74"/>
      <c r="TF235" s="74"/>
      <c r="TG235" s="74"/>
      <c r="TH235" s="74"/>
      <c r="TI235" s="74"/>
      <c r="TJ235" s="74"/>
      <c r="TK235" s="74"/>
      <c r="TL235" s="74"/>
      <c r="TM235" s="74"/>
      <c r="TN235" s="74"/>
      <c r="TO235" s="74"/>
      <c r="TP235" s="74"/>
      <c r="TQ235" s="74"/>
      <c r="TR235" s="74"/>
      <c r="TS235" s="74"/>
      <c r="TT235" s="74"/>
      <c r="TU235" s="74"/>
      <c r="TV235" s="74"/>
      <c r="TW235" s="74"/>
      <c r="TX235" s="74"/>
      <c r="TY235" s="74"/>
      <c r="TZ235" s="74"/>
      <c r="UA235" s="74"/>
      <c r="UB235" s="74"/>
      <c r="UC235" s="74"/>
      <c r="UD235" s="74"/>
      <c r="UE235" s="74"/>
      <c r="UF235" s="74"/>
      <c r="UG235" s="74"/>
      <c r="UH235" s="74"/>
      <c r="UI235" s="74"/>
      <c r="UJ235" s="74"/>
      <c r="UK235" s="74"/>
      <c r="UL235" s="74"/>
      <c r="UM235" s="74"/>
      <c r="UN235" s="74"/>
      <c r="UO235" s="74"/>
      <c r="UP235" s="74"/>
      <c r="UQ235" s="74"/>
      <c r="UR235" s="74"/>
      <c r="US235" s="74"/>
      <c r="UT235" s="74"/>
      <c r="UU235" s="74"/>
      <c r="UV235" s="74"/>
      <c r="UW235" s="74"/>
      <c r="UX235" s="74"/>
      <c r="UY235" s="74"/>
      <c r="UZ235" s="74"/>
      <c r="VA235" s="74"/>
      <c r="VB235" s="74"/>
      <c r="VC235" s="74"/>
      <c r="VD235" s="74"/>
      <c r="VE235" s="74"/>
      <c r="VF235" s="74"/>
    </row>
    <row r="236" spans="1:578" s="41" customFormat="1" ht="48" customHeight="1" x14ac:dyDescent="0.2">
      <c r="A236" s="39" t="s">
        <v>0</v>
      </c>
      <c r="B236" s="90" t="str">
        <f>'дод 3'!A16</f>
        <v>0160</v>
      </c>
      <c r="C236" s="90" t="str">
        <f>'дод 3'!B16</f>
        <v>0111</v>
      </c>
      <c r="D236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36" s="65">
        <v>5556200</v>
      </c>
      <c r="F236" s="65">
        <v>4335700</v>
      </c>
      <c r="G236" s="65">
        <f>103690+1800</f>
        <v>105490</v>
      </c>
      <c r="H236" s="65">
        <v>1247877.58</v>
      </c>
      <c r="I236" s="65">
        <v>977652.88</v>
      </c>
      <c r="J236" s="65">
        <v>37696.47</v>
      </c>
      <c r="K236" s="130">
        <f t="shared" si="70"/>
        <v>22.459191173823836</v>
      </c>
      <c r="L236" s="65">
        <f t="shared" ref="L236:L294" si="73">N236+Q236</f>
        <v>100000</v>
      </c>
      <c r="M236" s="65">
        <v>100000</v>
      </c>
      <c r="N236" s="65"/>
      <c r="O236" s="65"/>
      <c r="P236" s="65"/>
      <c r="Q236" s="65">
        <f>100000</f>
        <v>100000</v>
      </c>
      <c r="R236" s="65">
        <f t="shared" ref="R236:R294" si="74">T236+W236</f>
        <v>0</v>
      </c>
      <c r="S236" s="65"/>
      <c r="T236" s="65"/>
      <c r="U236" s="65"/>
      <c r="V236" s="65"/>
      <c r="W236" s="65"/>
      <c r="X236" s="132">
        <f t="shared" si="68"/>
        <v>0</v>
      </c>
      <c r="Y236" s="65">
        <f t="shared" si="69"/>
        <v>1247877.58</v>
      </c>
      <c r="Z236" s="203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  <c r="SK236" s="47"/>
      <c r="SL236" s="47"/>
      <c r="SM236" s="47"/>
      <c r="SN236" s="47"/>
      <c r="SO236" s="47"/>
      <c r="SP236" s="47"/>
      <c r="SQ236" s="47"/>
      <c r="SR236" s="47"/>
      <c r="SS236" s="47"/>
      <c r="ST236" s="47"/>
      <c r="SU236" s="47"/>
      <c r="SV236" s="47"/>
      <c r="SW236" s="47"/>
      <c r="SX236" s="47"/>
      <c r="SY236" s="47"/>
      <c r="SZ236" s="47"/>
      <c r="TA236" s="47"/>
      <c r="TB236" s="47"/>
      <c r="TC236" s="47"/>
      <c r="TD236" s="47"/>
      <c r="TE236" s="47"/>
      <c r="TF236" s="47"/>
      <c r="TG236" s="47"/>
      <c r="TH236" s="47"/>
      <c r="TI236" s="47"/>
      <c r="TJ236" s="47"/>
      <c r="TK236" s="47"/>
      <c r="TL236" s="47"/>
      <c r="TM236" s="47"/>
      <c r="TN236" s="47"/>
      <c r="TO236" s="47"/>
      <c r="TP236" s="47"/>
      <c r="TQ236" s="47"/>
      <c r="TR236" s="47"/>
      <c r="TS236" s="47"/>
      <c r="TT236" s="47"/>
      <c r="TU236" s="47"/>
      <c r="TV236" s="47"/>
      <c r="TW236" s="47"/>
      <c r="TX236" s="47"/>
      <c r="TY236" s="47"/>
      <c r="TZ236" s="47"/>
      <c r="UA236" s="47"/>
      <c r="UB236" s="47"/>
      <c r="UC236" s="47"/>
      <c r="UD236" s="47"/>
      <c r="UE236" s="47"/>
      <c r="UF236" s="47"/>
      <c r="UG236" s="47"/>
      <c r="UH236" s="47"/>
      <c r="UI236" s="47"/>
      <c r="UJ236" s="47"/>
      <c r="UK236" s="47"/>
      <c r="UL236" s="47"/>
      <c r="UM236" s="47"/>
      <c r="UN236" s="47"/>
      <c r="UO236" s="47"/>
      <c r="UP236" s="47"/>
      <c r="UQ236" s="47"/>
      <c r="UR236" s="47"/>
      <c r="US236" s="47"/>
      <c r="UT236" s="47"/>
      <c r="UU236" s="47"/>
      <c r="UV236" s="47"/>
      <c r="UW236" s="47"/>
      <c r="UX236" s="47"/>
      <c r="UY236" s="47"/>
      <c r="UZ236" s="47"/>
      <c r="VA236" s="47"/>
      <c r="VB236" s="47"/>
      <c r="VC236" s="47"/>
      <c r="VD236" s="47"/>
      <c r="VE236" s="47"/>
      <c r="VF236" s="47"/>
    </row>
    <row r="237" spans="1:578" s="41" customFormat="1" ht="37.5" hidden="1" customHeight="1" x14ac:dyDescent="0.2">
      <c r="A237" s="39" t="s">
        <v>334</v>
      </c>
      <c r="B237" s="90" t="str">
        <f>'дод 3'!A155</f>
        <v>6090</v>
      </c>
      <c r="C237" s="90" t="str">
        <f>'дод 3'!B155</f>
        <v>0640</v>
      </c>
      <c r="D237" s="42" t="str">
        <f>'дод 3'!C155</f>
        <v>Інша діяльність у сфері житлово-комунального господарства</v>
      </c>
      <c r="E237" s="65">
        <v>0</v>
      </c>
      <c r="F237" s="65"/>
      <c r="G237" s="65"/>
      <c r="H237" s="65"/>
      <c r="I237" s="65"/>
      <c r="J237" s="65"/>
      <c r="K237" s="129" t="e">
        <f t="shared" si="70"/>
        <v>#DIV/0!</v>
      </c>
      <c r="L237" s="65">
        <f t="shared" si="73"/>
        <v>0</v>
      </c>
      <c r="M237" s="65"/>
      <c r="N237" s="65"/>
      <c r="O237" s="65"/>
      <c r="P237" s="65"/>
      <c r="Q237" s="65"/>
      <c r="R237" s="65">
        <f t="shared" si="74"/>
        <v>0</v>
      </c>
      <c r="S237" s="65"/>
      <c r="T237" s="65"/>
      <c r="U237" s="65"/>
      <c r="V237" s="65"/>
      <c r="W237" s="65"/>
      <c r="X237" s="131" t="e">
        <f t="shared" si="68"/>
        <v>#DIV/0!</v>
      </c>
      <c r="Y237" s="79">
        <f t="shared" si="69"/>
        <v>0</v>
      </c>
      <c r="Z237" s="203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  <c r="SK237" s="47"/>
      <c r="SL237" s="47"/>
      <c r="SM237" s="47"/>
      <c r="SN237" s="47"/>
      <c r="SO237" s="47"/>
      <c r="SP237" s="47"/>
      <c r="SQ237" s="47"/>
      <c r="SR237" s="47"/>
      <c r="SS237" s="47"/>
      <c r="ST237" s="47"/>
      <c r="SU237" s="47"/>
      <c r="SV237" s="47"/>
      <c r="SW237" s="47"/>
      <c r="SX237" s="47"/>
      <c r="SY237" s="47"/>
      <c r="SZ237" s="47"/>
      <c r="TA237" s="47"/>
      <c r="TB237" s="47"/>
      <c r="TC237" s="47"/>
      <c r="TD237" s="47"/>
      <c r="TE237" s="47"/>
      <c r="TF237" s="47"/>
      <c r="TG237" s="47"/>
      <c r="TH237" s="47"/>
      <c r="TI237" s="47"/>
      <c r="TJ237" s="47"/>
      <c r="TK237" s="47"/>
      <c r="TL237" s="47"/>
      <c r="TM237" s="47"/>
      <c r="TN237" s="47"/>
      <c r="TO237" s="47"/>
      <c r="TP237" s="47"/>
      <c r="TQ237" s="47"/>
      <c r="TR237" s="47"/>
      <c r="TS237" s="47"/>
      <c r="TT237" s="47"/>
      <c r="TU237" s="47"/>
      <c r="TV237" s="47"/>
      <c r="TW237" s="47"/>
      <c r="TX237" s="47"/>
      <c r="TY237" s="47"/>
      <c r="TZ237" s="47"/>
      <c r="UA237" s="47"/>
      <c r="UB237" s="47"/>
      <c r="UC237" s="47"/>
      <c r="UD237" s="47"/>
      <c r="UE237" s="47"/>
      <c r="UF237" s="47"/>
      <c r="UG237" s="47"/>
      <c r="UH237" s="47"/>
      <c r="UI237" s="47"/>
      <c r="UJ237" s="47"/>
      <c r="UK237" s="47"/>
      <c r="UL237" s="47"/>
      <c r="UM237" s="47"/>
      <c r="UN237" s="47"/>
      <c r="UO237" s="47"/>
      <c r="UP237" s="47"/>
      <c r="UQ237" s="47"/>
      <c r="UR237" s="47"/>
      <c r="US237" s="47"/>
      <c r="UT237" s="47"/>
      <c r="UU237" s="47"/>
      <c r="UV237" s="47"/>
      <c r="UW237" s="47"/>
      <c r="UX237" s="47"/>
      <c r="UY237" s="47"/>
      <c r="UZ237" s="47"/>
      <c r="VA237" s="47"/>
      <c r="VB237" s="47"/>
      <c r="VC237" s="47"/>
      <c r="VD237" s="47"/>
      <c r="VE237" s="47"/>
      <c r="VF237" s="47"/>
    </row>
    <row r="238" spans="1:578" s="57" customFormat="1" ht="31.5" customHeight="1" x14ac:dyDescent="0.2">
      <c r="A238" s="55" t="s">
        <v>47</v>
      </c>
      <c r="B238" s="99"/>
      <c r="C238" s="99"/>
      <c r="D238" s="56" t="s">
        <v>56</v>
      </c>
      <c r="E238" s="79">
        <v>1093940.2</v>
      </c>
      <c r="F238" s="79">
        <f t="shared" ref="F238:W238" si="75">F239</f>
        <v>0</v>
      </c>
      <c r="G238" s="79">
        <f t="shared" si="75"/>
        <v>0</v>
      </c>
      <c r="H238" s="79">
        <f t="shared" si="75"/>
        <v>35501</v>
      </c>
      <c r="I238" s="79">
        <f t="shared" si="75"/>
        <v>0</v>
      </c>
      <c r="J238" s="79">
        <f t="shared" si="75"/>
        <v>0</v>
      </c>
      <c r="K238" s="129">
        <f t="shared" si="70"/>
        <v>3.2452413760825318</v>
      </c>
      <c r="L238" s="79">
        <f t="shared" si="75"/>
        <v>255800419.20000002</v>
      </c>
      <c r="M238" s="79">
        <f t="shared" si="75"/>
        <v>220902692.80000001</v>
      </c>
      <c r="N238" s="79">
        <f t="shared" si="75"/>
        <v>3042126</v>
      </c>
      <c r="O238" s="79">
        <f t="shared" si="75"/>
        <v>2217000</v>
      </c>
      <c r="P238" s="79">
        <f t="shared" si="75"/>
        <v>90900</v>
      </c>
      <c r="Q238" s="79">
        <f t="shared" si="75"/>
        <v>252758293.20000002</v>
      </c>
      <c r="R238" s="79">
        <f t="shared" si="75"/>
        <v>10248712.58</v>
      </c>
      <c r="S238" s="79">
        <f t="shared" si="75"/>
        <v>9024035</v>
      </c>
      <c r="T238" s="79">
        <f t="shared" si="75"/>
        <v>1224677.58</v>
      </c>
      <c r="U238" s="79">
        <f t="shared" si="75"/>
        <v>967223.06</v>
      </c>
      <c r="V238" s="79">
        <f t="shared" si="75"/>
        <v>36824.61</v>
      </c>
      <c r="W238" s="79">
        <f t="shared" si="75"/>
        <v>9024035</v>
      </c>
      <c r="X238" s="131">
        <f t="shared" si="68"/>
        <v>4.0065268900075353</v>
      </c>
      <c r="Y238" s="79">
        <f t="shared" si="69"/>
        <v>10284213.58</v>
      </c>
      <c r="Z238" s="20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  <c r="GX238" s="73"/>
      <c r="GY238" s="73"/>
      <c r="GZ238" s="73"/>
      <c r="HA238" s="73"/>
      <c r="HB238" s="73"/>
      <c r="HC238" s="73"/>
      <c r="HD238" s="73"/>
      <c r="HE238" s="73"/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  <c r="HP238" s="73"/>
      <c r="HQ238" s="73"/>
      <c r="HR238" s="73"/>
      <c r="HS238" s="73"/>
      <c r="HT238" s="73"/>
      <c r="HU238" s="73"/>
      <c r="HV238" s="73"/>
      <c r="HW238" s="73"/>
      <c r="HX238" s="73"/>
      <c r="HY238" s="73"/>
      <c r="HZ238" s="73"/>
      <c r="IA238" s="73"/>
      <c r="IB238" s="73"/>
      <c r="IC238" s="73"/>
      <c r="ID238" s="73"/>
      <c r="IE238" s="73"/>
      <c r="IF238" s="73"/>
      <c r="IG238" s="73"/>
      <c r="IH238" s="73"/>
      <c r="II238" s="73"/>
      <c r="IJ238" s="73"/>
      <c r="IK238" s="73"/>
      <c r="IL238" s="73"/>
      <c r="IM238" s="73"/>
      <c r="IN238" s="73"/>
      <c r="IO238" s="73"/>
      <c r="IP238" s="73"/>
      <c r="IQ238" s="73"/>
      <c r="IR238" s="73"/>
      <c r="IS238" s="73"/>
      <c r="IT238" s="73"/>
      <c r="IU238" s="73"/>
      <c r="IV238" s="73"/>
      <c r="IW238" s="73"/>
      <c r="IX238" s="73"/>
      <c r="IY238" s="73"/>
      <c r="IZ238" s="73"/>
      <c r="JA238" s="73"/>
      <c r="JB238" s="73"/>
      <c r="JC238" s="73"/>
      <c r="JD238" s="73"/>
      <c r="JE238" s="73"/>
      <c r="JF238" s="73"/>
      <c r="JG238" s="73"/>
      <c r="JH238" s="73"/>
      <c r="JI238" s="73"/>
      <c r="JJ238" s="73"/>
      <c r="JK238" s="73"/>
      <c r="JL238" s="73"/>
      <c r="JM238" s="73"/>
      <c r="JN238" s="73"/>
      <c r="JO238" s="73"/>
      <c r="JP238" s="73"/>
      <c r="JQ238" s="73"/>
      <c r="JR238" s="73"/>
      <c r="JS238" s="73"/>
      <c r="JT238" s="73"/>
      <c r="JU238" s="73"/>
      <c r="JV238" s="73"/>
      <c r="JW238" s="73"/>
      <c r="JX238" s="73"/>
      <c r="JY238" s="73"/>
      <c r="JZ238" s="73"/>
      <c r="KA238" s="73"/>
      <c r="KB238" s="73"/>
      <c r="KC238" s="73"/>
      <c r="KD238" s="73"/>
      <c r="KE238" s="73"/>
      <c r="KF238" s="73"/>
      <c r="KG238" s="73"/>
      <c r="KH238" s="73"/>
      <c r="KI238" s="73"/>
      <c r="KJ238" s="73"/>
      <c r="KK238" s="73"/>
      <c r="KL238" s="73"/>
      <c r="KM238" s="73"/>
      <c r="KN238" s="73"/>
      <c r="KO238" s="73"/>
      <c r="KP238" s="73"/>
      <c r="KQ238" s="73"/>
      <c r="KR238" s="73"/>
      <c r="KS238" s="73"/>
      <c r="KT238" s="73"/>
      <c r="KU238" s="73"/>
      <c r="KV238" s="73"/>
      <c r="KW238" s="73"/>
      <c r="KX238" s="73"/>
      <c r="KY238" s="73"/>
      <c r="KZ238" s="73"/>
      <c r="LA238" s="73"/>
      <c r="LB238" s="73"/>
      <c r="LC238" s="73"/>
      <c r="LD238" s="73"/>
      <c r="LE238" s="73"/>
      <c r="LF238" s="73"/>
      <c r="LG238" s="73"/>
      <c r="LH238" s="73"/>
      <c r="LI238" s="73"/>
      <c r="LJ238" s="73"/>
      <c r="LK238" s="73"/>
      <c r="LL238" s="73"/>
      <c r="LM238" s="73"/>
      <c r="LN238" s="73"/>
      <c r="LO238" s="73"/>
      <c r="LP238" s="73"/>
      <c r="LQ238" s="73"/>
      <c r="LR238" s="73"/>
      <c r="LS238" s="73"/>
      <c r="LT238" s="73"/>
      <c r="LU238" s="73"/>
      <c r="LV238" s="73"/>
      <c r="LW238" s="73"/>
      <c r="LX238" s="73"/>
      <c r="LY238" s="73"/>
      <c r="LZ238" s="73"/>
      <c r="MA238" s="73"/>
      <c r="MB238" s="73"/>
      <c r="MC238" s="73"/>
      <c r="MD238" s="73"/>
      <c r="ME238" s="73"/>
      <c r="MF238" s="73"/>
      <c r="MG238" s="73"/>
      <c r="MH238" s="73"/>
      <c r="MI238" s="73"/>
      <c r="MJ238" s="73"/>
      <c r="MK238" s="73"/>
      <c r="ML238" s="73"/>
      <c r="MM238" s="73"/>
      <c r="MN238" s="73"/>
      <c r="MO238" s="73"/>
      <c r="MP238" s="73"/>
      <c r="MQ238" s="73"/>
      <c r="MR238" s="73"/>
      <c r="MS238" s="73"/>
      <c r="MT238" s="73"/>
      <c r="MU238" s="73"/>
      <c r="MV238" s="73"/>
      <c r="MW238" s="73"/>
      <c r="MX238" s="73"/>
      <c r="MY238" s="73"/>
      <c r="MZ238" s="73"/>
      <c r="NA238" s="73"/>
      <c r="NB238" s="73"/>
      <c r="NC238" s="73"/>
      <c r="ND238" s="73"/>
      <c r="NE238" s="73"/>
      <c r="NF238" s="73"/>
      <c r="NG238" s="73"/>
      <c r="NH238" s="73"/>
      <c r="NI238" s="73"/>
      <c r="NJ238" s="73"/>
      <c r="NK238" s="73"/>
      <c r="NL238" s="73"/>
      <c r="NM238" s="73"/>
      <c r="NN238" s="73"/>
      <c r="NO238" s="73"/>
      <c r="NP238" s="73"/>
      <c r="NQ238" s="73"/>
      <c r="NR238" s="73"/>
      <c r="NS238" s="73"/>
      <c r="NT238" s="73"/>
      <c r="NU238" s="73"/>
      <c r="NV238" s="73"/>
      <c r="NW238" s="73"/>
      <c r="NX238" s="73"/>
      <c r="NY238" s="73"/>
      <c r="NZ238" s="73"/>
      <c r="OA238" s="73"/>
      <c r="OB238" s="73"/>
      <c r="OC238" s="73"/>
      <c r="OD238" s="73"/>
      <c r="OE238" s="73"/>
      <c r="OF238" s="73"/>
      <c r="OG238" s="73"/>
      <c r="OH238" s="73"/>
      <c r="OI238" s="73"/>
      <c r="OJ238" s="73"/>
      <c r="OK238" s="73"/>
      <c r="OL238" s="73"/>
      <c r="OM238" s="73"/>
      <c r="ON238" s="73"/>
      <c r="OO238" s="73"/>
      <c r="OP238" s="73"/>
      <c r="OQ238" s="73"/>
      <c r="OR238" s="73"/>
      <c r="OS238" s="73"/>
      <c r="OT238" s="73"/>
      <c r="OU238" s="73"/>
      <c r="OV238" s="73"/>
      <c r="OW238" s="73"/>
      <c r="OX238" s="73"/>
      <c r="OY238" s="73"/>
      <c r="OZ238" s="73"/>
      <c r="PA238" s="73"/>
      <c r="PB238" s="73"/>
      <c r="PC238" s="73"/>
      <c r="PD238" s="73"/>
      <c r="PE238" s="73"/>
      <c r="PF238" s="73"/>
      <c r="PG238" s="73"/>
      <c r="PH238" s="73"/>
      <c r="PI238" s="73"/>
      <c r="PJ238" s="73"/>
      <c r="PK238" s="73"/>
      <c r="PL238" s="73"/>
      <c r="PM238" s="73"/>
      <c r="PN238" s="73"/>
      <c r="PO238" s="73"/>
      <c r="PP238" s="73"/>
      <c r="PQ238" s="73"/>
      <c r="PR238" s="73"/>
      <c r="PS238" s="73"/>
      <c r="PT238" s="73"/>
      <c r="PU238" s="73"/>
      <c r="PV238" s="73"/>
      <c r="PW238" s="73"/>
      <c r="PX238" s="73"/>
      <c r="PY238" s="73"/>
      <c r="PZ238" s="73"/>
      <c r="QA238" s="73"/>
      <c r="QB238" s="73"/>
      <c r="QC238" s="73"/>
      <c r="QD238" s="73"/>
      <c r="QE238" s="73"/>
      <c r="QF238" s="73"/>
      <c r="QG238" s="73"/>
      <c r="QH238" s="73"/>
      <c r="QI238" s="73"/>
      <c r="QJ238" s="73"/>
      <c r="QK238" s="73"/>
      <c r="QL238" s="73"/>
      <c r="QM238" s="73"/>
      <c r="QN238" s="73"/>
      <c r="QO238" s="73"/>
      <c r="QP238" s="73"/>
      <c r="QQ238" s="73"/>
      <c r="QR238" s="73"/>
      <c r="QS238" s="73"/>
      <c r="QT238" s="73"/>
      <c r="QU238" s="73"/>
      <c r="QV238" s="73"/>
      <c r="QW238" s="73"/>
      <c r="QX238" s="73"/>
      <c r="QY238" s="73"/>
      <c r="QZ238" s="73"/>
      <c r="RA238" s="73"/>
      <c r="RB238" s="73"/>
      <c r="RC238" s="73"/>
      <c r="RD238" s="73"/>
      <c r="RE238" s="73"/>
      <c r="RF238" s="73"/>
      <c r="RG238" s="73"/>
      <c r="RH238" s="73"/>
      <c r="RI238" s="73"/>
      <c r="RJ238" s="73"/>
      <c r="RK238" s="73"/>
      <c r="RL238" s="73"/>
      <c r="RM238" s="73"/>
      <c r="RN238" s="73"/>
      <c r="RO238" s="73"/>
      <c r="RP238" s="73"/>
      <c r="RQ238" s="73"/>
      <c r="RR238" s="73"/>
      <c r="RS238" s="73"/>
      <c r="RT238" s="73"/>
      <c r="RU238" s="73"/>
      <c r="RV238" s="73"/>
      <c r="RW238" s="73"/>
      <c r="RX238" s="73"/>
      <c r="RY238" s="73"/>
      <c r="RZ238" s="73"/>
      <c r="SA238" s="73"/>
      <c r="SB238" s="73"/>
      <c r="SC238" s="73"/>
      <c r="SD238" s="73"/>
      <c r="SE238" s="73"/>
      <c r="SF238" s="73"/>
      <c r="SG238" s="73"/>
      <c r="SH238" s="73"/>
      <c r="SI238" s="73"/>
      <c r="SJ238" s="73"/>
      <c r="SK238" s="73"/>
      <c r="SL238" s="73"/>
      <c r="SM238" s="73"/>
      <c r="SN238" s="73"/>
      <c r="SO238" s="73"/>
      <c r="SP238" s="73"/>
      <c r="SQ238" s="73"/>
      <c r="SR238" s="73"/>
      <c r="SS238" s="73"/>
      <c r="ST238" s="73"/>
      <c r="SU238" s="73"/>
      <c r="SV238" s="73"/>
      <c r="SW238" s="73"/>
      <c r="SX238" s="73"/>
      <c r="SY238" s="73"/>
      <c r="SZ238" s="73"/>
      <c r="TA238" s="73"/>
      <c r="TB238" s="73"/>
      <c r="TC238" s="73"/>
      <c r="TD238" s="73"/>
      <c r="TE238" s="73"/>
      <c r="TF238" s="73"/>
      <c r="TG238" s="73"/>
      <c r="TH238" s="73"/>
      <c r="TI238" s="73"/>
      <c r="TJ238" s="73"/>
      <c r="TK238" s="73"/>
      <c r="TL238" s="73"/>
      <c r="TM238" s="73"/>
      <c r="TN238" s="73"/>
      <c r="TO238" s="73"/>
      <c r="TP238" s="73"/>
      <c r="TQ238" s="73"/>
      <c r="TR238" s="73"/>
      <c r="TS238" s="73"/>
      <c r="TT238" s="73"/>
      <c r="TU238" s="73"/>
      <c r="TV238" s="73"/>
      <c r="TW238" s="73"/>
      <c r="TX238" s="73"/>
      <c r="TY238" s="73"/>
      <c r="TZ238" s="73"/>
      <c r="UA238" s="73"/>
      <c r="UB238" s="73"/>
      <c r="UC238" s="73"/>
      <c r="UD238" s="73"/>
      <c r="UE238" s="73"/>
      <c r="UF238" s="73"/>
      <c r="UG238" s="73"/>
      <c r="UH238" s="73"/>
      <c r="UI238" s="73"/>
      <c r="UJ238" s="73"/>
      <c r="UK238" s="73"/>
      <c r="UL238" s="73"/>
      <c r="UM238" s="73"/>
      <c r="UN238" s="73"/>
      <c r="UO238" s="73"/>
      <c r="UP238" s="73"/>
      <c r="UQ238" s="73"/>
      <c r="UR238" s="73"/>
      <c r="US238" s="73"/>
      <c r="UT238" s="73"/>
      <c r="UU238" s="73"/>
      <c r="UV238" s="73"/>
      <c r="UW238" s="73"/>
      <c r="UX238" s="73"/>
      <c r="UY238" s="73"/>
      <c r="UZ238" s="73"/>
      <c r="VA238" s="73"/>
      <c r="VB238" s="73"/>
      <c r="VC238" s="73"/>
      <c r="VD238" s="73"/>
      <c r="VE238" s="73"/>
      <c r="VF238" s="73"/>
    </row>
    <row r="239" spans="1:578" s="75" customFormat="1" ht="38.25" customHeight="1" x14ac:dyDescent="0.2">
      <c r="A239" s="60" t="s">
        <v>48</v>
      </c>
      <c r="B239" s="100"/>
      <c r="C239" s="100"/>
      <c r="D239" s="61" t="s">
        <v>56</v>
      </c>
      <c r="E239" s="78">
        <v>1093940.2</v>
      </c>
      <c r="F239" s="78">
        <f t="shared" ref="F239:Q239" si="76">SUM(F241+F242+F244+F245+F246+F247+F248+F249+F250+F251+F252+F257+F258+F260+F261+F262+F264+F265)</f>
        <v>0</v>
      </c>
      <c r="G239" s="78">
        <f t="shared" si="76"/>
        <v>0</v>
      </c>
      <c r="H239" s="78">
        <f>SUM(H241+H242+H244+H245+H246+H247+H248+H249+H250+H251+H252+H257+H258+H260+H261+H262+H264+H265)</f>
        <v>35501</v>
      </c>
      <c r="I239" s="78">
        <f>SUM(I241+I242+I244+I245+I246+I247+I248+I249+I250+I251+I252+I257+I258+I260+I261+I262+I264+I265)</f>
        <v>0</v>
      </c>
      <c r="J239" s="78">
        <f>SUM(J241+J242+J244+J245+J246+J247+J248+J249+J250+J251+J252+J257+J258+J260+J261+J262+J264+J265)</f>
        <v>0</v>
      </c>
      <c r="K239" s="129">
        <f t="shared" si="70"/>
        <v>3.2452413760825318</v>
      </c>
      <c r="L239" s="78">
        <f t="shared" si="76"/>
        <v>255800419.20000002</v>
      </c>
      <c r="M239" s="78">
        <f t="shared" ref="M239" si="77">SUM(M241+M242+M244+M245+M246+M247+M248+M249+M250+M251+M252+M257+M258+M260+M261+M262+M264+M265)</f>
        <v>220902692.80000001</v>
      </c>
      <c r="N239" s="78">
        <f t="shared" si="76"/>
        <v>3042126</v>
      </c>
      <c r="O239" s="78">
        <f t="shared" si="76"/>
        <v>2217000</v>
      </c>
      <c r="P239" s="78">
        <f t="shared" si="76"/>
        <v>90900</v>
      </c>
      <c r="Q239" s="78">
        <f t="shared" si="76"/>
        <v>252758293.20000002</v>
      </c>
      <c r="R239" s="78">
        <f t="shared" ref="R239:T239" si="78">SUM(R241+R242+R244+R245+R246+R247+R248+R249+R250+R251+R252+R257+R258+R260+R261+R262+R264+R265)</f>
        <v>10248712.58</v>
      </c>
      <c r="S239" s="78">
        <f t="shared" ref="S239" si="79">SUM(S241+S242+S244+S245+S246+S247+S248+S249+S250+S251+S252+S257+S258+S260+S261+S262+S264+S265)</f>
        <v>9024035</v>
      </c>
      <c r="T239" s="78">
        <f t="shared" si="78"/>
        <v>1224677.58</v>
      </c>
      <c r="U239" s="78">
        <f t="shared" ref="U239:W239" si="80">SUM(U241+U242+U244+U245+U246+U247+U248+U249+U250+U251+U252+U257+U258+U260+U261+U262+U264+U265)</f>
        <v>967223.06</v>
      </c>
      <c r="V239" s="78">
        <f t="shared" si="80"/>
        <v>36824.61</v>
      </c>
      <c r="W239" s="78">
        <f t="shared" si="80"/>
        <v>9024035</v>
      </c>
      <c r="X239" s="131">
        <f t="shared" si="68"/>
        <v>4.0065268900075353</v>
      </c>
      <c r="Y239" s="79">
        <f t="shared" si="69"/>
        <v>10284213.58</v>
      </c>
      <c r="Z239" s="203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  <c r="HE239" s="74"/>
      <c r="HF239" s="74"/>
      <c r="HG239" s="74"/>
      <c r="HH239" s="74"/>
      <c r="HI239" s="74"/>
      <c r="HJ239" s="74"/>
      <c r="HK239" s="74"/>
      <c r="HL239" s="74"/>
      <c r="HM239" s="74"/>
      <c r="HN239" s="74"/>
      <c r="HO239" s="74"/>
      <c r="HP239" s="74"/>
      <c r="HQ239" s="74"/>
      <c r="HR239" s="74"/>
      <c r="HS239" s="74"/>
      <c r="HT239" s="74"/>
      <c r="HU239" s="74"/>
      <c r="HV239" s="74"/>
      <c r="HW239" s="74"/>
      <c r="HX239" s="74"/>
      <c r="HY239" s="74"/>
      <c r="HZ239" s="74"/>
      <c r="IA239" s="74"/>
      <c r="IB239" s="74"/>
      <c r="IC239" s="74"/>
      <c r="ID239" s="74"/>
      <c r="IE239" s="74"/>
      <c r="IF239" s="74"/>
      <c r="IG239" s="74"/>
      <c r="IH239" s="74"/>
      <c r="II239" s="74"/>
      <c r="IJ239" s="74"/>
      <c r="IK239" s="74"/>
      <c r="IL239" s="74"/>
      <c r="IM239" s="74"/>
      <c r="IN239" s="74"/>
      <c r="IO239" s="74"/>
      <c r="IP239" s="74"/>
      <c r="IQ239" s="74"/>
      <c r="IR239" s="74"/>
      <c r="IS239" s="74"/>
      <c r="IT239" s="74"/>
      <c r="IU239" s="74"/>
      <c r="IV239" s="74"/>
      <c r="IW239" s="74"/>
      <c r="IX239" s="74"/>
      <c r="IY239" s="74"/>
      <c r="IZ239" s="74"/>
      <c r="JA239" s="74"/>
      <c r="JB239" s="74"/>
      <c r="JC239" s="74"/>
      <c r="JD239" s="74"/>
      <c r="JE239" s="74"/>
      <c r="JF239" s="74"/>
      <c r="JG239" s="74"/>
      <c r="JH239" s="74"/>
      <c r="JI239" s="74"/>
      <c r="JJ239" s="74"/>
      <c r="JK239" s="74"/>
      <c r="JL239" s="74"/>
      <c r="JM239" s="74"/>
      <c r="JN239" s="74"/>
      <c r="JO239" s="74"/>
      <c r="JP239" s="74"/>
      <c r="JQ239" s="74"/>
      <c r="JR239" s="74"/>
      <c r="JS239" s="74"/>
      <c r="JT239" s="74"/>
      <c r="JU239" s="74"/>
      <c r="JV239" s="74"/>
      <c r="JW239" s="74"/>
      <c r="JX239" s="74"/>
      <c r="JY239" s="74"/>
      <c r="JZ239" s="74"/>
      <c r="KA239" s="74"/>
      <c r="KB239" s="74"/>
      <c r="KC239" s="74"/>
      <c r="KD239" s="74"/>
      <c r="KE239" s="74"/>
      <c r="KF239" s="74"/>
      <c r="KG239" s="74"/>
      <c r="KH239" s="74"/>
      <c r="KI239" s="74"/>
      <c r="KJ239" s="74"/>
      <c r="KK239" s="74"/>
      <c r="KL239" s="74"/>
      <c r="KM239" s="74"/>
      <c r="KN239" s="74"/>
      <c r="KO239" s="74"/>
      <c r="KP239" s="74"/>
      <c r="KQ239" s="74"/>
      <c r="KR239" s="74"/>
      <c r="KS239" s="74"/>
      <c r="KT239" s="74"/>
      <c r="KU239" s="74"/>
      <c r="KV239" s="74"/>
      <c r="KW239" s="74"/>
      <c r="KX239" s="74"/>
      <c r="KY239" s="74"/>
      <c r="KZ239" s="74"/>
      <c r="LA239" s="74"/>
      <c r="LB239" s="74"/>
      <c r="LC239" s="74"/>
      <c r="LD239" s="74"/>
      <c r="LE239" s="74"/>
      <c r="LF239" s="74"/>
      <c r="LG239" s="74"/>
      <c r="LH239" s="74"/>
      <c r="LI239" s="74"/>
      <c r="LJ239" s="74"/>
      <c r="LK239" s="74"/>
      <c r="LL239" s="74"/>
      <c r="LM239" s="74"/>
      <c r="LN239" s="74"/>
      <c r="LO239" s="74"/>
      <c r="LP239" s="74"/>
      <c r="LQ239" s="74"/>
      <c r="LR239" s="74"/>
      <c r="LS239" s="74"/>
      <c r="LT239" s="74"/>
      <c r="LU239" s="74"/>
      <c r="LV239" s="74"/>
      <c r="LW239" s="74"/>
      <c r="LX239" s="74"/>
      <c r="LY239" s="74"/>
      <c r="LZ239" s="74"/>
      <c r="MA239" s="74"/>
      <c r="MB239" s="74"/>
      <c r="MC239" s="74"/>
      <c r="MD239" s="74"/>
      <c r="ME239" s="74"/>
      <c r="MF239" s="74"/>
      <c r="MG239" s="74"/>
      <c r="MH239" s="74"/>
      <c r="MI239" s="74"/>
      <c r="MJ239" s="74"/>
      <c r="MK239" s="74"/>
      <c r="ML239" s="74"/>
      <c r="MM239" s="74"/>
      <c r="MN239" s="74"/>
      <c r="MO239" s="74"/>
      <c r="MP239" s="74"/>
      <c r="MQ239" s="74"/>
      <c r="MR239" s="74"/>
      <c r="MS239" s="74"/>
      <c r="MT239" s="74"/>
      <c r="MU239" s="74"/>
      <c r="MV239" s="74"/>
      <c r="MW239" s="74"/>
      <c r="MX239" s="74"/>
      <c r="MY239" s="74"/>
      <c r="MZ239" s="74"/>
      <c r="NA239" s="74"/>
      <c r="NB239" s="74"/>
      <c r="NC239" s="74"/>
      <c r="ND239" s="74"/>
      <c r="NE239" s="74"/>
      <c r="NF239" s="74"/>
      <c r="NG239" s="74"/>
      <c r="NH239" s="74"/>
      <c r="NI239" s="74"/>
      <c r="NJ239" s="74"/>
      <c r="NK239" s="74"/>
      <c r="NL239" s="74"/>
      <c r="NM239" s="74"/>
      <c r="NN239" s="74"/>
      <c r="NO239" s="74"/>
      <c r="NP239" s="74"/>
      <c r="NQ239" s="74"/>
      <c r="NR239" s="74"/>
      <c r="NS239" s="74"/>
      <c r="NT239" s="74"/>
      <c r="NU239" s="74"/>
      <c r="NV239" s="74"/>
      <c r="NW239" s="74"/>
      <c r="NX239" s="74"/>
      <c r="NY239" s="74"/>
      <c r="NZ239" s="74"/>
      <c r="OA239" s="74"/>
      <c r="OB239" s="74"/>
      <c r="OC239" s="74"/>
      <c r="OD239" s="74"/>
      <c r="OE239" s="74"/>
      <c r="OF239" s="74"/>
      <c r="OG239" s="74"/>
      <c r="OH239" s="74"/>
      <c r="OI239" s="74"/>
      <c r="OJ239" s="74"/>
      <c r="OK239" s="74"/>
      <c r="OL239" s="74"/>
      <c r="OM239" s="74"/>
      <c r="ON239" s="74"/>
      <c r="OO239" s="74"/>
      <c r="OP239" s="74"/>
      <c r="OQ239" s="74"/>
      <c r="OR239" s="74"/>
      <c r="OS239" s="74"/>
      <c r="OT239" s="74"/>
      <c r="OU239" s="74"/>
      <c r="OV239" s="74"/>
      <c r="OW239" s="74"/>
      <c r="OX239" s="74"/>
      <c r="OY239" s="74"/>
      <c r="OZ239" s="74"/>
      <c r="PA239" s="74"/>
      <c r="PB239" s="74"/>
      <c r="PC239" s="74"/>
      <c r="PD239" s="74"/>
      <c r="PE239" s="74"/>
      <c r="PF239" s="74"/>
      <c r="PG239" s="74"/>
      <c r="PH239" s="74"/>
      <c r="PI239" s="74"/>
      <c r="PJ239" s="74"/>
      <c r="PK239" s="74"/>
      <c r="PL239" s="74"/>
      <c r="PM239" s="74"/>
      <c r="PN239" s="74"/>
      <c r="PO239" s="74"/>
      <c r="PP239" s="74"/>
      <c r="PQ239" s="74"/>
      <c r="PR239" s="74"/>
      <c r="PS239" s="74"/>
      <c r="PT239" s="74"/>
      <c r="PU239" s="74"/>
      <c r="PV239" s="74"/>
      <c r="PW239" s="74"/>
      <c r="PX239" s="74"/>
      <c r="PY239" s="74"/>
      <c r="PZ239" s="74"/>
      <c r="QA239" s="74"/>
      <c r="QB239" s="74"/>
      <c r="QC239" s="74"/>
      <c r="QD239" s="74"/>
      <c r="QE239" s="74"/>
      <c r="QF239" s="74"/>
      <c r="QG239" s="74"/>
      <c r="QH239" s="74"/>
      <c r="QI239" s="74"/>
      <c r="QJ239" s="74"/>
      <c r="QK239" s="74"/>
      <c r="QL239" s="74"/>
      <c r="QM239" s="74"/>
      <c r="QN239" s="74"/>
      <c r="QO239" s="74"/>
      <c r="QP239" s="74"/>
      <c r="QQ239" s="74"/>
      <c r="QR239" s="74"/>
      <c r="QS239" s="74"/>
      <c r="QT239" s="74"/>
      <c r="QU239" s="74"/>
      <c r="QV239" s="74"/>
      <c r="QW239" s="74"/>
      <c r="QX239" s="74"/>
      <c r="QY239" s="74"/>
      <c r="QZ239" s="74"/>
      <c r="RA239" s="74"/>
      <c r="RB239" s="74"/>
      <c r="RC239" s="74"/>
      <c r="RD239" s="74"/>
      <c r="RE239" s="74"/>
      <c r="RF239" s="74"/>
      <c r="RG239" s="74"/>
      <c r="RH239" s="74"/>
      <c r="RI239" s="74"/>
      <c r="RJ239" s="74"/>
      <c r="RK239" s="74"/>
      <c r="RL239" s="74"/>
      <c r="RM239" s="74"/>
      <c r="RN239" s="74"/>
      <c r="RO239" s="74"/>
      <c r="RP239" s="74"/>
      <c r="RQ239" s="74"/>
      <c r="RR239" s="74"/>
      <c r="RS239" s="74"/>
      <c r="RT239" s="74"/>
      <c r="RU239" s="74"/>
      <c r="RV239" s="74"/>
      <c r="RW239" s="74"/>
      <c r="RX239" s="74"/>
      <c r="RY239" s="74"/>
      <c r="RZ239" s="74"/>
      <c r="SA239" s="74"/>
      <c r="SB239" s="74"/>
      <c r="SC239" s="74"/>
      <c r="SD239" s="74"/>
      <c r="SE239" s="74"/>
      <c r="SF239" s="74"/>
      <c r="SG239" s="74"/>
      <c r="SH239" s="74"/>
      <c r="SI239" s="74"/>
      <c r="SJ239" s="74"/>
      <c r="SK239" s="74"/>
      <c r="SL239" s="74"/>
      <c r="SM239" s="74"/>
      <c r="SN239" s="74"/>
      <c r="SO239" s="74"/>
      <c r="SP239" s="74"/>
      <c r="SQ239" s="74"/>
      <c r="SR239" s="74"/>
      <c r="SS239" s="74"/>
      <c r="ST239" s="74"/>
      <c r="SU239" s="74"/>
      <c r="SV239" s="74"/>
      <c r="SW239" s="74"/>
      <c r="SX239" s="74"/>
      <c r="SY239" s="74"/>
      <c r="SZ239" s="74"/>
      <c r="TA239" s="74"/>
      <c r="TB239" s="74"/>
      <c r="TC239" s="74"/>
      <c r="TD239" s="74"/>
      <c r="TE239" s="74"/>
      <c r="TF239" s="74"/>
      <c r="TG239" s="74"/>
      <c r="TH239" s="74"/>
      <c r="TI239" s="74"/>
      <c r="TJ239" s="74"/>
      <c r="TK239" s="74"/>
      <c r="TL239" s="74"/>
      <c r="TM239" s="74"/>
      <c r="TN239" s="74"/>
      <c r="TO239" s="74"/>
      <c r="TP239" s="74"/>
      <c r="TQ239" s="74"/>
      <c r="TR239" s="74"/>
      <c r="TS239" s="74"/>
      <c r="TT239" s="74"/>
      <c r="TU239" s="74"/>
      <c r="TV239" s="74"/>
      <c r="TW239" s="74"/>
      <c r="TX239" s="74"/>
      <c r="TY239" s="74"/>
      <c r="TZ239" s="74"/>
      <c r="UA239" s="74"/>
      <c r="UB239" s="74"/>
      <c r="UC239" s="74"/>
      <c r="UD239" s="74"/>
      <c r="UE239" s="74"/>
      <c r="UF239" s="74"/>
      <c r="UG239" s="74"/>
      <c r="UH239" s="74"/>
      <c r="UI239" s="74"/>
      <c r="UJ239" s="74"/>
      <c r="UK239" s="74"/>
      <c r="UL239" s="74"/>
      <c r="UM239" s="74"/>
      <c r="UN239" s="74"/>
      <c r="UO239" s="74"/>
      <c r="UP239" s="74"/>
      <c r="UQ239" s="74"/>
      <c r="UR239" s="74"/>
      <c r="US239" s="74"/>
      <c r="UT239" s="74"/>
      <c r="UU239" s="74"/>
      <c r="UV239" s="74"/>
      <c r="UW239" s="74"/>
      <c r="UX239" s="74"/>
      <c r="UY239" s="74"/>
      <c r="UZ239" s="74"/>
      <c r="VA239" s="74"/>
      <c r="VB239" s="74"/>
      <c r="VC239" s="74"/>
      <c r="VD239" s="74"/>
      <c r="VE239" s="74"/>
      <c r="VF239" s="74"/>
    </row>
    <row r="240" spans="1:578" s="75" customFormat="1" x14ac:dyDescent="0.2">
      <c r="A240" s="55"/>
      <c r="B240" s="99"/>
      <c r="C240" s="99"/>
      <c r="D240" s="56" t="s">
        <v>344</v>
      </c>
      <c r="E240" s="79">
        <v>0</v>
      </c>
      <c r="F240" s="79">
        <f t="shared" ref="F240:Q240" si="81">SUM(F259+F263)</f>
        <v>0</v>
      </c>
      <c r="G240" s="79">
        <f t="shared" si="81"/>
        <v>0</v>
      </c>
      <c r="H240" s="79">
        <f>SUM(H259+H263)</f>
        <v>0</v>
      </c>
      <c r="I240" s="79">
        <f>SUM(I259+I263)</f>
        <v>0</v>
      </c>
      <c r="J240" s="79">
        <f>SUM(J259+J263)</f>
        <v>0</v>
      </c>
      <c r="K240" s="129"/>
      <c r="L240" s="79">
        <f t="shared" si="81"/>
        <v>48000</v>
      </c>
      <c r="M240" s="79">
        <f t="shared" ref="M240" si="82">SUM(M259+M263)</f>
        <v>48000</v>
      </c>
      <c r="N240" s="79">
        <f t="shared" si="81"/>
        <v>0</v>
      </c>
      <c r="O240" s="79">
        <f t="shared" si="81"/>
        <v>0</v>
      </c>
      <c r="P240" s="79">
        <f t="shared" si="81"/>
        <v>0</v>
      </c>
      <c r="Q240" s="79">
        <f t="shared" si="81"/>
        <v>48000</v>
      </c>
      <c r="R240" s="79">
        <f t="shared" ref="R240:T240" si="83">SUM(R259+R263)</f>
        <v>0</v>
      </c>
      <c r="S240" s="79">
        <f t="shared" ref="S240" si="84">SUM(S259+S263)</f>
        <v>0</v>
      </c>
      <c r="T240" s="79">
        <f t="shared" si="83"/>
        <v>0</v>
      </c>
      <c r="U240" s="79">
        <f t="shared" ref="U240:W240" si="85">SUM(U259+U263)</f>
        <v>0</v>
      </c>
      <c r="V240" s="79">
        <f t="shared" si="85"/>
        <v>0</v>
      </c>
      <c r="W240" s="79">
        <f t="shared" si="85"/>
        <v>0</v>
      </c>
      <c r="X240" s="131">
        <f t="shared" si="68"/>
        <v>0</v>
      </c>
      <c r="Y240" s="79">
        <f t="shared" si="69"/>
        <v>0</v>
      </c>
      <c r="Z240" s="203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  <c r="IW240" s="74"/>
      <c r="IX240" s="74"/>
      <c r="IY240" s="74"/>
      <c r="IZ240" s="74"/>
      <c r="JA240" s="74"/>
      <c r="JB240" s="74"/>
      <c r="JC240" s="74"/>
      <c r="JD240" s="74"/>
      <c r="JE240" s="74"/>
      <c r="JF240" s="74"/>
      <c r="JG240" s="74"/>
      <c r="JH240" s="74"/>
      <c r="JI240" s="74"/>
      <c r="JJ240" s="74"/>
      <c r="JK240" s="74"/>
      <c r="JL240" s="74"/>
      <c r="JM240" s="74"/>
      <c r="JN240" s="74"/>
      <c r="JO240" s="74"/>
      <c r="JP240" s="74"/>
      <c r="JQ240" s="74"/>
      <c r="JR240" s="74"/>
      <c r="JS240" s="74"/>
      <c r="JT240" s="74"/>
      <c r="JU240" s="74"/>
      <c r="JV240" s="74"/>
      <c r="JW240" s="74"/>
      <c r="JX240" s="74"/>
      <c r="JY240" s="74"/>
      <c r="JZ240" s="74"/>
      <c r="KA240" s="74"/>
      <c r="KB240" s="74"/>
      <c r="KC240" s="74"/>
      <c r="KD240" s="74"/>
      <c r="KE240" s="74"/>
      <c r="KF240" s="74"/>
      <c r="KG240" s="74"/>
      <c r="KH240" s="74"/>
      <c r="KI240" s="74"/>
      <c r="KJ240" s="74"/>
      <c r="KK240" s="74"/>
      <c r="KL240" s="74"/>
      <c r="KM240" s="74"/>
      <c r="KN240" s="74"/>
      <c r="KO240" s="74"/>
      <c r="KP240" s="74"/>
      <c r="KQ240" s="74"/>
      <c r="KR240" s="74"/>
      <c r="KS240" s="74"/>
      <c r="KT240" s="74"/>
      <c r="KU240" s="74"/>
      <c r="KV240" s="74"/>
      <c r="KW240" s="74"/>
      <c r="KX240" s="74"/>
      <c r="KY240" s="74"/>
      <c r="KZ240" s="74"/>
      <c r="LA240" s="74"/>
      <c r="LB240" s="74"/>
      <c r="LC240" s="74"/>
      <c r="LD240" s="74"/>
      <c r="LE240" s="74"/>
      <c r="LF240" s="74"/>
      <c r="LG240" s="74"/>
      <c r="LH240" s="74"/>
      <c r="LI240" s="74"/>
      <c r="LJ240" s="74"/>
      <c r="LK240" s="74"/>
      <c r="LL240" s="74"/>
      <c r="LM240" s="74"/>
      <c r="LN240" s="74"/>
      <c r="LO240" s="74"/>
      <c r="LP240" s="74"/>
      <c r="LQ240" s="74"/>
      <c r="LR240" s="74"/>
      <c r="LS240" s="74"/>
      <c r="LT240" s="74"/>
      <c r="LU240" s="74"/>
      <c r="LV240" s="74"/>
      <c r="LW240" s="74"/>
      <c r="LX240" s="74"/>
      <c r="LY240" s="74"/>
      <c r="LZ240" s="74"/>
      <c r="MA240" s="74"/>
      <c r="MB240" s="74"/>
      <c r="MC240" s="74"/>
      <c r="MD240" s="74"/>
      <c r="ME240" s="74"/>
      <c r="MF240" s="74"/>
      <c r="MG240" s="74"/>
      <c r="MH240" s="74"/>
      <c r="MI240" s="74"/>
      <c r="MJ240" s="74"/>
      <c r="MK240" s="74"/>
      <c r="ML240" s="74"/>
      <c r="MM240" s="74"/>
      <c r="MN240" s="74"/>
      <c r="MO240" s="74"/>
      <c r="MP240" s="74"/>
      <c r="MQ240" s="74"/>
      <c r="MR240" s="74"/>
      <c r="MS240" s="74"/>
      <c r="MT240" s="74"/>
      <c r="MU240" s="74"/>
      <c r="MV240" s="74"/>
      <c r="MW240" s="74"/>
      <c r="MX240" s="74"/>
      <c r="MY240" s="74"/>
      <c r="MZ240" s="74"/>
      <c r="NA240" s="74"/>
      <c r="NB240" s="74"/>
      <c r="NC240" s="74"/>
      <c r="ND240" s="74"/>
      <c r="NE240" s="74"/>
      <c r="NF240" s="74"/>
      <c r="NG240" s="74"/>
      <c r="NH240" s="74"/>
      <c r="NI240" s="74"/>
      <c r="NJ240" s="74"/>
      <c r="NK240" s="74"/>
      <c r="NL240" s="74"/>
      <c r="NM240" s="74"/>
      <c r="NN240" s="74"/>
      <c r="NO240" s="74"/>
      <c r="NP240" s="74"/>
      <c r="NQ240" s="74"/>
      <c r="NR240" s="74"/>
      <c r="NS240" s="74"/>
      <c r="NT240" s="74"/>
      <c r="NU240" s="74"/>
      <c r="NV240" s="74"/>
      <c r="NW240" s="74"/>
      <c r="NX240" s="74"/>
      <c r="NY240" s="74"/>
      <c r="NZ240" s="74"/>
      <c r="OA240" s="74"/>
      <c r="OB240" s="74"/>
      <c r="OC240" s="74"/>
      <c r="OD240" s="74"/>
      <c r="OE240" s="74"/>
      <c r="OF240" s="74"/>
      <c r="OG240" s="74"/>
      <c r="OH240" s="74"/>
      <c r="OI240" s="74"/>
      <c r="OJ240" s="74"/>
      <c r="OK240" s="74"/>
      <c r="OL240" s="74"/>
      <c r="OM240" s="74"/>
      <c r="ON240" s="74"/>
      <c r="OO240" s="74"/>
      <c r="OP240" s="74"/>
      <c r="OQ240" s="74"/>
      <c r="OR240" s="74"/>
      <c r="OS240" s="74"/>
      <c r="OT240" s="74"/>
      <c r="OU240" s="74"/>
      <c r="OV240" s="74"/>
      <c r="OW240" s="74"/>
      <c r="OX240" s="74"/>
      <c r="OY240" s="74"/>
      <c r="OZ240" s="74"/>
      <c r="PA240" s="74"/>
      <c r="PB240" s="74"/>
      <c r="PC240" s="74"/>
      <c r="PD240" s="74"/>
      <c r="PE240" s="74"/>
      <c r="PF240" s="74"/>
      <c r="PG240" s="74"/>
      <c r="PH240" s="74"/>
      <c r="PI240" s="74"/>
      <c r="PJ240" s="74"/>
      <c r="PK240" s="74"/>
      <c r="PL240" s="74"/>
      <c r="PM240" s="74"/>
      <c r="PN240" s="74"/>
      <c r="PO240" s="74"/>
      <c r="PP240" s="74"/>
      <c r="PQ240" s="74"/>
      <c r="PR240" s="74"/>
      <c r="PS240" s="74"/>
      <c r="PT240" s="74"/>
      <c r="PU240" s="74"/>
      <c r="PV240" s="74"/>
      <c r="PW240" s="74"/>
      <c r="PX240" s="74"/>
      <c r="PY240" s="74"/>
      <c r="PZ240" s="74"/>
      <c r="QA240" s="74"/>
      <c r="QB240" s="74"/>
      <c r="QC240" s="74"/>
      <c r="QD240" s="74"/>
      <c r="QE240" s="74"/>
      <c r="QF240" s="74"/>
      <c r="QG240" s="74"/>
      <c r="QH240" s="74"/>
      <c r="QI240" s="74"/>
      <c r="QJ240" s="74"/>
      <c r="QK240" s="74"/>
      <c r="QL240" s="74"/>
      <c r="QM240" s="74"/>
      <c r="QN240" s="74"/>
      <c r="QO240" s="74"/>
      <c r="QP240" s="74"/>
      <c r="QQ240" s="74"/>
      <c r="QR240" s="74"/>
      <c r="QS240" s="74"/>
      <c r="QT240" s="74"/>
      <c r="QU240" s="74"/>
      <c r="QV240" s="74"/>
      <c r="QW240" s="74"/>
      <c r="QX240" s="74"/>
      <c r="QY240" s="74"/>
      <c r="QZ240" s="74"/>
      <c r="RA240" s="74"/>
      <c r="RB240" s="74"/>
      <c r="RC240" s="74"/>
      <c r="RD240" s="74"/>
      <c r="RE240" s="74"/>
      <c r="RF240" s="74"/>
      <c r="RG240" s="74"/>
      <c r="RH240" s="74"/>
      <c r="RI240" s="74"/>
      <c r="RJ240" s="74"/>
      <c r="RK240" s="74"/>
      <c r="RL240" s="74"/>
      <c r="RM240" s="74"/>
      <c r="RN240" s="74"/>
      <c r="RO240" s="74"/>
      <c r="RP240" s="74"/>
      <c r="RQ240" s="74"/>
      <c r="RR240" s="74"/>
      <c r="RS240" s="74"/>
      <c r="RT240" s="74"/>
      <c r="RU240" s="74"/>
      <c r="RV240" s="74"/>
      <c r="RW240" s="74"/>
      <c r="RX240" s="74"/>
      <c r="RY240" s="74"/>
      <c r="RZ240" s="74"/>
      <c r="SA240" s="74"/>
      <c r="SB240" s="74"/>
      <c r="SC240" s="74"/>
      <c r="SD240" s="74"/>
      <c r="SE240" s="74"/>
      <c r="SF240" s="74"/>
      <c r="SG240" s="74"/>
      <c r="SH240" s="74"/>
      <c r="SI240" s="74"/>
      <c r="SJ240" s="74"/>
      <c r="SK240" s="74"/>
      <c r="SL240" s="74"/>
      <c r="SM240" s="74"/>
      <c r="SN240" s="74"/>
      <c r="SO240" s="74"/>
      <c r="SP240" s="74"/>
      <c r="SQ240" s="74"/>
      <c r="SR240" s="74"/>
      <c r="SS240" s="74"/>
      <c r="ST240" s="74"/>
      <c r="SU240" s="74"/>
      <c r="SV240" s="74"/>
      <c r="SW240" s="74"/>
      <c r="SX240" s="74"/>
      <c r="SY240" s="74"/>
      <c r="SZ240" s="74"/>
      <c r="TA240" s="74"/>
      <c r="TB240" s="74"/>
      <c r="TC240" s="74"/>
      <c r="TD240" s="74"/>
      <c r="TE240" s="74"/>
      <c r="TF240" s="74"/>
      <c r="TG240" s="74"/>
      <c r="TH240" s="74"/>
      <c r="TI240" s="74"/>
      <c r="TJ240" s="74"/>
      <c r="TK240" s="74"/>
      <c r="TL240" s="74"/>
      <c r="TM240" s="74"/>
      <c r="TN240" s="74"/>
      <c r="TO240" s="74"/>
      <c r="TP240" s="74"/>
      <c r="TQ240" s="74"/>
      <c r="TR240" s="74"/>
      <c r="TS240" s="74"/>
      <c r="TT240" s="74"/>
      <c r="TU240" s="74"/>
      <c r="TV240" s="74"/>
      <c r="TW240" s="74"/>
      <c r="TX240" s="74"/>
      <c r="TY240" s="74"/>
      <c r="TZ240" s="74"/>
      <c r="UA240" s="74"/>
      <c r="UB240" s="74"/>
      <c r="UC240" s="74"/>
      <c r="UD240" s="74"/>
      <c r="UE240" s="74"/>
      <c r="UF240" s="74"/>
      <c r="UG240" s="74"/>
      <c r="UH240" s="74"/>
      <c r="UI240" s="74"/>
      <c r="UJ240" s="74"/>
      <c r="UK240" s="74"/>
      <c r="UL240" s="74"/>
      <c r="UM240" s="74"/>
      <c r="UN240" s="74"/>
      <c r="UO240" s="74"/>
      <c r="UP240" s="74"/>
      <c r="UQ240" s="74"/>
      <c r="UR240" s="74"/>
      <c r="US240" s="74"/>
      <c r="UT240" s="74"/>
      <c r="UU240" s="74"/>
      <c r="UV240" s="74"/>
      <c r="UW240" s="74"/>
      <c r="UX240" s="74"/>
      <c r="UY240" s="74"/>
      <c r="UZ240" s="74"/>
      <c r="VA240" s="74"/>
      <c r="VB240" s="74"/>
      <c r="VC240" s="74"/>
      <c r="VD240" s="74"/>
      <c r="VE240" s="74"/>
      <c r="VF240" s="74"/>
    </row>
    <row r="241" spans="1:578" s="41" customFormat="1" ht="44.25" customHeight="1" x14ac:dyDescent="0.2">
      <c r="A241" s="39" t="s">
        <v>188</v>
      </c>
      <c r="B241" s="90" t="str">
        <f>'дод 3'!A16</f>
        <v>0160</v>
      </c>
      <c r="C241" s="90" t="str">
        <f>'дод 3'!B16</f>
        <v>0111</v>
      </c>
      <c r="D241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41" s="65">
        <v>0</v>
      </c>
      <c r="F241" s="65"/>
      <c r="G241" s="65"/>
      <c r="H241" s="65"/>
      <c r="I241" s="65"/>
      <c r="J241" s="65"/>
      <c r="K241" s="130"/>
      <c r="L241" s="65">
        <f t="shared" si="73"/>
        <v>3000000</v>
      </c>
      <c r="M241" s="65"/>
      <c r="N241" s="65">
        <v>3000000</v>
      </c>
      <c r="O241" s="65">
        <v>2217000</v>
      </c>
      <c r="P241" s="65">
        <v>90900</v>
      </c>
      <c r="Q241" s="65"/>
      <c r="R241" s="65">
        <f t="shared" si="74"/>
        <v>1224677.58</v>
      </c>
      <c r="S241" s="65"/>
      <c r="T241" s="65">
        <v>1224677.58</v>
      </c>
      <c r="U241" s="65">
        <v>967223.06</v>
      </c>
      <c r="V241" s="65">
        <v>36824.61</v>
      </c>
      <c r="W241" s="65"/>
      <c r="X241" s="132">
        <f t="shared" si="68"/>
        <v>40.822586000000008</v>
      </c>
      <c r="Y241" s="65">
        <f t="shared" si="69"/>
        <v>1224677.58</v>
      </c>
      <c r="Z241" s="203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7"/>
      <c r="SY241" s="47"/>
      <c r="SZ241" s="47"/>
      <c r="TA241" s="47"/>
      <c r="TB241" s="47"/>
      <c r="TC241" s="47"/>
      <c r="TD241" s="47"/>
      <c r="TE241" s="47"/>
      <c r="TF241" s="47"/>
      <c r="TG241" s="47"/>
      <c r="TH241" s="47"/>
      <c r="TI241" s="47"/>
      <c r="TJ241" s="47"/>
      <c r="TK241" s="47"/>
      <c r="TL241" s="47"/>
      <c r="TM241" s="47"/>
      <c r="TN241" s="47"/>
      <c r="TO241" s="47"/>
      <c r="TP241" s="47"/>
      <c r="TQ241" s="47"/>
      <c r="TR241" s="47"/>
      <c r="TS241" s="47"/>
      <c r="TT241" s="47"/>
      <c r="TU241" s="47"/>
      <c r="TV241" s="47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</row>
    <row r="242" spans="1:578" s="41" customFormat="1" ht="22.5" customHeight="1" x14ac:dyDescent="0.2">
      <c r="A242" s="39" t="s">
        <v>272</v>
      </c>
      <c r="B242" s="90" t="str">
        <f>'дод 3'!A148</f>
        <v>6030</v>
      </c>
      <c r="C242" s="90" t="str">
        <f>'дод 3'!B148</f>
        <v>0620</v>
      </c>
      <c r="D242" s="42" t="str">
        <f>'дод 3'!C148</f>
        <v>Організація благоустрою населених пунктів</v>
      </c>
      <c r="E242" s="65">
        <v>0</v>
      </c>
      <c r="F242" s="65"/>
      <c r="G242" s="65"/>
      <c r="H242" s="65"/>
      <c r="I242" s="65"/>
      <c r="J242" s="65"/>
      <c r="K242" s="130"/>
      <c r="L242" s="65">
        <f t="shared" si="73"/>
        <v>80040000</v>
      </c>
      <c r="M242" s="65">
        <v>80040000</v>
      </c>
      <c r="N242" s="65"/>
      <c r="O242" s="65"/>
      <c r="P242" s="65"/>
      <c r="Q242" s="65">
        <f>80000000+40000</f>
        <v>80040000</v>
      </c>
      <c r="R242" s="65">
        <f t="shared" si="74"/>
        <v>4898148</v>
      </c>
      <c r="S242" s="65">
        <v>4898148</v>
      </c>
      <c r="T242" s="65"/>
      <c r="U242" s="65"/>
      <c r="V242" s="65"/>
      <c r="W242" s="65">
        <v>4898148</v>
      </c>
      <c r="X242" s="132">
        <f t="shared" si="68"/>
        <v>6.1196251874062968</v>
      </c>
      <c r="Y242" s="65">
        <f t="shared" si="69"/>
        <v>4898148</v>
      </c>
      <c r="Z242" s="203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7"/>
      <c r="SY242" s="47"/>
      <c r="SZ242" s="47"/>
      <c r="TA242" s="47"/>
      <c r="TB242" s="47"/>
      <c r="TC242" s="47"/>
      <c r="TD242" s="47"/>
      <c r="TE242" s="47"/>
      <c r="TF242" s="47"/>
      <c r="TG242" s="47"/>
      <c r="TH242" s="47"/>
      <c r="TI242" s="47"/>
      <c r="TJ242" s="47"/>
      <c r="TK242" s="47"/>
      <c r="TL242" s="47"/>
      <c r="TM242" s="47"/>
      <c r="TN242" s="47"/>
      <c r="TO242" s="47"/>
      <c r="TP242" s="47"/>
      <c r="TQ242" s="47"/>
      <c r="TR242" s="47"/>
      <c r="TS242" s="47"/>
      <c r="TT242" s="47"/>
      <c r="TU242" s="47"/>
      <c r="TV242" s="47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</row>
    <row r="243" spans="1:578" s="41" customFormat="1" ht="30" hidden="1" customHeight="1" x14ac:dyDescent="0.2">
      <c r="A243" s="39" t="s">
        <v>518</v>
      </c>
      <c r="B243" s="90" t="str">
        <f>'дод 3'!A151</f>
        <v>6082</v>
      </c>
      <c r="C243" s="90" t="str">
        <f>'дод 3'!B151</f>
        <v>0610</v>
      </c>
      <c r="D243" s="42" t="str">
        <f>'дод 3'!C151</f>
        <v>Придбання житла для окремих категорій населення відповідно до законодавства</v>
      </c>
      <c r="E243" s="65">
        <v>0</v>
      </c>
      <c r="F243" s="65"/>
      <c r="G243" s="65"/>
      <c r="H243" s="65"/>
      <c r="I243" s="65"/>
      <c r="J243" s="65"/>
      <c r="K243" s="130" t="e">
        <f t="shared" si="70"/>
        <v>#DIV/0!</v>
      </c>
      <c r="L243" s="65">
        <f t="shared" si="73"/>
        <v>0</v>
      </c>
      <c r="M243" s="65"/>
      <c r="N243" s="65"/>
      <c r="O243" s="65"/>
      <c r="P243" s="65"/>
      <c r="Q243" s="65"/>
      <c r="R243" s="65">
        <f t="shared" si="74"/>
        <v>0</v>
      </c>
      <c r="S243" s="65"/>
      <c r="T243" s="65"/>
      <c r="U243" s="65"/>
      <c r="V243" s="65"/>
      <c r="W243" s="65"/>
      <c r="X243" s="132" t="e">
        <f t="shared" si="68"/>
        <v>#DIV/0!</v>
      </c>
      <c r="Y243" s="65">
        <f t="shared" si="69"/>
        <v>0</v>
      </c>
      <c r="Z243" s="203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  <c r="OB243" s="47"/>
      <c r="OC243" s="47"/>
      <c r="OD243" s="47"/>
      <c r="OE243" s="47"/>
      <c r="OF243" s="47"/>
      <c r="OG243" s="47"/>
      <c r="OH243" s="47"/>
      <c r="OI243" s="47"/>
      <c r="OJ243" s="47"/>
      <c r="OK243" s="47"/>
      <c r="OL243" s="47"/>
      <c r="OM243" s="47"/>
      <c r="ON243" s="47"/>
      <c r="OO243" s="47"/>
      <c r="OP243" s="47"/>
      <c r="OQ243" s="47"/>
      <c r="OR243" s="47"/>
      <c r="OS243" s="47"/>
      <c r="OT243" s="47"/>
      <c r="OU243" s="47"/>
      <c r="OV243" s="47"/>
      <c r="OW243" s="47"/>
      <c r="OX243" s="47"/>
      <c r="OY243" s="47"/>
      <c r="OZ243" s="47"/>
      <c r="PA243" s="47"/>
      <c r="PB243" s="47"/>
      <c r="PC243" s="47"/>
      <c r="PD243" s="47"/>
      <c r="PE243" s="47"/>
      <c r="PF243" s="47"/>
      <c r="PG243" s="47"/>
      <c r="PH243" s="47"/>
      <c r="PI243" s="47"/>
      <c r="PJ243" s="47"/>
      <c r="PK243" s="47"/>
      <c r="PL243" s="47"/>
      <c r="PM243" s="47"/>
      <c r="PN243" s="47"/>
      <c r="PO243" s="47"/>
      <c r="PP243" s="47"/>
      <c r="PQ243" s="47"/>
      <c r="PR243" s="47"/>
      <c r="PS243" s="47"/>
      <c r="PT243" s="47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  <c r="SK243" s="47"/>
      <c r="SL243" s="47"/>
      <c r="SM243" s="47"/>
      <c r="SN243" s="47"/>
      <c r="SO243" s="47"/>
      <c r="SP243" s="47"/>
      <c r="SQ243" s="47"/>
      <c r="SR243" s="47"/>
      <c r="SS243" s="47"/>
      <c r="ST243" s="47"/>
      <c r="SU243" s="47"/>
      <c r="SV243" s="47"/>
      <c r="SW243" s="47"/>
      <c r="SX243" s="47"/>
      <c r="SY243" s="47"/>
      <c r="SZ243" s="47"/>
      <c r="TA243" s="47"/>
      <c r="TB243" s="47"/>
      <c r="TC243" s="47"/>
      <c r="TD243" s="47"/>
      <c r="TE243" s="47"/>
      <c r="TF243" s="47"/>
      <c r="TG243" s="47"/>
      <c r="TH243" s="47"/>
      <c r="TI243" s="47"/>
      <c r="TJ243" s="47"/>
      <c r="TK243" s="47"/>
      <c r="TL243" s="47"/>
      <c r="TM243" s="47"/>
      <c r="TN243" s="47"/>
      <c r="TO243" s="47"/>
      <c r="TP243" s="47"/>
      <c r="TQ243" s="47"/>
      <c r="TR243" s="47"/>
      <c r="TS243" s="47"/>
      <c r="TT243" s="47"/>
      <c r="TU243" s="47"/>
      <c r="TV243" s="47"/>
      <c r="TW243" s="47"/>
      <c r="TX243" s="47"/>
      <c r="TY243" s="47"/>
      <c r="TZ243" s="47"/>
      <c r="UA243" s="47"/>
      <c r="UB243" s="47"/>
      <c r="UC243" s="47"/>
      <c r="UD243" s="47"/>
      <c r="UE243" s="47"/>
      <c r="UF243" s="47"/>
      <c r="UG243" s="47"/>
      <c r="UH243" s="47"/>
      <c r="UI243" s="47"/>
      <c r="UJ243" s="47"/>
      <c r="UK243" s="47"/>
      <c r="UL243" s="47"/>
      <c r="UM243" s="47"/>
      <c r="UN243" s="47"/>
      <c r="UO243" s="47"/>
      <c r="UP243" s="47"/>
      <c r="UQ243" s="47"/>
      <c r="UR243" s="47"/>
      <c r="US243" s="47"/>
      <c r="UT243" s="47"/>
      <c r="UU243" s="47"/>
      <c r="UV243" s="47"/>
      <c r="UW243" s="47"/>
      <c r="UX243" s="47"/>
      <c r="UY243" s="47"/>
      <c r="UZ243" s="47"/>
      <c r="VA243" s="47"/>
      <c r="VB243" s="47"/>
      <c r="VC243" s="47"/>
      <c r="VD243" s="47"/>
      <c r="VE243" s="47"/>
      <c r="VF243" s="47"/>
    </row>
    <row r="244" spans="1:578" s="41" customFormat="1" ht="63.75" customHeight="1" x14ac:dyDescent="0.2">
      <c r="A244" s="39" t="s">
        <v>551</v>
      </c>
      <c r="B244" s="90" t="s">
        <v>549</v>
      </c>
      <c r="C244" s="90" t="s">
        <v>98</v>
      </c>
      <c r="D244" s="42" t="s">
        <v>548</v>
      </c>
      <c r="E244" s="65">
        <v>0</v>
      </c>
      <c r="F244" s="65"/>
      <c r="G244" s="65"/>
      <c r="H244" s="65"/>
      <c r="I244" s="65"/>
      <c r="J244" s="65"/>
      <c r="K244" s="130"/>
      <c r="L244" s="65">
        <f t="shared" si="73"/>
        <v>300000</v>
      </c>
      <c r="M244" s="65">
        <v>300000</v>
      </c>
      <c r="N244" s="65"/>
      <c r="O244" s="65"/>
      <c r="P244" s="65"/>
      <c r="Q244" s="65">
        <v>300000</v>
      </c>
      <c r="R244" s="65">
        <f t="shared" si="74"/>
        <v>0</v>
      </c>
      <c r="S244" s="65"/>
      <c r="T244" s="65"/>
      <c r="U244" s="65"/>
      <c r="V244" s="65"/>
      <c r="W244" s="65"/>
      <c r="X244" s="132">
        <f t="shared" si="68"/>
        <v>0</v>
      </c>
      <c r="Y244" s="65">
        <f t="shared" si="69"/>
        <v>0</v>
      </c>
      <c r="Z244" s="203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  <c r="OB244" s="47"/>
      <c r="OC244" s="47"/>
      <c r="OD244" s="47"/>
      <c r="OE244" s="47"/>
      <c r="OF244" s="47"/>
      <c r="OG244" s="47"/>
      <c r="OH244" s="47"/>
      <c r="OI244" s="47"/>
      <c r="OJ244" s="47"/>
      <c r="OK244" s="47"/>
      <c r="OL244" s="47"/>
      <c r="OM244" s="47"/>
      <c r="ON244" s="47"/>
      <c r="OO244" s="47"/>
      <c r="OP244" s="47"/>
      <c r="OQ244" s="47"/>
      <c r="OR244" s="47"/>
      <c r="OS244" s="47"/>
      <c r="OT244" s="47"/>
      <c r="OU244" s="47"/>
      <c r="OV244" s="47"/>
      <c r="OW244" s="47"/>
      <c r="OX244" s="47"/>
      <c r="OY244" s="47"/>
      <c r="OZ244" s="47"/>
      <c r="PA244" s="47"/>
      <c r="PB244" s="47"/>
      <c r="PC244" s="47"/>
      <c r="PD244" s="47"/>
      <c r="PE244" s="47"/>
      <c r="PF244" s="47"/>
      <c r="PG244" s="47"/>
      <c r="PH244" s="47"/>
      <c r="PI244" s="47"/>
      <c r="PJ244" s="47"/>
      <c r="PK244" s="47"/>
      <c r="PL244" s="47"/>
      <c r="PM244" s="47"/>
      <c r="PN244" s="47"/>
      <c r="PO244" s="47"/>
      <c r="PP244" s="47"/>
      <c r="PQ244" s="47"/>
      <c r="PR244" s="47"/>
      <c r="PS244" s="47"/>
      <c r="PT244" s="47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  <c r="SK244" s="47"/>
      <c r="SL244" s="47"/>
      <c r="SM244" s="47"/>
      <c r="SN244" s="47"/>
      <c r="SO244" s="47"/>
      <c r="SP244" s="47"/>
      <c r="SQ244" s="47"/>
      <c r="SR244" s="47"/>
      <c r="SS244" s="47"/>
      <c r="ST244" s="47"/>
      <c r="SU244" s="47"/>
      <c r="SV244" s="47"/>
      <c r="SW244" s="47"/>
      <c r="SX244" s="47"/>
      <c r="SY244" s="47"/>
      <c r="SZ244" s="47"/>
      <c r="TA244" s="47"/>
      <c r="TB244" s="47"/>
      <c r="TC244" s="47"/>
      <c r="TD244" s="47"/>
      <c r="TE244" s="47"/>
      <c r="TF244" s="47"/>
      <c r="TG244" s="47"/>
      <c r="TH244" s="47"/>
      <c r="TI244" s="47"/>
      <c r="TJ244" s="47"/>
      <c r="TK244" s="47"/>
      <c r="TL244" s="47"/>
      <c r="TM244" s="47"/>
      <c r="TN244" s="47"/>
      <c r="TO244" s="47"/>
      <c r="TP244" s="47"/>
      <c r="TQ244" s="47"/>
      <c r="TR244" s="47"/>
      <c r="TS244" s="47"/>
      <c r="TT244" s="47"/>
      <c r="TU244" s="47"/>
      <c r="TV244" s="47"/>
      <c r="TW244" s="47"/>
      <c r="TX244" s="47"/>
      <c r="TY244" s="47"/>
      <c r="TZ244" s="47"/>
      <c r="UA244" s="47"/>
      <c r="UB244" s="47"/>
      <c r="UC244" s="47"/>
      <c r="UD244" s="47"/>
      <c r="UE244" s="47"/>
      <c r="UF244" s="47"/>
      <c r="UG244" s="47"/>
      <c r="UH244" s="47"/>
      <c r="UI244" s="47"/>
      <c r="UJ244" s="47"/>
      <c r="UK244" s="47"/>
      <c r="UL244" s="47"/>
      <c r="UM244" s="47"/>
      <c r="UN244" s="47"/>
      <c r="UO244" s="47"/>
      <c r="UP244" s="47"/>
      <c r="UQ244" s="47"/>
      <c r="UR244" s="47"/>
      <c r="US244" s="47"/>
      <c r="UT244" s="47"/>
      <c r="UU244" s="47"/>
      <c r="UV244" s="47"/>
      <c r="UW244" s="47"/>
      <c r="UX244" s="47"/>
      <c r="UY244" s="47"/>
      <c r="UZ244" s="47"/>
      <c r="VA244" s="47"/>
      <c r="VB244" s="47"/>
      <c r="VC244" s="47"/>
      <c r="VD244" s="47"/>
      <c r="VE244" s="47"/>
      <c r="VF244" s="47"/>
    </row>
    <row r="245" spans="1:578" s="41" customFormat="1" ht="60.75" customHeight="1" x14ac:dyDescent="0.2">
      <c r="A245" s="39" t="s">
        <v>273</v>
      </c>
      <c r="B245" s="90" t="str">
        <f>'дод 3'!A154</f>
        <v>6084</v>
      </c>
      <c r="C245" s="90" t="str">
        <f>'дод 3'!B154</f>
        <v>0610</v>
      </c>
      <c r="D245" s="42" t="str">
        <f>'дод 3'!C154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5" s="65">
        <v>84906</v>
      </c>
      <c r="F245" s="65"/>
      <c r="G245" s="65"/>
      <c r="H245" s="65"/>
      <c r="I245" s="65"/>
      <c r="J245" s="65"/>
      <c r="K245" s="130">
        <f t="shared" si="70"/>
        <v>0</v>
      </c>
      <c r="L245" s="65">
        <f t="shared" si="73"/>
        <v>50683.81</v>
      </c>
      <c r="M245" s="65"/>
      <c r="N245" s="65">
        <f>42126</f>
        <v>42126</v>
      </c>
      <c r="O245" s="65"/>
      <c r="P245" s="65"/>
      <c r="Q245" s="65">
        <v>8557.81</v>
      </c>
      <c r="R245" s="65">
        <f t="shared" si="74"/>
        <v>0</v>
      </c>
      <c r="S245" s="65"/>
      <c r="T245" s="65"/>
      <c r="U245" s="65"/>
      <c r="V245" s="65"/>
      <c r="W245" s="65"/>
      <c r="X245" s="132">
        <f t="shared" si="68"/>
        <v>0</v>
      </c>
      <c r="Y245" s="65">
        <f t="shared" si="69"/>
        <v>0</v>
      </c>
      <c r="Z245" s="203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  <c r="OB245" s="47"/>
      <c r="OC245" s="47"/>
      <c r="OD245" s="47"/>
      <c r="OE245" s="47"/>
      <c r="OF245" s="47"/>
      <c r="OG245" s="47"/>
      <c r="OH245" s="47"/>
      <c r="OI245" s="47"/>
      <c r="OJ245" s="47"/>
      <c r="OK245" s="47"/>
      <c r="OL245" s="47"/>
      <c r="OM245" s="47"/>
      <c r="ON245" s="47"/>
      <c r="OO245" s="47"/>
      <c r="OP245" s="47"/>
      <c r="OQ245" s="47"/>
      <c r="OR245" s="47"/>
      <c r="OS245" s="47"/>
      <c r="OT245" s="47"/>
      <c r="OU245" s="47"/>
      <c r="OV245" s="47"/>
      <c r="OW245" s="47"/>
      <c r="OX245" s="47"/>
      <c r="OY245" s="47"/>
      <c r="OZ245" s="47"/>
      <c r="PA245" s="47"/>
      <c r="PB245" s="47"/>
      <c r="PC245" s="47"/>
      <c r="PD245" s="47"/>
      <c r="PE245" s="47"/>
      <c r="PF245" s="47"/>
      <c r="PG245" s="47"/>
      <c r="PH245" s="47"/>
      <c r="PI245" s="47"/>
      <c r="PJ245" s="47"/>
      <c r="PK245" s="47"/>
      <c r="PL245" s="47"/>
      <c r="PM245" s="47"/>
      <c r="PN245" s="47"/>
      <c r="PO245" s="47"/>
      <c r="PP245" s="47"/>
      <c r="PQ245" s="47"/>
      <c r="PR245" s="47"/>
      <c r="PS245" s="47"/>
      <c r="PT245" s="47"/>
      <c r="PU245" s="47"/>
      <c r="PV245" s="47"/>
      <c r="PW245" s="47"/>
      <c r="PX245" s="47"/>
      <c r="PY245" s="47"/>
      <c r="PZ245" s="47"/>
      <c r="QA245" s="47"/>
      <c r="QB245" s="47"/>
      <c r="QC245" s="47"/>
      <c r="QD245" s="47"/>
      <c r="QE245" s="47"/>
      <c r="QF245" s="47"/>
      <c r="QG245" s="47"/>
      <c r="QH245" s="47"/>
      <c r="QI245" s="47"/>
      <c r="QJ245" s="47"/>
      <c r="QK245" s="47"/>
      <c r="QL245" s="47"/>
      <c r="QM245" s="47"/>
      <c r="QN245" s="47"/>
      <c r="QO245" s="47"/>
      <c r="QP245" s="47"/>
      <c r="QQ245" s="47"/>
      <c r="QR245" s="47"/>
      <c r="QS245" s="47"/>
      <c r="QT245" s="47"/>
      <c r="QU245" s="47"/>
      <c r="QV245" s="47"/>
      <c r="QW245" s="47"/>
      <c r="QX245" s="47"/>
      <c r="QY245" s="47"/>
      <c r="QZ245" s="47"/>
      <c r="RA245" s="47"/>
      <c r="RB245" s="47"/>
      <c r="RC245" s="47"/>
      <c r="RD245" s="47"/>
      <c r="RE245" s="47"/>
      <c r="RF245" s="47"/>
      <c r="RG245" s="47"/>
      <c r="RH245" s="47"/>
      <c r="RI245" s="47"/>
      <c r="RJ245" s="47"/>
      <c r="RK245" s="47"/>
      <c r="RL245" s="47"/>
      <c r="RM245" s="47"/>
      <c r="RN245" s="47"/>
      <c r="RO245" s="47"/>
      <c r="RP245" s="47"/>
      <c r="RQ245" s="47"/>
      <c r="RR245" s="47"/>
      <c r="RS245" s="47"/>
      <c r="RT245" s="47"/>
      <c r="RU245" s="47"/>
      <c r="RV245" s="47"/>
      <c r="RW245" s="47"/>
      <c r="RX245" s="47"/>
      <c r="RY245" s="47"/>
      <c r="RZ245" s="47"/>
      <c r="SA245" s="47"/>
      <c r="SB245" s="47"/>
      <c r="SC245" s="47"/>
      <c r="SD245" s="47"/>
      <c r="SE245" s="47"/>
      <c r="SF245" s="47"/>
      <c r="SG245" s="47"/>
      <c r="SH245" s="47"/>
      <c r="SI245" s="47"/>
      <c r="SJ245" s="47"/>
      <c r="SK245" s="47"/>
      <c r="SL245" s="47"/>
      <c r="SM245" s="47"/>
      <c r="SN245" s="47"/>
      <c r="SO245" s="47"/>
      <c r="SP245" s="47"/>
      <c r="SQ245" s="47"/>
      <c r="SR245" s="47"/>
      <c r="SS245" s="47"/>
      <c r="ST245" s="47"/>
      <c r="SU245" s="47"/>
      <c r="SV245" s="47"/>
      <c r="SW245" s="47"/>
      <c r="SX245" s="47"/>
      <c r="SY245" s="47"/>
      <c r="SZ245" s="47"/>
      <c r="TA245" s="47"/>
      <c r="TB245" s="47"/>
      <c r="TC245" s="47"/>
      <c r="TD245" s="47"/>
      <c r="TE245" s="47"/>
      <c r="TF245" s="47"/>
      <c r="TG245" s="47"/>
      <c r="TH245" s="47"/>
      <c r="TI245" s="47"/>
      <c r="TJ245" s="47"/>
      <c r="TK245" s="47"/>
      <c r="TL245" s="47"/>
      <c r="TM245" s="47"/>
      <c r="TN245" s="47"/>
      <c r="TO245" s="47"/>
      <c r="TP245" s="47"/>
      <c r="TQ245" s="47"/>
      <c r="TR245" s="47"/>
      <c r="TS245" s="47"/>
      <c r="TT245" s="47"/>
      <c r="TU245" s="47"/>
      <c r="TV245" s="47"/>
      <c r="TW245" s="47"/>
      <c r="TX245" s="47"/>
      <c r="TY245" s="47"/>
      <c r="TZ245" s="47"/>
      <c r="UA245" s="47"/>
      <c r="UB245" s="47"/>
      <c r="UC245" s="47"/>
      <c r="UD245" s="47"/>
      <c r="UE245" s="47"/>
      <c r="UF245" s="47"/>
      <c r="UG245" s="47"/>
      <c r="UH245" s="47"/>
      <c r="UI245" s="47"/>
      <c r="UJ245" s="47"/>
      <c r="UK245" s="47"/>
      <c r="UL245" s="47"/>
      <c r="UM245" s="47"/>
      <c r="UN245" s="47"/>
      <c r="UO245" s="47"/>
      <c r="UP245" s="47"/>
      <c r="UQ245" s="47"/>
      <c r="UR245" s="47"/>
      <c r="US245" s="47"/>
      <c r="UT245" s="47"/>
      <c r="UU245" s="47"/>
      <c r="UV245" s="47"/>
      <c r="UW245" s="47"/>
      <c r="UX245" s="47"/>
      <c r="UY245" s="47"/>
      <c r="UZ245" s="47"/>
      <c r="VA245" s="47"/>
      <c r="VB245" s="47"/>
      <c r="VC245" s="47"/>
      <c r="VD245" s="47"/>
      <c r="VE245" s="47"/>
      <c r="VF245" s="47"/>
    </row>
    <row r="246" spans="1:578" s="41" customFormat="1" ht="23.25" customHeight="1" x14ac:dyDescent="0.2">
      <c r="A246" s="90">
        <v>1516090</v>
      </c>
      <c r="B246" s="90">
        <v>6090</v>
      </c>
      <c r="C246" s="90" t="s">
        <v>407</v>
      </c>
      <c r="D246" s="42" t="s">
        <v>587</v>
      </c>
      <c r="E246" s="65">
        <v>404689.6</v>
      </c>
      <c r="F246" s="65"/>
      <c r="G246" s="65"/>
      <c r="H246" s="65"/>
      <c r="I246" s="65"/>
      <c r="J246" s="65"/>
      <c r="K246" s="130">
        <f t="shared" si="70"/>
        <v>0</v>
      </c>
      <c r="L246" s="65">
        <f t="shared" si="73"/>
        <v>0</v>
      </c>
      <c r="M246" s="65"/>
      <c r="N246" s="65"/>
      <c r="O246" s="65"/>
      <c r="P246" s="65"/>
      <c r="Q246" s="65"/>
      <c r="R246" s="65">
        <f t="shared" si="74"/>
        <v>0</v>
      </c>
      <c r="S246" s="65"/>
      <c r="T246" s="65"/>
      <c r="U246" s="65"/>
      <c r="V246" s="65"/>
      <c r="W246" s="65"/>
      <c r="X246" s="132"/>
      <c r="Y246" s="65">
        <f t="shared" si="69"/>
        <v>0</v>
      </c>
      <c r="Z246" s="203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7"/>
      <c r="JD246" s="47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7"/>
      <c r="NA246" s="47"/>
      <c r="NB246" s="47"/>
      <c r="NC246" s="47"/>
      <c r="ND246" s="47"/>
      <c r="NE246" s="47"/>
      <c r="NF246" s="47"/>
      <c r="NG246" s="47"/>
      <c r="NH246" s="47"/>
      <c r="NI246" s="47"/>
      <c r="NJ246" s="47"/>
      <c r="NK246" s="47"/>
      <c r="NL246" s="47"/>
      <c r="NM246" s="47"/>
      <c r="NN246" s="47"/>
      <c r="NO246" s="47"/>
      <c r="NP246" s="47"/>
      <c r="NQ246" s="47"/>
      <c r="NR246" s="47"/>
      <c r="NS246" s="47"/>
      <c r="NT246" s="47"/>
      <c r="NU246" s="47"/>
      <c r="NV246" s="47"/>
      <c r="NW246" s="47"/>
      <c r="NX246" s="47"/>
      <c r="NY246" s="47"/>
      <c r="NZ246" s="47"/>
      <c r="OA246" s="47"/>
      <c r="OB246" s="47"/>
      <c r="OC246" s="47"/>
      <c r="OD246" s="47"/>
      <c r="OE246" s="47"/>
      <c r="OF246" s="47"/>
      <c r="OG246" s="47"/>
      <c r="OH246" s="47"/>
      <c r="OI246" s="47"/>
      <c r="OJ246" s="47"/>
      <c r="OK246" s="47"/>
      <c r="OL246" s="47"/>
      <c r="OM246" s="47"/>
      <c r="ON246" s="47"/>
      <c r="OO246" s="47"/>
      <c r="OP246" s="47"/>
      <c r="OQ246" s="47"/>
      <c r="OR246" s="47"/>
      <c r="OS246" s="47"/>
      <c r="OT246" s="47"/>
      <c r="OU246" s="47"/>
      <c r="OV246" s="47"/>
      <c r="OW246" s="47"/>
      <c r="OX246" s="47"/>
      <c r="OY246" s="47"/>
      <c r="OZ246" s="47"/>
      <c r="PA246" s="47"/>
      <c r="PB246" s="47"/>
      <c r="PC246" s="47"/>
      <c r="PD246" s="47"/>
      <c r="PE246" s="47"/>
      <c r="PF246" s="47"/>
      <c r="PG246" s="47"/>
      <c r="PH246" s="47"/>
      <c r="PI246" s="47"/>
      <c r="PJ246" s="47"/>
      <c r="PK246" s="47"/>
      <c r="PL246" s="47"/>
      <c r="PM246" s="47"/>
      <c r="PN246" s="47"/>
      <c r="PO246" s="47"/>
      <c r="PP246" s="47"/>
      <c r="PQ246" s="47"/>
      <c r="PR246" s="47"/>
      <c r="PS246" s="47"/>
      <c r="PT246" s="47"/>
      <c r="PU246" s="47"/>
      <c r="PV246" s="47"/>
      <c r="PW246" s="47"/>
      <c r="PX246" s="47"/>
      <c r="PY246" s="47"/>
      <c r="PZ246" s="47"/>
      <c r="QA246" s="47"/>
      <c r="QB246" s="47"/>
      <c r="QC246" s="47"/>
      <c r="QD246" s="47"/>
      <c r="QE246" s="47"/>
      <c r="QF246" s="47"/>
      <c r="QG246" s="47"/>
      <c r="QH246" s="47"/>
      <c r="QI246" s="47"/>
      <c r="QJ246" s="47"/>
      <c r="QK246" s="47"/>
      <c r="QL246" s="47"/>
      <c r="QM246" s="47"/>
      <c r="QN246" s="47"/>
      <c r="QO246" s="47"/>
      <c r="QP246" s="47"/>
      <c r="QQ246" s="47"/>
      <c r="QR246" s="47"/>
      <c r="QS246" s="47"/>
      <c r="QT246" s="47"/>
      <c r="QU246" s="47"/>
      <c r="QV246" s="47"/>
      <c r="QW246" s="47"/>
      <c r="QX246" s="47"/>
      <c r="QY246" s="47"/>
      <c r="QZ246" s="47"/>
      <c r="RA246" s="47"/>
      <c r="RB246" s="47"/>
      <c r="RC246" s="47"/>
      <c r="RD246" s="47"/>
      <c r="RE246" s="47"/>
      <c r="RF246" s="47"/>
      <c r="RG246" s="47"/>
      <c r="RH246" s="47"/>
      <c r="RI246" s="47"/>
      <c r="RJ246" s="47"/>
      <c r="RK246" s="47"/>
      <c r="RL246" s="47"/>
      <c r="RM246" s="47"/>
      <c r="RN246" s="47"/>
      <c r="RO246" s="47"/>
      <c r="RP246" s="47"/>
      <c r="RQ246" s="47"/>
      <c r="RR246" s="47"/>
      <c r="RS246" s="47"/>
      <c r="RT246" s="47"/>
      <c r="RU246" s="47"/>
      <c r="RV246" s="47"/>
      <c r="RW246" s="47"/>
      <c r="RX246" s="47"/>
      <c r="RY246" s="47"/>
      <c r="RZ246" s="47"/>
      <c r="SA246" s="47"/>
      <c r="SB246" s="47"/>
      <c r="SC246" s="47"/>
      <c r="SD246" s="47"/>
      <c r="SE246" s="47"/>
      <c r="SF246" s="47"/>
      <c r="SG246" s="47"/>
      <c r="SH246" s="47"/>
      <c r="SI246" s="47"/>
      <c r="SJ246" s="47"/>
      <c r="SK246" s="47"/>
      <c r="SL246" s="47"/>
      <c r="SM246" s="47"/>
      <c r="SN246" s="47"/>
      <c r="SO246" s="47"/>
      <c r="SP246" s="47"/>
      <c r="SQ246" s="47"/>
      <c r="SR246" s="47"/>
      <c r="SS246" s="47"/>
      <c r="ST246" s="47"/>
      <c r="SU246" s="47"/>
      <c r="SV246" s="47"/>
      <c r="SW246" s="47"/>
      <c r="SX246" s="47"/>
      <c r="SY246" s="47"/>
      <c r="SZ246" s="47"/>
      <c r="TA246" s="47"/>
      <c r="TB246" s="47"/>
      <c r="TC246" s="47"/>
      <c r="TD246" s="47"/>
      <c r="TE246" s="47"/>
      <c r="TF246" s="47"/>
      <c r="TG246" s="47"/>
      <c r="TH246" s="47"/>
      <c r="TI246" s="47"/>
      <c r="TJ246" s="47"/>
      <c r="TK246" s="47"/>
      <c r="TL246" s="47"/>
      <c r="TM246" s="47"/>
      <c r="TN246" s="47"/>
      <c r="TO246" s="47"/>
      <c r="TP246" s="47"/>
      <c r="TQ246" s="47"/>
      <c r="TR246" s="47"/>
      <c r="TS246" s="47"/>
      <c r="TT246" s="47"/>
      <c r="TU246" s="47"/>
      <c r="TV246" s="47"/>
      <c r="TW246" s="47"/>
      <c r="TX246" s="47"/>
      <c r="TY246" s="47"/>
      <c r="TZ246" s="47"/>
      <c r="UA246" s="47"/>
      <c r="UB246" s="47"/>
      <c r="UC246" s="47"/>
      <c r="UD246" s="47"/>
      <c r="UE246" s="47"/>
      <c r="UF246" s="47"/>
      <c r="UG246" s="47"/>
      <c r="UH246" s="47"/>
      <c r="UI246" s="47"/>
      <c r="UJ246" s="47"/>
      <c r="UK246" s="47"/>
      <c r="UL246" s="47"/>
      <c r="UM246" s="47"/>
      <c r="UN246" s="47"/>
      <c r="UO246" s="47"/>
      <c r="UP246" s="47"/>
      <c r="UQ246" s="47"/>
      <c r="UR246" s="47"/>
      <c r="US246" s="47"/>
      <c r="UT246" s="47"/>
      <c r="UU246" s="47"/>
      <c r="UV246" s="47"/>
      <c r="UW246" s="47"/>
      <c r="UX246" s="47"/>
      <c r="UY246" s="47"/>
      <c r="UZ246" s="47"/>
      <c r="VA246" s="47"/>
      <c r="VB246" s="47"/>
      <c r="VC246" s="47"/>
      <c r="VD246" s="47"/>
      <c r="VE246" s="47"/>
      <c r="VF246" s="47"/>
    </row>
    <row r="247" spans="1:578" s="41" customFormat="1" ht="34.5" customHeight="1" x14ac:dyDescent="0.2">
      <c r="A247" s="39" t="s">
        <v>356</v>
      </c>
      <c r="B247" s="90" t="str">
        <f>'дод 3'!A161</f>
        <v>7310</v>
      </c>
      <c r="C247" s="90" t="str">
        <f>'дод 3'!B161</f>
        <v>0443</v>
      </c>
      <c r="D247" s="42" t="str">
        <f>'дод 3'!C161</f>
        <v>Будівництво об'єктів житлово-комунального господарства</v>
      </c>
      <c r="E247" s="65">
        <v>0</v>
      </c>
      <c r="F247" s="65"/>
      <c r="G247" s="65"/>
      <c r="H247" s="65"/>
      <c r="I247" s="65"/>
      <c r="J247" s="65"/>
      <c r="K247" s="130"/>
      <c r="L247" s="65">
        <f t="shared" si="73"/>
        <v>7310965.7999999998</v>
      </c>
      <c r="M247" s="65">
        <v>7310965.7999999998</v>
      </c>
      <c r="N247" s="65"/>
      <c r="O247" s="65"/>
      <c r="P247" s="65"/>
      <c r="Q247" s="65">
        <f>7800000-489034.2</f>
        <v>7310965.7999999998</v>
      </c>
      <c r="R247" s="65">
        <f t="shared" si="74"/>
        <v>937216</v>
      </c>
      <c r="S247" s="65">
        <v>937216</v>
      </c>
      <c r="T247" s="65"/>
      <c r="U247" s="65"/>
      <c r="V247" s="65"/>
      <c r="W247" s="65">
        <v>937216</v>
      </c>
      <c r="X247" s="132">
        <f t="shared" si="68"/>
        <v>12.819318618615341</v>
      </c>
      <c r="Y247" s="65">
        <f t="shared" si="69"/>
        <v>937216</v>
      </c>
      <c r="Z247" s="203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  <c r="OB247" s="47"/>
      <c r="OC247" s="47"/>
      <c r="OD247" s="47"/>
      <c r="OE247" s="47"/>
      <c r="OF247" s="47"/>
      <c r="OG247" s="47"/>
      <c r="OH247" s="47"/>
      <c r="OI247" s="47"/>
      <c r="OJ247" s="47"/>
      <c r="OK247" s="47"/>
      <c r="OL247" s="47"/>
      <c r="OM247" s="47"/>
      <c r="ON247" s="47"/>
      <c r="OO247" s="47"/>
      <c r="OP247" s="47"/>
      <c r="OQ247" s="47"/>
      <c r="OR247" s="47"/>
      <c r="OS247" s="47"/>
      <c r="OT247" s="47"/>
      <c r="OU247" s="47"/>
      <c r="OV247" s="47"/>
      <c r="OW247" s="47"/>
      <c r="OX247" s="47"/>
      <c r="OY247" s="47"/>
      <c r="OZ247" s="47"/>
      <c r="PA247" s="47"/>
      <c r="PB247" s="47"/>
      <c r="PC247" s="47"/>
      <c r="PD247" s="47"/>
      <c r="PE247" s="47"/>
      <c r="PF247" s="47"/>
      <c r="PG247" s="47"/>
      <c r="PH247" s="47"/>
      <c r="PI247" s="47"/>
      <c r="PJ247" s="47"/>
      <c r="PK247" s="47"/>
      <c r="PL247" s="47"/>
      <c r="PM247" s="47"/>
      <c r="PN247" s="47"/>
      <c r="PO247" s="47"/>
      <c r="PP247" s="47"/>
      <c r="PQ247" s="47"/>
      <c r="PR247" s="47"/>
      <c r="PS247" s="47"/>
      <c r="PT247" s="47"/>
      <c r="PU247" s="47"/>
      <c r="PV247" s="47"/>
      <c r="PW247" s="47"/>
      <c r="PX247" s="47"/>
      <c r="PY247" s="47"/>
      <c r="PZ247" s="47"/>
      <c r="QA247" s="47"/>
      <c r="QB247" s="47"/>
      <c r="QC247" s="47"/>
      <c r="QD247" s="47"/>
      <c r="QE247" s="47"/>
      <c r="QF247" s="47"/>
      <c r="QG247" s="47"/>
      <c r="QH247" s="47"/>
      <c r="QI247" s="47"/>
      <c r="QJ247" s="47"/>
      <c r="QK247" s="47"/>
      <c r="QL247" s="47"/>
      <c r="QM247" s="47"/>
      <c r="QN247" s="47"/>
      <c r="QO247" s="47"/>
      <c r="QP247" s="47"/>
      <c r="QQ247" s="47"/>
      <c r="QR247" s="47"/>
      <c r="QS247" s="47"/>
      <c r="QT247" s="47"/>
      <c r="QU247" s="47"/>
      <c r="QV247" s="47"/>
      <c r="QW247" s="47"/>
      <c r="QX247" s="47"/>
      <c r="QY247" s="47"/>
      <c r="QZ247" s="47"/>
      <c r="RA247" s="47"/>
      <c r="RB247" s="47"/>
      <c r="RC247" s="47"/>
      <c r="RD247" s="47"/>
      <c r="RE247" s="47"/>
      <c r="RF247" s="47"/>
      <c r="RG247" s="47"/>
      <c r="RH247" s="47"/>
      <c r="RI247" s="47"/>
      <c r="RJ247" s="47"/>
      <c r="RK247" s="47"/>
      <c r="RL247" s="47"/>
      <c r="RM247" s="47"/>
      <c r="RN247" s="47"/>
      <c r="RO247" s="47"/>
      <c r="RP247" s="47"/>
      <c r="RQ247" s="47"/>
      <c r="RR247" s="47"/>
      <c r="RS247" s="47"/>
      <c r="RT247" s="47"/>
      <c r="RU247" s="47"/>
      <c r="RV247" s="47"/>
      <c r="RW247" s="47"/>
      <c r="RX247" s="47"/>
      <c r="RY247" s="47"/>
      <c r="RZ247" s="47"/>
      <c r="SA247" s="47"/>
      <c r="SB247" s="47"/>
      <c r="SC247" s="47"/>
      <c r="SD247" s="47"/>
      <c r="SE247" s="47"/>
      <c r="SF247" s="47"/>
      <c r="SG247" s="47"/>
      <c r="SH247" s="47"/>
      <c r="SI247" s="47"/>
      <c r="SJ247" s="47"/>
      <c r="SK247" s="47"/>
      <c r="SL247" s="47"/>
      <c r="SM247" s="47"/>
      <c r="SN247" s="47"/>
      <c r="SO247" s="47"/>
      <c r="SP247" s="47"/>
      <c r="SQ247" s="47"/>
      <c r="SR247" s="47"/>
      <c r="SS247" s="47"/>
      <c r="ST247" s="47"/>
      <c r="SU247" s="47"/>
      <c r="SV247" s="47"/>
      <c r="SW247" s="47"/>
      <c r="SX247" s="47"/>
      <c r="SY247" s="47"/>
      <c r="SZ247" s="47"/>
      <c r="TA247" s="47"/>
      <c r="TB247" s="47"/>
      <c r="TC247" s="47"/>
      <c r="TD247" s="47"/>
      <c r="TE247" s="47"/>
      <c r="TF247" s="47"/>
      <c r="TG247" s="47"/>
      <c r="TH247" s="47"/>
      <c r="TI247" s="47"/>
      <c r="TJ247" s="47"/>
      <c r="TK247" s="47"/>
      <c r="TL247" s="47"/>
      <c r="TM247" s="47"/>
      <c r="TN247" s="47"/>
      <c r="TO247" s="47"/>
      <c r="TP247" s="47"/>
      <c r="TQ247" s="47"/>
      <c r="TR247" s="47"/>
      <c r="TS247" s="47"/>
      <c r="TT247" s="47"/>
      <c r="TU247" s="47"/>
      <c r="TV247" s="47"/>
      <c r="TW247" s="47"/>
      <c r="TX247" s="47"/>
      <c r="TY247" s="47"/>
      <c r="TZ247" s="47"/>
      <c r="UA247" s="47"/>
      <c r="UB247" s="47"/>
      <c r="UC247" s="47"/>
      <c r="UD247" s="47"/>
      <c r="UE247" s="47"/>
      <c r="UF247" s="47"/>
      <c r="UG247" s="47"/>
      <c r="UH247" s="47"/>
      <c r="UI247" s="47"/>
      <c r="UJ247" s="47"/>
      <c r="UK247" s="47"/>
      <c r="UL247" s="47"/>
      <c r="UM247" s="47"/>
      <c r="UN247" s="47"/>
      <c r="UO247" s="47"/>
      <c r="UP247" s="47"/>
      <c r="UQ247" s="47"/>
      <c r="UR247" s="47"/>
      <c r="US247" s="47"/>
      <c r="UT247" s="47"/>
      <c r="UU247" s="47"/>
      <c r="UV247" s="47"/>
      <c r="UW247" s="47"/>
      <c r="UX247" s="47"/>
      <c r="UY247" s="47"/>
      <c r="UZ247" s="47"/>
      <c r="VA247" s="47"/>
      <c r="VB247" s="47"/>
      <c r="VC247" s="47"/>
      <c r="VD247" s="47"/>
      <c r="VE247" s="47"/>
      <c r="VF247" s="47"/>
    </row>
    <row r="248" spans="1:578" s="41" customFormat="1" ht="25.5" customHeight="1" x14ac:dyDescent="0.2">
      <c r="A248" s="39" t="s">
        <v>357</v>
      </c>
      <c r="B248" s="90" t="str">
        <f>'дод 3'!A162</f>
        <v>7321</v>
      </c>
      <c r="C248" s="90" t="str">
        <f>'дод 3'!B162</f>
        <v>0443</v>
      </c>
      <c r="D248" s="42" t="str">
        <f>'дод 3'!C162</f>
        <v>Будівництво освітніх установ та закладів</v>
      </c>
      <c r="E248" s="65">
        <v>0</v>
      </c>
      <c r="F248" s="65"/>
      <c r="G248" s="65"/>
      <c r="H248" s="65"/>
      <c r="I248" s="65"/>
      <c r="J248" s="65"/>
      <c r="K248" s="130"/>
      <c r="L248" s="65">
        <f t="shared" si="73"/>
        <v>10985940</v>
      </c>
      <c r="M248" s="65">
        <v>10985940</v>
      </c>
      <c r="N248" s="65"/>
      <c r="O248" s="65"/>
      <c r="P248" s="65"/>
      <c r="Q248" s="65">
        <f>10600000+100000+1500000+100000-390-599610-864060+150000</f>
        <v>10985940</v>
      </c>
      <c r="R248" s="65">
        <f t="shared" si="74"/>
        <v>215938</v>
      </c>
      <c r="S248" s="65">
        <v>215938</v>
      </c>
      <c r="T248" s="65"/>
      <c r="U248" s="65"/>
      <c r="V248" s="65"/>
      <c r="W248" s="65">
        <v>215938</v>
      </c>
      <c r="X248" s="132">
        <f t="shared" si="68"/>
        <v>1.9655851024127202</v>
      </c>
      <c r="Y248" s="65">
        <f t="shared" si="69"/>
        <v>215938</v>
      </c>
      <c r="Z248" s="203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7"/>
      <c r="JD248" s="47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7"/>
      <c r="NA248" s="47"/>
      <c r="NB248" s="47"/>
      <c r="NC248" s="47"/>
      <c r="ND248" s="47"/>
      <c r="NE248" s="47"/>
      <c r="NF248" s="47"/>
      <c r="NG248" s="47"/>
      <c r="NH248" s="47"/>
      <c r="NI248" s="47"/>
      <c r="NJ248" s="47"/>
      <c r="NK248" s="47"/>
      <c r="NL248" s="47"/>
      <c r="NM248" s="47"/>
      <c r="NN248" s="47"/>
      <c r="NO248" s="47"/>
      <c r="NP248" s="47"/>
      <c r="NQ248" s="47"/>
      <c r="NR248" s="47"/>
      <c r="NS248" s="47"/>
      <c r="NT248" s="47"/>
      <c r="NU248" s="47"/>
      <c r="NV248" s="47"/>
      <c r="NW248" s="47"/>
      <c r="NX248" s="47"/>
      <c r="NY248" s="47"/>
      <c r="NZ248" s="47"/>
      <c r="OA248" s="47"/>
      <c r="OB248" s="47"/>
      <c r="OC248" s="47"/>
      <c r="OD248" s="47"/>
      <c r="OE248" s="47"/>
      <c r="OF248" s="47"/>
      <c r="OG248" s="47"/>
      <c r="OH248" s="47"/>
      <c r="OI248" s="47"/>
      <c r="OJ248" s="47"/>
      <c r="OK248" s="47"/>
      <c r="OL248" s="47"/>
      <c r="OM248" s="47"/>
      <c r="ON248" s="47"/>
      <c r="OO248" s="47"/>
      <c r="OP248" s="47"/>
      <c r="OQ248" s="47"/>
      <c r="OR248" s="47"/>
      <c r="OS248" s="47"/>
      <c r="OT248" s="47"/>
      <c r="OU248" s="47"/>
      <c r="OV248" s="47"/>
      <c r="OW248" s="47"/>
      <c r="OX248" s="47"/>
      <c r="OY248" s="47"/>
      <c r="OZ248" s="47"/>
      <c r="PA248" s="47"/>
      <c r="PB248" s="47"/>
      <c r="PC248" s="47"/>
      <c r="PD248" s="47"/>
      <c r="PE248" s="47"/>
      <c r="PF248" s="47"/>
      <c r="PG248" s="47"/>
      <c r="PH248" s="47"/>
      <c r="PI248" s="47"/>
      <c r="PJ248" s="47"/>
      <c r="PK248" s="47"/>
      <c r="PL248" s="47"/>
      <c r="PM248" s="47"/>
      <c r="PN248" s="47"/>
      <c r="PO248" s="47"/>
      <c r="PP248" s="47"/>
      <c r="PQ248" s="47"/>
      <c r="PR248" s="47"/>
      <c r="PS248" s="47"/>
      <c r="PT248" s="47"/>
      <c r="PU248" s="47"/>
      <c r="PV248" s="47"/>
      <c r="PW248" s="47"/>
      <c r="PX248" s="47"/>
      <c r="PY248" s="47"/>
      <c r="PZ248" s="47"/>
      <c r="QA248" s="47"/>
      <c r="QB248" s="47"/>
      <c r="QC248" s="47"/>
      <c r="QD248" s="47"/>
      <c r="QE248" s="47"/>
      <c r="QF248" s="47"/>
      <c r="QG248" s="47"/>
      <c r="QH248" s="47"/>
      <c r="QI248" s="47"/>
      <c r="QJ248" s="47"/>
      <c r="QK248" s="47"/>
      <c r="QL248" s="47"/>
      <c r="QM248" s="47"/>
      <c r="QN248" s="47"/>
      <c r="QO248" s="47"/>
      <c r="QP248" s="47"/>
      <c r="QQ248" s="47"/>
      <c r="QR248" s="47"/>
      <c r="QS248" s="47"/>
      <c r="QT248" s="47"/>
      <c r="QU248" s="47"/>
      <c r="QV248" s="47"/>
      <c r="QW248" s="47"/>
      <c r="QX248" s="47"/>
      <c r="QY248" s="47"/>
      <c r="QZ248" s="47"/>
      <c r="RA248" s="47"/>
      <c r="RB248" s="47"/>
      <c r="RC248" s="47"/>
      <c r="RD248" s="47"/>
      <c r="RE248" s="47"/>
      <c r="RF248" s="47"/>
      <c r="RG248" s="47"/>
      <c r="RH248" s="47"/>
      <c r="RI248" s="47"/>
      <c r="RJ248" s="47"/>
      <c r="RK248" s="47"/>
      <c r="RL248" s="47"/>
      <c r="RM248" s="47"/>
      <c r="RN248" s="47"/>
      <c r="RO248" s="47"/>
      <c r="RP248" s="47"/>
      <c r="RQ248" s="47"/>
      <c r="RR248" s="47"/>
      <c r="RS248" s="47"/>
      <c r="RT248" s="47"/>
      <c r="RU248" s="47"/>
      <c r="RV248" s="47"/>
      <c r="RW248" s="47"/>
      <c r="RX248" s="47"/>
      <c r="RY248" s="47"/>
      <c r="RZ248" s="47"/>
      <c r="SA248" s="47"/>
      <c r="SB248" s="47"/>
      <c r="SC248" s="47"/>
      <c r="SD248" s="47"/>
      <c r="SE248" s="47"/>
      <c r="SF248" s="47"/>
      <c r="SG248" s="47"/>
      <c r="SH248" s="47"/>
      <c r="SI248" s="47"/>
      <c r="SJ248" s="47"/>
      <c r="SK248" s="47"/>
      <c r="SL248" s="47"/>
      <c r="SM248" s="47"/>
      <c r="SN248" s="47"/>
      <c r="SO248" s="47"/>
      <c r="SP248" s="47"/>
      <c r="SQ248" s="47"/>
      <c r="SR248" s="47"/>
      <c r="SS248" s="47"/>
      <c r="ST248" s="47"/>
      <c r="SU248" s="47"/>
      <c r="SV248" s="47"/>
      <c r="SW248" s="47"/>
      <c r="SX248" s="47"/>
      <c r="SY248" s="47"/>
      <c r="SZ248" s="47"/>
      <c r="TA248" s="47"/>
      <c r="TB248" s="47"/>
      <c r="TC248" s="47"/>
      <c r="TD248" s="47"/>
      <c r="TE248" s="47"/>
      <c r="TF248" s="47"/>
      <c r="TG248" s="47"/>
      <c r="TH248" s="47"/>
      <c r="TI248" s="47"/>
      <c r="TJ248" s="47"/>
      <c r="TK248" s="47"/>
      <c r="TL248" s="47"/>
      <c r="TM248" s="47"/>
      <c r="TN248" s="47"/>
      <c r="TO248" s="47"/>
      <c r="TP248" s="47"/>
      <c r="TQ248" s="47"/>
      <c r="TR248" s="47"/>
      <c r="TS248" s="47"/>
      <c r="TT248" s="47"/>
      <c r="TU248" s="47"/>
      <c r="TV248" s="47"/>
      <c r="TW248" s="47"/>
      <c r="TX248" s="47"/>
      <c r="TY248" s="47"/>
      <c r="TZ248" s="47"/>
      <c r="UA248" s="47"/>
      <c r="UB248" s="47"/>
      <c r="UC248" s="47"/>
      <c r="UD248" s="47"/>
      <c r="UE248" s="47"/>
      <c r="UF248" s="47"/>
      <c r="UG248" s="47"/>
      <c r="UH248" s="47"/>
      <c r="UI248" s="47"/>
      <c r="UJ248" s="47"/>
      <c r="UK248" s="47"/>
      <c r="UL248" s="47"/>
      <c r="UM248" s="47"/>
      <c r="UN248" s="47"/>
      <c r="UO248" s="47"/>
      <c r="UP248" s="47"/>
      <c r="UQ248" s="47"/>
      <c r="UR248" s="47"/>
      <c r="US248" s="47"/>
      <c r="UT248" s="47"/>
      <c r="UU248" s="47"/>
      <c r="UV248" s="47"/>
      <c r="UW248" s="47"/>
      <c r="UX248" s="47"/>
      <c r="UY248" s="47"/>
      <c r="UZ248" s="47"/>
      <c r="VA248" s="47"/>
      <c r="VB248" s="47"/>
      <c r="VC248" s="47"/>
      <c r="VD248" s="47"/>
      <c r="VE248" s="47"/>
      <c r="VF248" s="47"/>
    </row>
    <row r="249" spans="1:578" s="41" customFormat="1" ht="25.5" customHeight="1" x14ac:dyDescent="0.2">
      <c r="A249" s="39" t="s">
        <v>359</v>
      </c>
      <c r="B249" s="90" t="str">
        <f>'дод 3'!A163</f>
        <v>7322</v>
      </c>
      <c r="C249" s="90" t="str">
        <f>'дод 3'!B163</f>
        <v>0443</v>
      </c>
      <c r="D249" s="42" t="str">
        <f>'дод 3'!C163</f>
        <v>Будівництво медичних установ та закладів</v>
      </c>
      <c r="E249" s="65">
        <v>0</v>
      </c>
      <c r="F249" s="65"/>
      <c r="G249" s="65"/>
      <c r="H249" s="65"/>
      <c r="I249" s="65"/>
      <c r="J249" s="65"/>
      <c r="K249" s="130"/>
      <c r="L249" s="65">
        <f t="shared" si="73"/>
        <v>7500000</v>
      </c>
      <c r="M249" s="65">
        <v>7500000</v>
      </c>
      <c r="N249" s="65"/>
      <c r="O249" s="65"/>
      <c r="P249" s="65"/>
      <c r="Q249" s="65">
        <f>4000000+100000+100000+3300000</f>
        <v>7500000</v>
      </c>
      <c r="R249" s="65">
        <f t="shared" si="74"/>
        <v>0</v>
      </c>
      <c r="S249" s="65"/>
      <c r="T249" s="65"/>
      <c r="U249" s="65"/>
      <c r="V249" s="65"/>
      <c r="W249" s="65"/>
      <c r="X249" s="132">
        <f t="shared" si="68"/>
        <v>0</v>
      </c>
      <c r="Y249" s="65">
        <f t="shared" si="69"/>
        <v>0</v>
      </c>
      <c r="Z249" s="203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7"/>
      <c r="JD249" s="47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7"/>
      <c r="NA249" s="47"/>
      <c r="NB249" s="47"/>
      <c r="NC249" s="47"/>
      <c r="ND249" s="47"/>
      <c r="NE249" s="47"/>
      <c r="NF249" s="47"/>
      <c r="NG249" s="47"/>
      <c r="NH249" s="47"/>
      <c r="NI249" s="47"/>
      <c r="NJ249" s="47"/>
      <c r="NK249" s="47"/>
      <c r="NL249" s="47"/>
      <c r="NM249" s="47"/>
      <c r="NN249" s="47"/>
      <c r="NO249" s="47"/>
      <c r="NP249" s="47"/>
      <c r="NQ249" s="47"/>
      <c r="NR249" s="47"/>
      <c r="NS249" s="47"/>
      <c r="NT249" s="47"/>
      <c r="NU249" s="47"/>
      <c r="NV249" s="47"/>
      <c r="NW249" s="47"/>
      <c r="NX249" s="47"/>
      <c r="NY249" s="47"/>
      <c r="NZ249" s="47"/>
      <c r="OA249" s="47"/>
      <c r="OB249" s="47"/>
      <c r="OC249" s="47"/>
      <c r="OD249" s="47"/>
      <c r="OE249" s="47"/>
      <c r="OF249" s="47"/>
      <c r="OG249" s="47"/>
      <c r="OH249" s="47"/>
      <c r="OI249" s="47"/>
      <c r="OJ249" s="47"/>
      <c r="OK249" s="47"/>
      <c r="OL249" s="47"/>
      <c r="OM249" s="47"/>
      <c r="ON249" s="47"/>
      <c r="OO249" s="47"/>
      <c r="OP249" s="47"/>
      <c r="OQ249" s="47"/>
      <c r="OR249" s="47"/>
      <c r="OS249" s="47"/>
      <c r="OT249" s="47"/>
      <c r="OU249" s="47"/>
      <c r="OV249" s="47"/>
      <c r="OW249" s="47"/>
      <c r="OX249" s="47"/>
      <c r="OY249" s="47"/>
      <c r="OZ249" s="47"/>
      <c r="PA249" s="47"/>
      <c r="PB249" s="47"/>
      <c r="PC249" s="47"/>
      <c r="PD249" s="47"/>
      <c r="PE249" s="47"/>
      <c r="PF249" s="47"/>
      <c r="PG249" s="47"/>
      <c r="PH249" s="47"/>
      <c r="PI249" s="47"/>
      <c r="PJ249" s="47"/>
      <c r="PK249" s="47"/>
      <c r="PL249" s="47"/>
      <c r="PM249" s="47"/>
      <c r="PN249" s="47"/>
      <c r="PO249" s="47"/>
      <c r="PP249" s="47"/>
      <c r="PQ249" s="47"/>
      <c r="PR249" s="47"/>
      <c r="PS249" s="47"/>
      <c r="PT249" s="47"/>
      <c r="PU249" s="47"/>
      <c r="PV249" s="47"/>
      <c r="PW249" s="47"/>
      <c r="PX249" s="47"/>
      <c r="PY249" s="47"/>
      <c r="PZ249" s="47"/>
      <c r="QA249" s="47"/>
      <c r="QB249" s="47"/>
      <c r="QC249" s="47"/>
      <c r="QD249" s="47"/>
      <c r="QE249" s="47"/>
      <c r="QF249" s="47"/>
      <c r="QG249" s="47"/>
      <c r="QH249" s="47"/>
      <c r="QI249" s="47"/>
      <c r="QJ249" s="47"/>
      <c r="QK249" s="47"/>
      <c r="QL249" s="47"/>
      <c r="QM249" s="47"/>
      <c r="QN249" s="47"/>
      <c r="QO249" s="47"/>
      <c r="QP249" s="47"/>
      <c r="QQ249" s="47"/>
      <c r="QR249" s="47"/>
      <c r="QS249" s="47"/>
      <c r="QT249" s="47"/>
      <c r="QU249" s="47"/>
      <c r="QV249" s="47"/>
      <c r="QW249" s="47"/>
      <c r="QX249" s="47"/>
      <c r="QY249" s="47"/>
      <c r="QZ249" s="47"/>
      <c r="RA249" s="47"/>
      <c r="RB249" s="47"/>
      <c r="RC249" s="47"/>
      <c r="RD249" s="47"/>
      <c r="RE249" s="47"/>
      <c r="RF249" s="47"/>
      <c r="RG249" s="47"/>
      <c r="RH249" s="47"/>
      <c r="RI249" s="47"/>
      <c r="RJ249" s="47"/>
      <c r="RK249" s="47"/>
      <c r="RL249" s="47"/>
      <c r="RM249" s="47"/>
      <c r="RN249" s="47"/>
      <c r="RO249" s="47"/>
      <c r="RP249" s="47"/>
      <c r="RQ249" s="47"/>
      <c r="RR249" s="47"/>
      <c r="RS249" s="47"/>
      <c r="RT249" s="47"/>
      <c r="RU249" s="47"/>
      <c r="RV249" s="47"/>
      <c r="RW249" s="47"/>
      <c r="RX249" s="47"/>
      <c r="RY249" s="47"/>
      <c r="RZ249" s="47"/>
      <c r="SA249" s="47"/>
      <c r="SB249" s="47"/>
      <c r="SC249" s="47"/>
      <c r="SD249" s="47"/>
      <c r="SE249" s="47"/>
      <c r="SF249" s="47"/>
      <c r="SG249" s="47"/>
      <c r="SH249" s="47"/>
      <c r="SI249" s="47"/>
      <c r="SJ249" s="47"/>
      <c r="SK249" s="47"/>
      <c r="SL249" s="47"/>
      <c r="SM249" s="47"/>
      <c r="SN249" s="47"/>
      <c r="SO249" s="47"/>
      <c r="SP249" s="47"/>
      <c r="SQ249" s="47"/>
      <c r="SR249" s="47"/>
      <c r="SS249" s="47"/>
      <c r="ST249" s="47"/>
      <c r="SU249" s="47"/>
      <c r="SV249" s="47"/>
      <c r="SW249" s="47"/>
      <c r="SX249" s="47"/>
      <c r="SY249" s="47"/>
      <c r="SZ249" s="47"/>
      <c r="TA249" s="47"/>
      <c r="TB249" s="47"/>
      <c r="TC249" s="47"/>
      <c r="TD249" s="47"/>
      <c r="TE249" s="47"/>
      <c r="TF249" s="47"/>
      <c r="TG249" s="47"/>
      <c r="TH249" s="47"/>
      <c r="TI249" s="47"/>
      <c r="TJ249" s="47"/>
      <c r="TK249" s="47"/>
      <c r="TL249" s="47"/>
      <c r="TM249" s="47"/>
      <c r="TN249" s="47"/>
      <c r="TO249" s="47"/>
      <c r="TP249" s="47"/>
      <c r="TQ249" s="47"/>
      <c r="TR249" s="47"/>
      <c r="TS249" s="47"/>
      <c r="TT249" s="47"/>
      <c r="TU249" s="47"/>
      <c r="TV249" s="47"/>
      <c r="TW249" s="47"/>
      <c r="TX249" s="47"/>
      <c r="TY249" s="47"/>
      <c r="TZ249" s="47"/>
      <c r="UA249" s="47"/>
      <c r="UB249" s="47"/>
      <c r="UC249" s="47"/>
      <c r="UD249" s="47"/>
      <c r="UE249" s="47"/>
      <c r="UF249" s="47"/>
      <c r="UG249" s="47"/>
      <c r="UH249" s="47"/>
      <c r="UI249" s="47"/>
      <c r="UJ249" s="47"/>
      <c r="UK249" s="47"/>
      <c r="UL249" s="47"/>
      <c r="UM249" s="47"/>
      <c r="UN249" s="47"/>
      <c r="UO249" s="47"/>
      <c r="UP249" s="47"/>
      <c r="UQ249" s="47"/>
      <c r="UR249" s="47"/>
      <c r="US249" s="47"/>
      <c r="UT249" s="47"/>
      <c r="UU249" s="47"/>
      <c r="UV249" s="47"/>
      <c r="UW249" s="47"/>
      <c r="UX249" s="47"/>
      <c r="UY249" s="47"/>
      <c r="UZ249" s="47"/>
      <c r="VA249" s="47"/>
      <c r="VB249" s="47"/>
      <c r="VC249" s="47"/>
      <c r="VD249" s="47"/>
      <c r="VE249" s="47"/>
      <c r="VF249" s="47"/>
    </row>
    <row r="250" spans="1:578" s="41" customFormat="1" ht="36" customHeight="1" x14ac:dyDescent="0.2">
      <c r="A250" s="39" t="s">
        <v>361</v>
      </c>
      <c r="B250" s="90" t="str">
        <f>'дод 3'!A164</f>
        <v>7325</v>
      </c>
      <c r="C250" s="90" t="str">
        <f>'дод 3'!B164</f>
        <v>0443</v>
      </c>
      <c r="D250" s="42" t="str">
        <f>'дод 3'!C164</f>
        <v>Будівництво споруд, установ та закладів фізичної культури і спорту</v>
      </c>
      <c r="E250" s="65">
        <v>0</v>
      </c>
      <c r="F250" s="65"/>
      <c r="G250" s="65"/>
      <c r="H250" s="65"/>
      <c r="I250" s="65"/>
      <c r="J250" s="65"/>
      <c r="K250" s="130"/>
      <c r="L250" s="65">
        <f t="shared" si="73"/>
        <v>9181651</v>
      </c>
      <c r="M250" s="65">
        <v>9181651</v>
      </c>
      <c r="N250" s="65"/>
      <c r="O250" s="65"/>
      <c r="P250" s="65"/>
      <c r="Q250" s="65">
        <f>10000000-2000000+1181651</f>
        <v>9181651</v>
      </c>
      <c r="R250" s="65">
        <f t="shared" si="74"/>
        <v>0</v>
      </c>
      <c r="S250" s="65"/>
      <c r="T250" s="65"/>
      <c r="U250" s="65"/>
      <c r="V250" s="65"/>
      <c r="W250" s="65"/>
      <c r="X250" s="132">
        <f t="shared" si="68"/>
        <v>0</v>
      </c>
      <c r="Y250" s="65">
        <f t="shared" si="69"/>
        <v>0</v>
      </c>
      <c r="Z250" s="203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  <c r="OB250" s="47"/>
      <c r="OC250" s="47"/>
      <c r="OD250" s="47"/>
      <c r="OE250" s="47"/>
      <c r="OF250" s="47"/>
      <c r="OG250" s="47"/>
      <c r="OH250" s="47"/>
      <c r="OI250" s="47"/>
      <c r="OJ250" s="47"/>
      <c r="OK250" s="47"/>
      <c r="OL250" s="47"/>
      <c r="OM250" s="47"/>
      <c r="ON250" s="47"/>
      <c r="OO250" s="47"/>
      <c r="OP250" s="47"/>
      <c r="OQ250" s="47"/>
      <c r="OR250" s="47"/>
      <c r="OS250" s="47"/>
      <c r="OT250" s="47"/>
      <c r="OU250" s="47"/>
      <c r="OV250" s="47"/>
      <c r="OW250" s="47"/>
      <c r="OX250" s="47"/>
      <c r="OY250" s="47"/>
      <c r="OZ250" s="47"/>
      <c r="PA250" s="47"/>
      <c r="PB250" s="47"/>
      <c r="PC250" s="47"/>
      <c r="PD250" s="47"/>
      <c r="PE250" s="47"/>
      <c r="PF250" s="47"/>
      <c r="PG250" s="47"/>
      <c r="PH250" s="47"/>
      <c r="PI250" s="47"/>
      <c r="PJ250" s="47"/>
      <c r="PK250" s="47"/>
      <c r="PL250" s="47"/>
      <c r="PM250" s="47"/>
      <c r="PN250" s="47"/>
      <c r="PO250" s="47"/>
      <c r="PP250" s="47"/>
      <c r="PQ250" s="47"/>
      <c r="PR250" s="47"/>
      <c r="PS250" s="47"/>
      <c r="PT250" s="47"/>
      <c r="PU250" s="47"/>
      <c r="PV250" s="47"/>
      <c r="PW250" s="47"/>
      <c r="PX250" s="47"/>
      <c r="PY250" s="47"/>
      <c r="PZ250" s="47"/>
      <c r="QA250" s="47"/>
      <c r="QB250" s="47"/>
      <c r="QC250" s="47"/>
      <c r="QD250" s="47"/>
      <c r="QE250" s="47"/>
      <c r="QF250" s="47"/>
      <c r="QG250" s="47"/>
      <c r="QH250" s="47"/>
      <c r="QI250" s="47"/>
      <c r="QJ250" s="47"/>
      <c r="QK250" s="47"/>
      <c r="QL250" s="47"/>
      <c r="QM250" s="47"/>
      <c r="QN250" s="47"/>
      <c r="QO250" s="47"/>
      <c r="QP250" s="47"/>
      <c r="QQ250" s="47"/>
      <c r="QR250" s="47"/>
      <c r="QS250" s="47"/>
      <c r="QT250" s="47"/>
      <c r="QU250" s="47"/>
      <c r="QV250" s="47"/>
      <c r="QW250" s="47"/>
      <c r="QX250" s="47"/>
      <c r="QY250" s="47"/>
      <c r="QZ250" s="47"/>
      <c r="RA250" s="47"/>
      <c r="RB250" s="47"/>
      <c r="RC250" s="47"/>
      <c r="RD250" s="47"/>
      <c r="RE250" s="47"/>
      <c r="RF250" s="47"/>
      <c r="RG250" s="47"/>
      <c r="RH250" s="47"/>
      <c r="RI250" s="47"/>
      <c r="RJ250" s="47"/>
      <c r="RK250" s="47"/>
      <c r="RL250" s="47"/>
      <c r="RM250" s="47"/>
      <c r="RN250" s="47"/>
      <c r="RO250" s="47"/>
      <c r="RP250" s="47"/>
      <c r="RQ250" s="47"/>
      <c r="RR250" s="47"/>
      <c r="RS250" s="47"/>
      <c r="RT250" s="47"/>
      <c r="RU250" s="47"/>
      <c r="RV250" s="47"/>
      <c r="RW250" s="47"/>
      <c r="RX250" s="47"/>
      <c r="RY250" s="47"/>
      <c r="RZ250" s="47"/>
      <c r="SA250" s="47"/>
      <c r="SB250" s="47"/>
      <c r="SC250" s="47"/>
      <c r="SD250" s="47"/>
      <c r="SE250" s="47"/>
      <c r="SF250" s="47"/>
      <c r="SG250" s="47"/>
      <c r="SH250" s="47"/>
      <c r="SI250" s="47"/>
      <c r="SJ250" s="47"/>
      <c r="SK250" s="47"/>
      <c r="SL250" s="47"/>
      <c r="SM250" s="47"/>
      <c r="SN250" s="47"/>
      <c r="SO250" s="47"/>
      <c r="SP250" s="47"/>
      <c r="SQ250" s="47"/>
      <c r="SR250" s="47"/>
      <c r="SS250" s="47"/>
      <c r="ST250" s="47"/>
      <c r="SU250" s="47"/>
      <c r="SV250" s="47"/>
      <c r="SW250" s="47"/>
      <c r="SX250" s="47"/>
      <c r="SY250" s="47"/>
      <c r="SZ250" s="47"/>
      <c r="TA250" s="47"/>
      <c r="TB250" s="47"/>
      <c r="TC250" s="47"/>
      <c r="TD250" s="47"/>
      <c r="TE250" s="47"/>
      <c r="TF250" s="47"/>
      <c r="TG250" s="47"/>
      <c r="TH250" s="47"/>
      <c r="TI250" s="47"/>
      <c r="TJ250" s="47"/>
      <c r="TK250" s="47"/>
      <c r="TL250" s="47"/>
      <c r="TM250" s="47"/>
      <c r="TN250" s="47"/>
      <c r="TO250" s="47"/>
      <c r="TP250" s="47"/>
      <c r="TQ250" s="47"/>
      <c r="TR250" s="47"/>
      <c r="TS250" s="47"/>
      <c r="TT250" s="47"/>
      <c r="TU250" s="47"/>
      <c r="TV250" s="47"/>
      <c r="TW250" s="47"/>
      <c r="TX250" s="47"/>
      <c r="TY250" s="47"/>
      <c r="TZ250" s="47"/>
      <c r="UA250" s="47"/>
      <c r="UB250" s="47"/>
      <c r="UC250" s="47"/>
      <c r="UD250" s="47"/>
      <c r="UE250" s="47"/>
      <c r="UF250" s="47"/>
      <c r="UG250" s="47"/>
      <c r="UH250" s="47"/>
      <c r="UI250" s="47"/>
      <c r="UJ250" s="47"/>
      <c r="UK250" s="47"/>
      <c r="UL250" s="47"/>
      <c r="UM250" s="47"/>
      <c r="UN250" s="47"/>
      <c r="UO250" s="47"/>
      <c r="UP250" s="47"/>
      <c r="UQ250" s="47"/>
      <c r="UR250" s="47"/>
      <c r="US250" s="47"/>
      <c r="UT250" s="47"/>
      <c r="UU250" s="47"/>
      <c r="UV250" s="47"/>
      <c r="UW250" s="47"/>
      <c r="UX250" s="47"/>
      <c r="UY250" s="47"/>
      <c r="UZ250" s="47"/>
      <c r="VA250" s="47"/>
      <c r="VB250" s="47"/>
      <c r="VC250" s="47"/>
      <c r="VD250" s="47"/>
      <c r="VE250" s="47"/>
      <c r="VF250" s="47"/>
    </row>
    <row r="251" spans="1:578" s="41" customFormat="1" ht="26.25" customHeight="1" x14ac:dyDescent="0.2">
      <c r="A251" s="39" t="s">
        <v>363</v>
      </c>
      <c r="B251" s="90" t="str">
        <f>'дод 3'!A165</f>
        <v>7330</v>
      </c>
      <c r="C251" s="90" t="str">
        <f>'дод 3'!B165</f>
        <v>0443</v>
      </c>
      <c r="D251" s="42" t="str">
        <f>'дод 3'!C165</f>
        <v>Будівництво інших об'єктів комунальної власності</v>
      </c>
      <c r="E251" s="65">
        <v>0</v>
      </c>
      <c r="F251" s="65"/>
      <c r="G251" s="65"/>
      <c r="H251" s="65"/>
      <c r="I251" s="65"/>
      <c r="J251" s="65"/>
      <c r="K251" s="130"/>
      <c r="L251" s="65">
        <f t="shared" si="73"/>
        <v>29399519</v>
      </c>
      <c r="M251" s="65">
        <v>29399519</v>
      </c>
      <c r="N251" s="65"/>
      <c r="O251" s="65"/>
      <c r="P251" s="65"/>
      <c r="Q251" s="65">
        <f>44100000-6900000-3000000-8562214+3761733</f>
        <v>29399519</v>
      </c>
      <c r="R251" s="65">
        <f t="shared" si="74"/>
        <v>2092238</v>
      </c>
      <c r="S251" s="65">
        <v>2092238</v>
      </c>
      <c r="T251" s="65"/>
      <c r="U251" s="65"/>
      <c r="V251" s="65"/>
      <c r="W251" s="65">
        <v>2092238</v>
      </c>
      <c r="X251" s="132">
        <f t="shared" si="68"/>
        <v>7.1165722133072995</v>
      </c>
      <c r="Y251" s="65">
        <f t="shared" si="69"/>
        <v>2092238</v>
      </c>
      <c r="Z251" s="203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  <c r="JB251" s="47"/>
      <c r="JC251" s="47"/>
      <c r="JD251" s="47"/>
      <c r="JE251" s="47"/>
      <c r="JF251" s="47"/>
      <c r="JG251" s="47"/>
      <c r="JH251" s="47"/>
      <c r="JI251" s="47"/>
      <c r="JJ251" s="47"/>
      <c r="JK251" s="47"/>
      <c r="JL251" s="47"/>
      <c r="JM251" s="47"/>
      <c r="JN251" s="47"/>
      <c r="JO251" s="47"/>
      <c r="JP251" s="47"/>
      <c r="JQ251" s="47"/>
      <c r="JR251" s="47"/>
      <c r="JS251" s="47"/>
      <c r="JT251" s="47"/>
      <c r="JU251" s="47"/>
      <c r="JV251" s="47"/>
      <c r="JW251" s="47"/>
      <c r="JX251" s="47"/>
      <c r="JY251" s="47"/>
      <c r="JZ251" s="47"/>
      <c r="KA251" s="47"/>
      <c r="KB251" s="47"/>
      <c r="KC251" s="47"/>
      <c r="KD251" s="47"/>
      <c r="KE251" s="47"/>
      <c r="KF251" s="47"/>
      <c r="KG251" s="47"/>
      <c r="KH251" s="47"/>
      <c r="KI251" s="47"/>
      <c r="KJ251" s="47"/>
      <c r="KK251" s="47"/>
      <c r="KL251" s="47"/>
      <c r="KM251" s="47"/>
      <c r="KN251" s="47"/>
      <c r="KO251" s="47"/>
      <c r="KP251" s="47"/>
      <c r="KQ251" s="47"/>
      <c r="KR251" s="47"/>
      <c r="KS251" s="47"/>
      <c r="KT251" s="47"/>
      <c r="KU251" s="47"/>
      <c r="KV251" s="47"/>
      <c r="KW251" s="47"/>
      <c r="KX251" s="47"/>
      <c r="KY251" s="47"/>
      <c r="KZ251" s="47"/>
      <c r="LA251" s="47"/>
      <c r="LB251" s="47"/>
      <c r="LC251" s="47"/>
      <c r="LD251" s="47"/>
      <c r="LE251" s="47"/>
      <c r="LF251" s="47"/>
      <c r="LG251" s="47"/>
      <c r="LH251" s="47"/>
      <c r="LI251" s="47"/>
      <c r="LJ251" s="47"/>
      <c r="LK251" s="47"/>
      <c r="LL251" s="47"/>
      <c r="LM251" s="47"/>
      <c r="LN251" s="47"/>
      <c r="LO251" s="47"/>
      <c r="LP251" s="47"/>
      <c r="LQ251" s="47"/>
      <c r="LR251" s="47"/>
      <c r="LS251" s="47"/>
      <c r="LT251" s="47"/>
      <c r="LU251" s="47"/>
      <c r="LV251" s="47"/>
      <c r="LW251" s="47"/>
      <c r="LX251" s="47"/>
      <c r="LY251" s="47"/>
      <c r="LZ251" s="47"/>
      <c r="MA251" s="47"/>
      <c r="MB251" s="47"/>
      <c r="MC251" s="47"/>
      <c r="MD251" s="47"/>
      <c r="ME251" s="47"/>
      <c r="MF251" s="47"/>
      <c r="MG251" s="47"/>
      <c r="MH251" s="47"/>
      <c r="MI251" s="47"/>
      <c r="MJ251" s="47"/>
      <c r="MK251" s="47"/>
      <c r="ML251" s="47"/>
      <c r="MM251" s="47"/>
      <c r="MN251" s="47"/>
      <c r="MO251" s="47"/>
      <c r="MP251" s="47"/>
      <c r="MQ251" s="47"/>
      <c r="MR251" s="47"/>
      <c r="MS251" s="47"/>
      <c r="MT251" s="47"/>
      <c r="MU251" s="47"/>
      <c r="MV251" s="47"/>
      <c r="MW251" s="47"/>
      <c r="MX251" s="47"/>
      <c r="MY251" s="47"/>
      <c r="MZ251" s="47"/>
      <c r="NA251" s="47"/>
      <c r="NB251" s="47"/>
      <c r="NC251" s="47"/>
      <c r="ND251" s="47"/>
      <c r="NE251" s="47"/>
      <c r="NF251" s="47"/>
      <c r="NG251" s="47"/>
      <c r="NH251" s="47"/>
      <c r="NI251" s="47"/>
      <c r="NJ251" s="47"/>
      <c r="NK251" s="47"/>
      <c r="NL251" s="47"/>
      <c r="NM251" s="47"/>
      <c r="NN251" s="47"/>
      <c r="NO251" s="47"/>
      <c r="NP251" s="47"/>
      <c r="NQ251" s="47"/>
      <c r="NR251" s="47"/>
      <c r="NS251" s="47"/>
      <c r="NT251" s="47"/>
      <c r="NU251" s="47"/>
      <c r="NV251" s="47"/>
      <c r="NW251" s="47"/>
      <c r="NX251" s="47"/>
      <c r="NY251" s="47"/>
      <c r="NZ251" s="47"/>
      <c r="OA251" s="47"/>
      <c r="OB251" s="47"/>
      <c r="OC251" s="47"/>
      <c r="OD251" s="47"/>
      <c r="OE251" s="47"/>
      <c r="OF251" s="47"/>
      <c r="OG251" s="47"/>
      <c r="OH251" s="47"/>
      <c r="OI251" s="47"/>
      <c r="OJ251" s="47"/>
      <c r="OK251" s="47"/>
      <c r="OL251" s="47"/>
      <c r="OM251" s="47"/>
      <c r="ON251" s="47"/>
      <c r="OO251" s="47"/>
      <c r="OP251" s="47"/>
      <c r="OQ251" s="47"/>
      <c r="OR251" s="47"/>
      <c r="OS251" s="47"/>
      <c r="OT251" s="47"/>
      <c r="OU251" s="47"/>
      <c r="OV251" s="47"/>
      <c r="OW251" s="47"/>
      <c r="OX251" s="47"/>
      <c r="OY251" s="47"/>
      <c r="OZ251" s="47"/>
      <c r="PA251" s="47"/>
      <c r="PB251" s="47"/>
      <c r="PC251" s="47"/>
      <c r="PD251" s="47"/>
      <c r="PE251" s="47"/>
      <c r="PF251" s="47"/>
      <c r="PG251" s="47"/>
      <c r="PH251" s="47"/>
      <c r="PI251" s="47"/>
      <c r="PJ251" s="47"/>
      <c r="PK251" s="47"/>
      <c r="PL251" s="47"/>
      <c r="PM251" s="47"/>
      <c r="PN251" s="47"/>
      <c r="PO251" s="47"/>
      <c r="PP251" s="47"/>
      <c r="PQ251" s="47"/>
      <c r="PR251" s="47"/>
      <c r="PS251" s="47"/>
      <c r="PT251" s="47"/>
      <c r="PU251" s="47"/>
      <c r="PV251" s="47"/>
      <c r="PW251" s="47"/>
      <c r="PX251" s="47"/>
      <c r="PY251" s="47"/>
      <c r="PZ251" s="47"/>
      <c r="QA251" s="47"/>
      <c r="QB251" s="47"/>
      <c r="QC251" s="47"/>
      <c r="QD251" s="47"/>
      <c r="QE251" s="47"/>
      <c r="QF251" s="47"/>
      <c r="QG251" s="47"/>
      <c r="QH251" s="47"/>
      <c r="QI251" s="47"/>
      <c r="QJ251" s="47"/>
      <c r="QK251" s="47"/>
      <c r="QL251" s="47"/>
      <c r="QM251" s="47"/>
      <c r="QN251" s="47"/>
      <c r="QO251" s="47"/>
      <c r="QP251" s="47"/>
      <c r="QQ251" s="47"/>
      <c r="QR251" s="47"/>
      <c r="QS251" s="47"/>
      <c r="QT251" s="47"/>
      <c r="QU251" s="47"/>
      <c r="QV251" s="47"/>
      <c r="QW251" s="47"/>
      <c r="QX251" s="47"/>
      <c r="QY251" s="47"/>
      <c r="QZ251" s="47"/>
      <c r="RA251" s="47"/>
      <c r="RB251" s="47"/>
      <c r="RC251" s="47"/>
      <c r="RD251" s="47"/>
      <c r="RE251" s="47"/>
      <c r="RF251" s="47"/>
      <c r="RG251" s="47"/>
      <c r="RH251" s="47"/>
      <c r="RI251" s="47"/>
      <c r="RJ251" s="47"/>
      <c r="RK251" s="47"/>
      <c r="RL251" s="47"/>
      <c r="RM251" s="47"/>
      <c r="RN251" s="47"/>
      <c r="RO251" s="47"/>
      <c r="RP251" s="47"/>
      <c r="RQ251" s="47"/>
      <c r="RR251" s="47"/>
      <c r="RS251" s="47"/>
      <c r="RT251" s="47"/>
      <c r="RU251" s="47"/>
      <c r="RV251" s="47"/>
      <c r="RW251" s="47"/>
      <c r="RX251" s="47"/>
      <c r="RY251" s="47"/>
      <c r="RZ251" s="47"/>
      <c r="SA251" s="47"/>
      <c r="SB251" s="47"/>
      <c r="SC251" s="47"/>
      <c r="SD251" s="47"/>
      <c r="SE251" s="47"/>
      <c r="SF251" s="47"/>
      <c r="SG251" s="47"/>
      <c r="SH251" s="47"/>
      <c r="SI251" s="47"/>
      <c r="SJ251" s="47"/>
      <c r="SK251" s="47"/>
      <c r="SL251" s="47"/>
      <c r="SM251" s="47"/>
      <c r="SN251" s="47"/>
      <c r="SO251" s="47"/>
      <c r="SP251" s="47"/>
      <c r="SQ251" s="47"/>
      <c r="SR251" s="47"/>
      <c r="SS251" s="47"/>
      <c r="ST251" s="47"/>
      <c r="SU251" s="47"/>
      <c r="SV251" s="47"/>
      <c r="SW251" s="47"/>
      <c r="SX251" s="47"/>
      <c r="SY251" s="47"/>
      <c r="SZ251" s="47"/>
      <c r="TA251" s="47"/>
      <c r="TB251" s="47"/>
      <c r="TC251" s="47"/>
      <c r="TD251" s="47"/>
      <c r="TE251" s="47"/>
      <c r="TF251" s="47"/>
      <c r="TG251" s="47"/>
      <c r="TH251" s="47"/>
      <c r="TI251" s="47"/>
      <c r="TJ251" s="47"/>
      <c r="TK251" s="47"/>
      <c r="TL251" s="47"/>
      <c r="TM251" s="47"/>
      <c r="TN251" s="47"/>
      <c r="TO251" s="47"/>
      <c r="TP251" s="47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</row>
    <row r="252" spans="1:578" s="41" customFormat="1" ht="31.5" customHeight="1" x14ac:dyDescent="0.2">
      <c r="A252" s="39" t="s">
        <v>484</v>
      </c>
      <c r="B252" s="90" t="str">
        <f>'дод 3'!A166</f>
        <v>7340</v>
      </c>
      <c r="C252" s="90" t="str">
        <f>'дод 3'!B166</f>
        <v>0443</v>
      </c>
      <c r="D252" s="42" t="str">
        <f>'дод 3'!C166</f>
        <v>Проектування, реставрація та охорона пам'яток архітектури</v>
      </c>
      <c r="E252" s="65">
        <v>0</v>
      </c>
      <c r="F252" s="65"/>
      <c r="G252" s="65"/>
      <c r="H252" s="65"/>
      <c r="I252" s="65"/>
      <c r="J252" s="65"/>
      <c r="K252" s="130"/>
      <c r="L252" s="65">
        <f t="shared" si="73"/>
        <v>500000</v>
      </c>
      <c r="M252" s="65">
        <v>500000</v>
      </c>
      <c r="N252" s="65"/>
      <c r="O252" s="65"/>
      <c r="P252" s="65"/>
      <c r="Q252" s="65">
        <v>500000</v>
      </c>
      <c r="R252" s="65">
        <f t="shared" si="74"/>
        <v>0</v>
      </c>
      <c r="S252" s="65"/>
      <c r="T252" s="65"/>
      <c r="U252" s="65"/>
      <c r="V252" s="65"/>
      <c r="W252" s="65"/>
      <c r="X252" s="132">
        <f t="shared" si="68"/>
        <v>0</v>
      </c>
      <c r="Y252" s="65">
        <f t="shared" si="69"/>
        <v>0</v>
      </c>
      <c r="Z252" s="203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7"/>
      <c r="JD252" s="47"/>
      <c r="JE252" s="47"/>
      <c r="JF252" s="47"/>
      <c r="JG252" s="47"/>
      <c r="JH252" s="47"/>
      <c r="JI252" s="47"/>
      <c r="JJ252" s="47"/>
      <c r="JK252" s="47"/>
      <c r="JL252" s="47"/>
      <c r="JM252" s="47"/>
      <c r="JN252" s="47"/>
      <c r="JO252" s="47"/>
      <c r="JP252" s="47"/>
      <c r="JQ252" s="47"/>
      <c r="JR252" s="47"/>
      <c r="JS252" s="47"/>
      <c r="JT252" s="47"/>
      <c r="JU252" s="47"/>
      <c r="JV252" s="47"/>
      <c r="JW252" s="47"/>
      <c r="JX252" s="47"/>
      <c r="JY252" s="47"/>
      <c r="JZ252" s="47"/>
      <c r="KA252" s="47"/>
      <c r="KB252" s="47"/>
      <c r="KC252" s="47"/>
      <c r="KD252" s="47"/>
      <c r="KE252" s="47"/>
      <c r="KF252" s="47"/>
      <c r="KG252" s="47"/>
      <c r="KH252" s="47"/>
      <c r="KI252" s="47"/>
      <c r="KJ252" s="47"/>
      <c r="KK252" s="47"/>
      <c r="KL252" s="47"/>
      <c r="KM252" s="47"/>
      <c r="KN252" s="47"/>
      <c r="KO252" s="47"/>
      <c r="KP252" s="47"/>
      <c r="KQ252" s="47"/>
      <c r="KR252" s="47"/>
      <c r="KS252" s="47"/>
      <c r="KT252" s="47"/>
      <c r="KU252" s="47"/>
      <c r="KV252" s="47"/>
      <c r="KW252" s="47"/>
      <c r="KX252" s="47"/>
      <c r="KY252" s="47"/>
      <c r="KZ252" s="47"/>
      <c r="LA252" s="47"/>
      <c r="LB252" s="47"/>
      <c r="LC252" s="47"/>
      <c r="LD252" s="47"/>
      <c r="LE252" s="47"/>
      <c r="LF252" s="47"/>
      <c r="LG252" s="47"/>
      <c r="LH252" s="47"/>
      <c r="LI252" s="47"/>
      <c r="LJ252" s="47"/>
      <c r="LK252" s="47"/>
      <c r="LL252" s="47"/>
      <c r="LM252" s="47"/>
      <c r="LN252" s="47"/>
      <c r="LO252" s="47"/>
      <c r="LP252" s="47"/>
      <c r="LQ252" s="47"/>
      <c r="LR252" s="47"/>
      <c r="LS252" s="47"/>
      <c r="LT252" s="47"/>
      <c r="LU252" s="47"/>
      <c r="LV252" s="47"/>
      <c r="LW252" s="47"/>
      <c r="LX252" s="47"/>
      <c r="LY252" s="47"/>
      <c r="LZ252" s="47"/>
      <c r="MA252" s="47"/>
      <c r="MB252" s="47"/>
      <c r="MC252" s="47"/>
      <c r="MD252" s="47"/>
      <c r="ME252" s="47"/>
      <c r="MF252" s="47"/>
      <c r="MG252" s="47"/>
      <c r="MH252" s="47"/>
      <c r="MI252" s="47"/>
      <c r="MJ252" s="47"/>
      <c r="MK252" s="47"/>
      <c r="ML252" s="47"/>
      <c r="MM252" s="47"/>
      <c r="MN252" s="47"/>
      <c r="MO252" s="47"/>
      <c r="MP252" s="47"/>
      <c r="MQ252" s="47"/>
      <c r="MR252" s="47"/>
      <c r="MS252" s="47"/>
      <c r="MT252" s="47"/>
      <c r="MU252" s="47"/>
      <c r="MV252" s="47"/>
      <c r="MW252" s="47"/>
      <c r="MX252" s="47"/>
      <c r="MY252" s="47"/>
      <c r="MZ252" s="47"/>
      <c r="NA252" s="47"/>
      <c r="NB252" s="47"/>
      <c r="NC252" s="47"/>
      <c r="ND252" s="47"/>
      <c r="NE252" s="47"/>
      <c r="NF252" s="47"/>
      <c r="NG252" s="47"/>
      <c r="NH252" s="47"/>
      <c r="NI252" s="47"/>
      <c r="NJ252" s="47"/>
      <c r="NK252" s="47"/>
      <c r="NL252" s="47"/>
      <c r="NM252" s="47"/>
      <c r="NN252" s="47"/>
      <c r="NO252" s="47"/>
      <c r="NP252" s="47"/>
      <c r="NQ252" s="47"/>
      <c r="NR252" s="47"/>
      <c r="NS252" s="47"/>
      <c r="NT252" s="47"/>
      <c r="NU252" s="47"/>
      <c r="NV252" s="47"/>
      <c r="NW252" s="47"/>
      <c r="NX252" s="47"/>
      <c r="NY252" s="47"/>
      <c r="NZ252" s="47"/>
      <c r="OA252" s="47"/>
      <c r="OB252" s="47"/>
      <c r="OC252" s="47"/>
      <c r="OD252" s="47"/>
      <c r="OE252" s="47"/>
      <c r="OF252" s="47"/>
      <c r="OG252" s="47"/>
      <c r="OH252" s="47"/>
      <c r="OI252" s="47"/>
      <c r="OJ252" s="47"/>
      <c r="OK252" s="47"/>
      <c r="OL252" s="47"/>
      <c r="OM252" s="47"/>
      <c r="ON252" s="47"/>
      <c r="OO252" s="47"/>
      <c r="OP252" s="47"/>
      <c r="OQ252" s="47"/>
      <c r="OR252" s="47"/>
      <c r="OS252" s="47"/>
      <c r="OT252" s="47"/>
      <c r="OU252" s="47"/>
      <c r="OV252" s="47"/>
      <c r="OW252" s="47"/>
      <c r="OX252" s="47"/>
      <c r="OY252" s="47"/>
      <c r="OZ252" s="47"/>
      <c r="PA252" s="47"/>
      <c r="PB252" s="47"/>
      <c r="PC252" s="47"/>
      <c r="PD252" s="47"/>
      <c r="PE252" s="47"/>
      <c r="PF252" s="47"/>
      <c r="PG252" s="47"/>
      <c r="PH252" s="47"/>
      <c r="PI252" s="47"/>
      <c r="PJ252" s="47"/>
      <c r="PK252" s="47"/>
      <c r="PL252" s="47"/>
      <c r="PM252" s="47"/>
      <c r="PN252" s="47"/>
      <c r="PO252" s="47"/>
      <c r="PP252" s="47"/>
      <c r="PQ252" s="47"/>
      <c r="PR252" s="47"/>
      <c r="PS252" s="47"/>
      <c r="PT252" s="47"/>
      <c r="PU252" s="47"/>
      <c r="PV252" s="47"/>
      <c r="PW252" s="47"/>
      <c r="PX252" s="47"/>
      <c r="PY252" s="47"/>
      <c r="PZ252" s="47"/>
      <c r="QA252" s="47"/>
      <c r="QB252" s="47"/>
      <c r="QC252" s="47"/>
      <c r="QD252" s="47"/>
      <c r="QE252" s="47"/>
      <c r="QF252" s="47"/>
      <c r="QG252" s="47"/>
      <c r="QH252" s="47"/>
      <c r="QI252" s="47"/>
      <c r="QJ252" s="47"/>
      <c r="QK252" s="47"/>
      <c r="QL252" s="47"/>
      <c r="QM252" s="47"/>
      <c r="QN252" s="47"/>
      <c r="QO252" s="47"/>
      <c r="QP252" s="47"/>
      <c r="QQ252" s="47"/>
      <c r="QR252" s="47"/>
      <c r="QS252" s="47"/>
      <c r="QT252" s="47"/>
      <c r="QU252" s="47"/>
      <c r="QV252" s="47"/>
      <c r="QW252" s="47"/>
      <c r="QX252" s="47"/>
      <c r="QY252" s="47"/>
      <c r="QZ252" s="47"/>
      <c r="RA252" s="47"/>
      <c r="RB252" s="47"/>
      <c r="RC252" s="47"/>
      <c r="RD252" s="47"/>
      <c r="RE252" s="47"/>
      <c r="RF252" s="47"/>
      <c r="RG252" s="47"/>
      <c r="RH252" s="47"/>
      <c r="RI252" s="47"/>
      <c r="RJ252" s="47"/>
      <c r="RK252" s="47"/>
      <c r="RL252" s="47"/>
      <c r="RM252" s="47"/>
      <c r="RN252" s="47"/>
      <c r="RO252" s="47"/>
      <c r="RP252" s="47"/>
      <c r="RQ252" s="47"/>
      <c r="RR252" s="47"/>
      <c r="RS252" s="47"/>
      <c r="RT252" s="47"/>
      <c r="RU252" s="47"/>
      <c r="RV252" s="47"/>
      <c r="RW252" s="47"/>
      <c r="RX252" s="47"/>
      <c r="RY252" s="47"/>
      <c r="RZ252" s="47"/>
      <c r="SA252" s="47"/>
      <c r="SB252" s="47"/>
      <c r="SC252" s="47"/>
      <c r="SD252" s="47"/>
      <c r="SE252" s="47"/>
      <c r="SF252" s="47"/>
      <c r="SG252" s="47"/>
      <c r="SH252" s="47"/>
      <c r="SI252" s="47"/>
      <c r="SJ252" s="47"/>
      <c r="SK252" s="47"/>
      <c r="SL252" s="47"/>
      <c r="SM252" s="47"/>
      <c r="SN252" s="47"/>
      <c r="SO252" s="47"/>
      <c r="SP252" s="47"/>
      <c r="SQ252" s="47"/>
      <c r="SR252" s="47"/>
      <c r="SS252" s="47"/>
      <c r="ST252" s="47"/>
      <c r="SU252" s="47"/>
      <c r="SV252" s="47"/>
      <c r="SW252" s="47"/>
      <c r="SX252" s="47"/>
      <c r="SY252" s="47"/>
      <c r="SZ252" s="47"/>
      <c r="TA252" s="47"/>
      <c r="TB252" s="47"/>
      <c r="TC252" s="47"/>
      <c r="TD252" s="47"/>
      <c r="TE252" s="47"/>
      <c r="TF252" s="47"/>
      <c r="TG252" s="47"/>
      <c r="TH252" s="47"/>
      <c r="TI252" s="47"/>
      <c r="TJ252" s="47"/>
      <c r="TK252" s="47"/>
      <c r="TL252" s="47"/>
      <c r="TM252" s="47"/>
      <c r="TN252" s="47"/>
      <c r="TO252" s="47"/>
      <c r="TP252" s="47"/>
      <c r="TQ252" s="47"/>
      <c r="TR252" s="47"/>
      <c r="TS252" s="47"/>
      <c r="TT252" s="47"/>
      <c r="TU252" s="47"/>
      <c r="TV252" s="47"/>
      <c r="TW252" s="47"/>
      <c r="TX252" s="47"/>
      <c r="TY252" s="47"/>
      <c r="TZ252" s="47"/>
      <c r="UA252" s="47"/>
      <c r="UB252" s="47"/>
      <c r="UC252" s="47"/>
      <c r="UD252" s="47"/>
      <c r="UE252" s="47"/>
      <c r="UF252" s="47"/>
      <c r="UG252" s="47"/>
      <c r="UH252" s="47"/>
      <c r="UI252" s="47"/>
      <c r="UJ252" s="47"/>
      <c r="UK252" s="47"/>
      <c r="UL252" s="47"/>
      <c r="UM252" s="47"/>
      <c r="UN252" s="47"/>
      <c r="UO252" s="47"/>
      <c r="UP252" s="47"/>
      <c r="UQ252" s="47"/>
      <c r="UR252" s="47"/>
      <c r="US252" s="47"/>
      <c r="UT252" s="47"/>
      <c r="UU252" s="47"/>
      <c r="UV252" s="47"/>
      <c r="UW252" s="47"/>
      <c r="UX252" s="47"/>
      <c r="UY252" s="47"/>
      <c r="UZ252" s="47"/>
      <c r="VA252" s="47"/>
      <c r="VB252" s="47"/>
      <c r="VC252" s="47"/>
      <c r="VD252" s="47"/>
      <c r="VE252" s="47"/>
      <c r="VF252" s="47"/>
    </row>
    <row r="253" spans="1:578" s="41" customFormat="1" ht="39" hidden="1" customHeight="1" x14ac:dyDescent="0.2">
      <c r="A253" s="39" t="s">
        <v>552</v>
      </c>
      <c r="B253" s="90" t="s">
        <v>514</v>
      </c>
      <c r="C253" s="90" t="s">
        <v>113</v>
      </c>
      <c r="D253" s="42" t="s">
        <v>515</v>
      </c>
      <c r="E253" s="65">
        <v>0</v>
      </c>
      <c r="F253" s="65"/>
      <c r="G253" s="65"/>
      <c r="H253" s="65"/>
      <c r="I253" s="65"/>
      <c r="J253" s="65"/>
      <c r="K253" s="130" t="e">
        <f t="shared" si="70"/>
        <v>#DIV/0!</v>
      </c>
      <c r="L253" s="65">
        <f t="shared" si="73"/>
        <v>0</v>
      </c>
      <c r="M253" s="65">
        <v>540545524.47000003</v>
      </c>
      <c r="N253" s="65"/>
      <c r="O253" s="65"/>
      <c r="P253" s="65"/>
      <c r="Q253" s="65"/>
      <c r="R253" s="65">
        <f t="shared" si="74"/>
        <v>0</v>
      </c>
      <c r="S253" s="65"/>
      <c r="T253" s="65"/>
      <c r="U253" s="65"/>
      <c r="V253" s="65"/>
      <c r="W253" s="65"/>
      <c r="X253" s="132" t="e">
        <f t="shared" si="68"/>
        <v>#DIV/0!</v>
      </c>
      <c r="Y253" s="65">
        <f t="shared" si="69"/>
        <v>0</v>
      </c>
      <c r="Z253" s="203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7"/>
      <c r="JD253" s="47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7"/>
      <c r="KU253" s="47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7"/>
      <c r="LN253" s="47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7"/>
      <c r="MG253" s="47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7"/>
      <c r="NA253" s="47"/>
      <c r="NB253" s="47"/>
      <c r="NC253" s="47"/>
      <c r="ND253" s="47"/>
      <c r="NE253" s="47"/>
      <c r="NF253" s="47"/>
      <c r="NG253" s="47"/>
      <c r="NH253" s="47"/>
      <c r="NI253" s="47"/>
      <c r="NJ253" s="47"/>
      <c r="NK253" s="47"/>
      <c r="NL253" s="47"/>
      <c r="NM253" s="47"/>
      <c r="NN253" s="47"/>
      <c r="NO253" s="47"/>
      <c r="NP253" s="47"/>
      <c r="NQ253" s="47"/>
      <c r="NR253" s="47"/>
      <c r="NS253" s="47"/>
      <c r="NT253" s="47"/>
      <c r="NU253" s="47"/>
      <c r="NV253" s="47"/>
      <c r="NW253" s="47"/>
      <c r="NX253" s="47"/>
      <c r="NY253" s="47"/>
      <c r="NZ253" s="47"/>
      <c r="OA253" s="47"/>
      <c r="OB253" s="47"/>
      <c r="OC253" s="47"/>
      <c r="OD253" s="47"/>
      <c r="OE253" s="47"/>
      <c r="OF253" s="47"/>
      <c r="OG253" s="47"/>
      <c r="OH253" s="47"/>
      <c r="OI253" s="47"/>
      <c r="OJ253" s="47"/>
      <c r="OK253" s="47"/>
      <c r="OL253" s="47"/>
      <c r="OM253" s="47"/>
      <c r="ON253" s="47"/>
      <c r="OO253" s="47"/>
      <c r="OP253" s="47"/>
      <c r="OQ253" s="47"/>
      <c r="OR253" s="47"/>
      <c r="OS253" s="47"/>
      <c r="OT253" s="47"/>
      <c r="OU253" s="47"/>
      <c r="OV253" s="47"/>
      <c r="OW253" s="47"/>
      <c r="OX253" s="47"/>
      <c r="OY253" s="47"/>
      <c r="OZ253" s="47"/>
      <c r="PA253" s="47"/>
      <c r="PB253" s="47"/>
      <c r="PC253" s="47"/>
      <c r="PD253" s="47"/>
      <c r="PE253" s="47"/>
      <c r="PF253" s="47"/>
      <c r="PG253" s="47"/>
      <c r="PH253" s="47"/>
      <c r="PI253" s="47"/>
      <c r="PJ253" s="47"/>
      <c r="PK253" s="47"/>
      <c r="PL253" s="47"/>
      <c r="PM253" s="47"/>
      <c r="PN253" s="47"/>
      <c r="PO253" s="47"/>
      <c r="PP253" s="47"/>
      <c r="PQ253" s="47"/>
      <c r="PR253" s="47"/>
      <c r="PS253" s="47"/>
      <c r="PT253" s="47"/>
      <c r="PU253" s="47"/>
      <c r="PV253" s="47"/>
      <c r="PW253" s="47"/>
      <c r="PX253" s="47"/>
      <c r="PY253" s="47"/>
      <c r="PZ253" s="47"/>
      <c r="QA253" s="47"/>
      <c r="QB253" s="47"/>
      <c r="QC253" s="47"/>
      <c r="QD253" s="47"/>
      <c r="QE253" s="47"/>
      <c r="QF253" s="47"/>
      <c r="QG253" s="47"/>
      <c r="QH253" s="47"/>
      <c r="QI253" s="47"/>
      <c r="QJ253" s="47"/>
      <c r="QK253" s="47"/>
      <c r="QL253" s="47"/>
      <c r="QM253" s="47"/>
      <c r="QN253" s="47"/>
      <c r="QO253" s="47"/>
      <c r="QP253" s="47"/>
      <c r="QQ253" s="47"/>
      <c r="QR253" s="47"/>
      <c r="QS253" s="47"/>
      <c r="QT253" s="47"/>
      <c r="QU253" s="47"/>
      <c r="QV253" s="47"/>
      <c r="QW253" s="47"/>
      <c r="QX253" s="47"/>
      <c r="QY253" s="47"/>
      <c r="QZ253" s="47"/>
      <c r="RA253" s="47"/>
      <c r="RB253" s="47"/>
      <c r="RC253" s="47"/>
      <c r="RD253" s="47"/>
      <c r="RE253" s="47"/>
      <c r="RF253" s="47"/>
      <c r="RG253" s="47"/>
      <c r="RH253" s="47"/>
      <c r="RI253" s="47"/>
      <c r="RJ253" s="47"/>
      <c r="RK253" s="47"/>
      <c r="RL253" s="47"/>
      <c r="RM253" s="47"/>
      <c r="RN253" s="47"/>
      <c r="RO253" s="47"/>
      <c r="RP253" s="47"/>
      <c r="RQ253" s="47"/>
      <c r="RR253" s="47"/>
      <c r="RS253" s="47"/>
      <c r="RT253" s="47"/>
      <c r="RU253" s="47"/>
      <c r="RV253" s="47"/>
      <c r="RW253" s="47"/>
      <c r="RX253" s="47"/>
      <c r="RY253" s="47"/>
      <c r="RZ253" s="47"/>
      <c r="SA253" s="47"/>
      <c r="SB253" s="47"/>
      <c r="SC253" s="47"/>
      <c r="SD253" s="47"/>
      <c r="SE253" s="47"/>
      <c r="SF253" s="47"/>
      <c r="SG253" s="47"/>
      <c r="SH253" s="47"/>
      <c r="SI253" s="47"/>
      <c r="SJ253" s="47"/>
      <c r="SK253" s="47"/>
      <c r="SL253" s="47"/>
      <c r="SM253" s="47"/>
      <c r="SN253" s="47"/>
      <c r="SO253" s="47"/>
      <c r="SP253" s="47"/>
      <c r="SQ253" s="47"/>
      <c r="SR253" s="47"/>
      <c r="SS253" s="47"/>
      <c r="ST253" s="47"/>
      <c r="SU253" s="47"/>
      <c r="SV253" s="47"/>
      <c r="SW253" s="47"/>
      <c r="SX253" s="47"/>
      <c r="SY253" s="47"/>
      <c r="SZ253" s="47"/>
      <c r="TA253" s="47"/>
      <c r="TB253" s="47"/>
      <c r="TC253" s="47"/>
      <c r="TD253" s="47"/>
      <c r="TE253" s="47"/>
      <c r="TF253" s="47"/>
      <c r="TG253" s="47"/>
      <c r="TH253" s="47"/>
      <c r="TI253" s="47"/>
      <c r="TJ253" s="47"/>
      <c r="TK253" s="47"/>
      <c r="TL253" s="47"/>
      <c r="TM253" s="47"/>
      <c r="TN253" s="47"/>
      <c r="TO253" s="47"/>
      <c r="TP253" s="47"/>
      <c r="TQ253" s="47"/>
      <c r="TR253" s="47"/>
      <c r="TS253" s="47"/>
      <c r="TT253" s="47"/>
      <c r="TU253" s="47"/>
      <c r="TV253" s="47"/>
      <c r="TW253" s="47"/>
      <c r="TX253" s="47"/>
      <c r="TY253" s="47"/>
      <c r="TZ253" s="47"/>
      <c r="UA253" s="47"/>
      <c r="UB253" s="47"/>
      <c r="UC253" s="47"/>
      <c r="UD253" s="47"/>
      <c r="UE253" s="47"/>
      <c r="UF253" s="47"/>
      <c r="UG253" s="47"/>
      <c r="UH253" s="47"/>
      <c r="UI253" s="47"/>
      <c r="UJ253" s="47"/>
      <c r="UK253" s="47"/>
      <c r="UL253" s="47"/>
      <c r="UM253" s="47"/>
      <c r="UN253" s="47"/>
      <c r="UO253" s="47"/>
      <c r="UP253" s="47"/>
      <c r="UQ253" s="47"/>
      <c r="UR253" s="47"/>
      <c r="US253" s="47"/>
      <c r="UT253" s="47"/>
      <c r="UU253" s="47"/>
      <c r="UV253" s="47"/>
      <c r="UW253" s="47"/>
      <c r="UX253" s="47"/>
      <c r="UY253" s="47"/>
      <c r="UZ253" s="47"/>
      <c r="VA253" s="47"/>
      <c r="VB253" s="47"/>
      <c r="VC253" s="47"/>
      <c r="VD253" s="47"/>
      <c r="VE253" s="47"/>
      <c r="VF253" s="47"/>
    </row>
    <row r="254" spans="1:578" s="41" customFormat="1" ht="35.25" hidden="1" customHeight="1" x14ac:dyDescent="0.2">
      <c r="A254" s="39" t="s">
        <v>507</v>
      </c>
      <c r="B254" s="90" t="str">
        <f>'дод 3'!A169</f>
        <v>7363</v>
      </c>
      <c r="C254" s="90" t="str">
        <f>'дод 3'!B169</f>
        <v>0490</v>
      </c>
      <c r="D254" s="42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54" s="65">
        <v>0</v>
      </c>
      <c r="F254" s="65"/>
      <c r="G254" s="65"/>
      <c r="H254" s="65"/>
      <c r="I254" s="65"/>
      <c r="J254" s="65"/>
      <c r="K254" s="130" t="e">
        <f t="shared" si="70"/>
        <v>#DIV/0!</v>
      </c>
      <c r="L254" s="65">
        <f t="shared" si="73"/>
        <v>0</v>
      </c>
      <c r="M254" s="65">
        <v>43321759.670000002</v>
      </c>
      <c r="N254" s="65"/>
      <c r="O254" s="65"/>
      <c r="P254" s="65"/>
      <c r="Q254" s="65"/>
      <c r="R254" s="65">
        <f t="shared" si="74"/>
        <v>0</v>
      </c>
      <c r="S254" s="65"/>
      <c r="T254" s="65"/>
      <c r="U254" s="65"/>
      <c r="V254" s="65"/>
      <c r="W254" s="65"/>
      <c r="X254" s="132" t="e">
        <f t="shared" si="68"/>
        <v>#DIV/0!</v>
      </c>
      <c r="Y254" s="65">
        <f t="shared" si="69"/>
        <v>0</v>
      </c>
      <c r="Z254" s="203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  <c r="JB254" s="47"/>
      <c r="JC254" s="47"/>
      <c r="JD254" s="47"/>
      <c r="JE254" s="47"/>
      <c r="JF254" s="47"/>
      <c r="JG254" s="47"/>
      <c r="JH254" s="47"/>
      <c r="JI254" s="47"/>
      <c r="JJ254" s="47"/>
      <c r="JK254" s="47"/>
      <c r="JL254" s="47"/>
      <c r="JM254" s="47"/>
      <c r="JN254" s="47"/>
      <c r="JO254" s="47"/>
      <c r="JP254" s="47"/>
      <c r="JQ254" s="47"/>
      <c r="JR254" s="47"/>
      <c r="JS254" s="47"/>
      <c r="JT254" s="47"/>
      <c r="JU254" s="47"/>
      <c r="JV254" s="47"/>
      <c r="JW254" s="47"/>
      <c r="JX254" s="47"/>
      <c r="JY254" s="47"/>
      <c r="JZ254" s="47"/>
      <c r="KA254" s="47"/>
      <c r="KB254" s="47"/>
      <c r="KC254" s="47"/>
      <c r="KD254" s="47"/>
      <c r="KE254" s="47"/>
      <c r="KF254" s="47"/>
      <c r="KG254" s="47"/>
      <c r="KH254" s="47"/>
      <c r="KI254" s="47"/>
      <c r="KJ254" s="47"/>
      <c r="KK254" s="47"/>
      <c r="KL254" s="47"/>
      <c r="KM254" s="47"/>
      <c r="KN254" s="47"/>
      <c r="KO254" s="47"/>
      <c r="KP254" s="47"/>
      <c r="KQ254" s="47"/>
      <c r="KR254" s="47"/>
      <c r="KS254" s="47"/>
      <c r="KT254" s="47"/>
      <c r="KU254" s="47"/>
      <c r="KV254" s="47"/>
      <c r="KW254" s="47"/>
      <c r="KX254" s="47"/>
      <c r="KY254" s="47"/>
      <c r="KZ254" s="47"/>
      <c r="LA254" s="47"/>
      <c r="LB254" s="47"/>
      <c r="LC254" s="47"/>
      <c r="LD254" s="47"/>
      <c r="LE254" s="47"/>
      <c r="LF254" s="47"/>
      <c r="LG254" s="47"/>
      <c r="LH254" s="47"/>
      <c r="LI254" s="47"/>
      <c r="LJ254" s="47"/>
      <c r="LK254" s="47"/>
      <c r="LL254" s="47"/>
      <c r="LM254" s="47"/>
      <c r="LN254" s="47"/>
      <c r="LO254" s="47"/>
      <c r="LP254" s="47"/>
      <c r="LQ254" s="47"/>
      <c r="LR254" s="47"/>
      <c r="LS254" s="47"/>
      <c r="LT254" s="47"/>
      <c r="LU254" s="47"/>
      <c r="LV254" s="47"/>
      <c r="LW254" s="47"/>
      <c r="LX254" s="47"/>
      <c r="LY254" s="47"/>
      <c r="LZ254" s="47"/>
      <c r="MA254" s="47"/>
      <c r="MB254" s="47"/>
      <c r="MC254" s="47"/>
      <c r="MD254" s="47"/>
      <c r="ME254" s="47"/>
      <c r="MF254" s="47"/>
      <c r="MG254" s="47"/>
      <c r="MH254" s="47"/>
      <c r="MI254" s="47"/>
      <c r="MJ254" s="47"/>
      <c r="MK254" s="47"/>
      <c r="ML254" s="47"/>
      <c r="MM254" s="47"/>
      <c r="MN254" s="47"/>
      <c r="MO254" s="47"/>
      <c r="MP254" s="47"/>
      <c r="MQ254" s="47"/>
      <c r="MR254" s="47"/>
      <c r="MS254" s="47"/>
      <c r="MT254" s="47"/>
      <c r="MU254" s="47"/>
      <c r="MV254" s="47"/>
      <c r="MW254" s="47"/>
      <c r="MX254" s="47"/>
      <c r="MY254" s="47"/>
      <c r="MZ254" s="47"/>
      <c r="NA254" s="47"/>
      <c r="NB254" s="47"/>
      <c r="NC254" s="47"/>
      <c r="ND254" s="47"/>
      <c r="NE254" s="47"/>
      <c r="NF254" s="47"/>
      <c r="NG254" s="47"/>
      <c r="NH254" s="47"/>
      <c r="NI254" s="47"/>
      <c r="NJ254" s="47"/>
      <c r="NK254" s="47"/>
      <c r="NL254" s="47"/>
      <c r="NM254" s="47"/>
      <c r="NN254" s="47"/>
      <c r="NO254" s="47"/>
      <c r="NP254" s="47"/>
      <c r="NQ254" s="47"/>
      <c r="NR254" s="47"/>
      <c r="NS254" s="47"/>
      <c r="NT254" s="47"/>
      <c r="NU254" s="47"/>
      <c r="NV254" s="47"/>
      <c r="NW254" s="47"/>
      <c r="NX254" s="47"/>
      <c r="NY254" s="47"/>
      <c r="NZ254" s="47"/>
      <c r="OA254" s="47"/>
      <c r="OB254" s="47"/>
      <c r="OC254" s="47"/>
      <c r="OD254" s="47"/>
      <c r="OE254" s="47"/>
      <c r="OF254" s="47"/>
      <c r="OG254" s="47"/>
      <c r="OH254" s="47"/>
      <c r="OI254" s="47"/>
      <c r="OJ254" s="47"/>
      <c r="OK254" s="47"/>
      <c r="OL254" s="47"/>
      <c r="OM254" s="47"/>
      <c r="ON254" s="47"/>
      <c r="OO254" s="47"/>
      <c r="OP254" s="47"/>
      <c r="OQ254" s="47"/>
      <c r="OR254" s="47"/>
      <c r="OS254" s="47"/>
      <c r="OT254" s="47"/>
      <c r="OU254" s="47"/>
      <c r="OV254" s="47"/>
      <c r="OW254" s="47"/>
      <c r="OX254" s="47"/>
      <c r="OY254" s="47"/>
      <c r="OZ254" s="47"/>
      <c r="PA254" s="47"/>
      <c r="PB254" s="47"/>
      <c r="PC254" s="47"/>
      <c r="PD254" s="47"/>
      <c r="PE254" s="47"/>
      <c r="PF254" s="47"/>
      <c r="PG254" s="47"/>
      <c r="PH254" s="47"/>
      <c r="PI254" s="47"/>
      <c r="PJ254" s="47"/>
      <c r="PK254" s="47"/>
      <c r="PL254" s="47"/>
      <c r="PM254" s="47"/>
      <c r="PN254" s="47"/>
      <c r="PO254" s="47"/>
      <c r="PP254" s="47"/>
      <c r="PQ254" s="47"/>
      <c r="PR254" s="47"/>
      <c r="PS254" s="47"/>
      <c r="PT254" s="47"/>
      <c r="PU254" s="47"/>
      <c r="PV254" s="47"/>
      <c r="PW254" s="47"/>
      <c r="PX254" s="47"/>
      <c r="PY254" s="47"/>
      <c r="PZ254" s="47"/>
      <c r="QA254" s="47"/>
      <c r="QB254" s="47"/>
      <c r="QC254" s="47"/>
      <c r="QD254" s="47"/>
      <c r="QE254" s="47"/>
      <c r="QF254" s="47"/>
      <c r="QG254" s="47"/>
      <c r="QH254" s="47"/>
      <c r="QI254" s="47"/>
      <c r="QJ254" s="47"/>
      <c r="QK254" s="47"/>
      <c r="QL254" s="47"/>
      <c r="QM254" s="47"/>
      <c r="QN254" s="47"/>
      <c r="QO254" s="47"/>
      <c r="QP254" s="47"/>
      <c r="QQ254" s="47"/>
      <c r="QR254" s="47"/>
      <c r="QS254" s="47"/>
      <c r="QT254" s="47"/>
      <c r="QU254" s="47"/>
      <c r="QV254" s="47"/>
      <c r="QW254" s="47"/>
      <c r="QX254" s="47"/>
      <c r="QY254" s="47"/>
      <c r="QZ254" s="47"/>
      <c r="RA254" s="47"/>
      <c r="RB254" s="47"/>
      <c r="RC254" s="47"/>
      <c r="RD254" s="47"/>
      <c r="RE254" s="47"/>
      <c r="RF254" s="47"/>
      <c r="RG254" s="47"/>
      <c r="RH254" s="47"/>
      <c r="RI254" s="47"/>
      <c r="RJ254" s="47"/>
      <c r="RK254" s="47"/>
      <c r="RL254" s="47"/>
      <c r="RM254" s="47"/>
      <c r="RN254" s="47"/>
      <c r="RO254" s="47"/>
      <c r="RP254" s="47"/>
      <c r="RQ254" s="47"/>
      <c r="RR254" s="47"/>
      <c r="RS254" s="47"/>
      <c r="RT254" s="47"/>
      <c r="RU254" s="47"/>
      <c r="RV254" s="47"/>
      <c r="RW254" s="47"/>
      <c r="RX254" s="47"/>
      <c r="RY254" s="47"/>
      <c r="RZ254" s="47"/>
      <c r="SA254" s="47"/>
      <c r="SB254" s="47"/>
      <c r="SC254" s="47"/>
      <c r="SD254" s="47"/>
      <c r="SE254" s="47"/>
      <c r="SF254" s="47"/>
      <c r="SG254" s="47"/>
      <c r="SH254" s="47"/>
      <c r="SI254" s="47"/>
      <c r="SJ254" s="47"/>
      <c r="SK254" s="47"/>
      <c r="SL254" s="47"/>
      <c r="SM254" s="47"/>
      <c r="SN254" s="47"/>
      <c r="SO254" s="47"/>
      <c r="SP254" s="47"/>
      <c r="SQ254" s="47"/>
      <c r="SR254" s="47"/>
      <c r="SS254" s="47"/>
      <c r="ST254" s="47"/>
      <c r="SU254" s="47"/>
      <c r="SV254" s="47"/>
      <c r="SW254" s="47"/>
      <c r="SX254" s="47"/>
      <c r="SY254" s="47"/>
      <c r="SZ254" s="47"/>
      <c r="TA254" s="47"/>
      <c r="TB254" s="47"/>
      <c r="TC254" s="47"/>
      <c r="TD254" s="47"/>
      <c r="TE254" s="47"/>
      <c r="TF254" s="47"/>
      <c r="TG254" s="47"/>
      <c r="TH254" s="47"/>
      <c r="TI254" s="47"/>
      <c r="TJ254" s="47"/>
      <c r="TK254" s="47"/>
      <c r="TL254" s="47"/>
      <c r="TM254" s="47"/>
      <c r="TN254" s="47"/>
      <c r="TO254" s="47"/>
      <c r="TP254" s="47"/>
      <c r="TQ254" s="47"/>
      <c r="TR254" s="47"/>
      <c r="TS254" s="47"/>
      <c r="TT254" s="47"/>
      <c r="TU254" s="47"/>
      <c r="TV254" s="47"/>
      <c r="TW254" s="47"/>
      <c r="TX254" s="47"/>
      <c r="TY254" s="47"/>
      <c r="TZ254" s="47"/>
      <c r="UA254" s="47"/>
      <c r="UB254" s="47"/>
      <c r="UC254" s="47"/>
      <c r="UD254" s="47"/>
      <c r="UE254" s="47"/>
      <c r="UF254" s="47"/>
      <c r="UG254" s="47"/>
      <c r="UH254" s="47"/>
      <c r="UI254" s="47"/>
      <c r="UJ254" s="47"/>
      <c r="UK254" s="47"/>
      <c r="UL254" s="47"/>
      <c r="UM254" s="47"/>
      <c r="UN254" s="47"/>
      <c r="UO254" s="47"/>
      <c r="UP254" s="47"/>
      <c r="UQ254" s="47"/>
      <c r="UR254" s="47"/>
      <c r="US254" s="47"/>
      <c r="UT254" s="47"/>
      <c r="UU254" s="47"/>
      <c r="UV254" s="47"/>
      <c r="UW254" s="47"/>
      <c r="UX254" s="47"/>
      <c r="UY254" s="47"/>
      <c r="UZ254" s="47"/>
      <c r="VA254" s="47"/>
      <c r="VB254" s="47"/>
      <c r="VC254" s="47"/>
      <c r="VD254" s="47"/>
      <c r="VE254" s="47"/>
      <c r="VF254" s="47"/>
    </row>
    <row r="255" spans="1:578" s="41" customFormat="1" ht="15" hidden="1" customHeight="1" x14ac:dyDescent="0.2">
      <c r="A255" s="39"/>
      <c r="B255" s="90"/>
      <c r="C255" s="90"/>
      <c r="D255" s="40" t="s">
        <v>344</v>
      </c>
      <c r="E255" s="65">
        <v>0</v>
      </c>
      <c r="F255" s="65"/>
      <c r="G255" s="65"/>
      <c r="H255" s="65"/>
      <c r="I255" s="65"/>
      <c r="J255" s="65"/>
      <c r="K255" s="130" t="e">
        <f t="shared" si="70"/>
        <v>#DIV/0!</v>
      </c>
      <c r="L255" s="65">
        <f t="shared" si="73"/>
        <v>0</v>
      </c>
      <c r="M255" s="65"/>
      <c r="N255" s="65"/>
      <c r="O255" s="65"/>
      <c r="P255" s="65"/>
      <c r="Q255" s="65"/>
      <c r="R255" s="65">
        <f t="shared" si="74"/>
        <v>0</v>
      </c>
      <c r="S255" s="65"/>
      <c r="T255" s="65"/>
      <c r="U255" s="65"/>
      <c r="V255" s="65"/>
      <c r="W255" s="65"/>
      <c r="X255" s="132" t="e">
        <f t="shared" si="68"/>
        <v>#DIV/0!</v>
      </c>
      <c r="Y255" s="65">
        <f t="shared" si="69"/>
        <v>0</v>
      </c>
      <c r="Z255" s="203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  <c r="JB255" s="47"/>
      <c r="JC255" s="47"/>
      <c r="JD255" s="47"/>
      <c r="JE255" s="47"/>
      <c r="JF255" s="47"/>
      <c r="JG255" s="47"/>
      <c r="JH255" s="47"/>
      <c r="JI255" s="47"/>
      <c r="JJ255" s="47"/>
      <c r="JK255" s="47"/>
      <c r="JL255" s="47"/>
      <c r="JM255" s="47"/>
      <c r="JN255" s="47"/>
      <c r="JO255" s="47"/>
      <c r="JP255" s="47"/>
      <c r="JQ255" s="47"/>
      <c r="JR255" s="47"/>
      <c r="JS255" s="47"/>
      <c r="JT255" s="47"/>
      <c r="JU255" s="47"/>
      <c r="JV255" s="47"/>
      <c r="JW255" s="47"/>
      <c r="JX255" s="47"/>
      <c r="JY255" s="47"/>
      <c r="JZ255" s="47"/>
      <c r="KA255" s="47"/>
      <c r="KB255" s="47"/>
      <c r="KC255" s="47"/>
      <c r="KD255" s="47"/>
      <c r="KE255" s="47"/>
      <c r="KF255" s="47"/>
      <c r="KG255" s="47"/>
      <c r="KH255" s="47"/>
      <c r="KI255" s="47"/>
      <c r="KJ255" s="47"/>
      <c r="KK255" s="47"/>
      <c r="KL255" s="47"/>
      <c r="KM255" s="47"/>
      <c r="KN255" s="47"/>
      <c r="KO255" s="47"/>
      <c r="KP255" s="47"/>
      <c r="KQ255" s="47"/>
      <c r="KR255" s="47"/>
      <c r="KS255" s="47"/>
      <c r="KT255" s="47"/>
      <c r="KU255" s="47"/>
      <c r="KV255" s="47"/>
      <c r="KW255" s="47"/>
      <c r="KX255" s="47"/>
      <c r="KY255" s="47"/>
      <c r="KZ255" s="47"/>
      <c r="LA255" s="47"/>
      <c r="LB255" s="47"/>
      <c r="LC255" s="47"/>
      <c r="LD255" s="47"/>
      <c r="LE255" s="47"/>
      <c r="LF255" s="47"/>
      <c r="LG255" s="47"/>
      <c r="LH255" s="47"/>
      <c r="LI255" s="47"/>
      <c r="LJ255" s="47"/>
      <c r="LK255" s="47"/>
      <c r="LL255" s="47"/>
      <c r="LM255" s="47"/>
      <c r="LN255" s="47"/>
      <c r="LO255" s="47"/>
      <c r="LP255" s="47"/>
      <c r="LQ255" s="47"/>
      <c r="LR255" s="47"/>
      <c r="LS255" s="47"/>
      <c r="LT255" s="47"/>
      <c r="LU255" s="47"/>
      <c r="LV255" s="47"/>
      <c r="LW255" s="47"/>
      <c r="LX255" s="47"/>
      <c r="LY255" s="47"/>
      <c r="LZ255" s="47"/>
      <c r="MA255" s="47"/>
      <c r="MB255" s="47"/>
      <c r="MC255" s="47"/>
      <c r="MD255" s="47"/>
      <c r="ME255" s="47"/>
      <c r="MF255" s="47"/>
      <c r="MG255" s="47"/>
      <c r="MH255" s="47"/>
      <c r="MI255" s="47"/>
      <c r="MJ255" s="47"/>
      <c r="MK255" s="47"/>
      <c r="ML255" s="47"/>
      <c r="MM255" s="47"/>
      <c r="MN255" s="47"/>
      <c r="MO255" s="47"/>
      <c r="MP255" s="47"/>
      <c r="MQ255" s="47"/>
      <c r="MR255" s="47"/>
      <c r="MS255" s="47"/>
      <c r="MT255" s="47"/>
      <c r="MU255" s="47"/>
      <c r="MV255" s="47"/>
      <c r="MW255" s="47"/>
      <c r="MX255" s="47"/>
      <c r="MY255" s="47"/>
      <c r="MZ255" s="47"/>
      <c r="NA255" s="47"/>
      <c r="NB255" s="47"/>
      <c r="NC255" s="47"/>
      <c r="ND255" s="47"/>
      <c r="NE255" s="47"/>
      <c r="NF255" s="47"/>
      <c r="NG255" s="47"/>
      <c r="NH255" s="47"/>
      <c r="NI255" s="47"/>
      <c r="NJ255" s="47"/>
      <c r="NK255" s="47"/>
      <c r="NL255" s="47"/>
      <c r="NM255" s="47"/>
      <c r="NN255" s="47"/>
      <c r="NO255" s="47"/>
      <c r="NP255" s="47"/>
      <c r="NQ255" s="47"/>
      <c r="NR255" s="47"/>
      <c r="NS255" s="47"/>
      <c r="NT255" s="47"/>
      <c r="NU255" s="47"/>
      <c r="NV255" s="47"/>
      <c r="NW255" s="47"/>
      <c r="NX255" s="47"/>
      <c r="NY255" s="47"/>
      <c r="NZ255" s="47"/>
      <c r="OA255" s="47"/>
      <c r="OB255" s="47"/>
      <c r="OC255" s="47"/>
      <c r="OD255" s="47"/>
      <c r="OE255" s="47"/>
      <c r="OF255" s="47"/>
      <c r="OG255" s="47"/>
      <c r="OH255" s="47"/>
      <c r="OI255" s="47"/>
      <c r="OJ255" s="47"/>
      <c r="OK255" s="47"/>
      <c r="OL255" s="47"/>
      <c r="OM255" s="47"/>
      <c r="ON255" s="47"/>
      <c r="OO255" s="47"/>
      <c r="OP255" s="47"/>
      <c r="OQ255" s="47"/>
      <c r="OR255" s="47"/>
      <c r="OS255" s="47"/>
      <c r="OT255" s="47"/>
      <c r="OU255" s="47"/>
      <c r="OV255" s="47"/>
      <c r="OW255" s="47"/>
      <c r="OX255" s="47"/>
      <c r="OY255" s="47"/>
      <c r="OZ255" s="47"/>
      <c r="PA255" s="47"/>
      <c r="PB255" s="47"/>
      <c r="PC255" s="47"/>
      <c r="PD255" s="47"/>
      <c r="PE255" s="47"/>
      <c r="PF255" s="47"/>
      <c r="PG255" s="47"/>
      <c r="PH255" s="47"/>
      <c r="PI255" s="47"/>
      <c r="PJ255" s="47"/>
      <c r="PK255" s="47"/>
      <c r="PL255" s="47"/>
      <c r="PM255" s="47"/>
      <c r="PN255" s="47"/>
      <c r="PO255" s="47"/>
      <c r="PP255" s="47"/>
      <c r="PQ255" s="47"/>
      <c r="PR255" s="47"/>
      <c r="PS255" s="47"/>
      <c r="PT255" s="47"/>
      <c r="PU255" s="47"/>
      <c r="PV255" s="47"/>
      <c r="PW255" s="47"/>
      <c r="PX255" s="47"/>
      <c r="PY255" s="47"/>
      <c r="PZ255" s="47"/>
      <c r="QA255" s="47"/>
      <c r="QB255" s="47"/>
      <c r="QC255" s="47"/>
      <c r="QD255" s="47"/>
      <c r="QE255" s="47"/>
      <c r="QF255" s="47"/>
      <c r="QG255" s="47"/>
      <c r="QH255" s="47"/>
      <c r="QI255" s="47"/>
      <c r="QJ255" s="47"/>
      <c r="QK255" s="47"/>
      <c r="QL255" s="47"/>
      <c r="QM255" s="47"/>
      <c r="QN255" s="47"/>
      <c r="QO255" s="47"/>
      <c r="QP255" s="47"/>
      <c r="QQ255" s="47"/>
      <c r="QR255" s="47"/>
      <c r="QS255" s="47"/>
      <c r="QT255" s="47"/>
      <c r="QU255" s="47"/>
      <c r="QV255" s="47"/>
      <c r="QW255" s="47"/>
      <c r="QX255" s="47"/>
      <c r="QY255" s="47"/>
      <c r="QZ255" s="47"/>
      <c r="RA255" s="47"/>
      <c r="RB255" s="47"/>
      <c r="RC255" s="47"/>
      <c r="RD255" s="47"/>
      <c r="RE255" s="47"/>
      <c r="RF255" s="47"/>
      <c r="RG255" s="47"/>
      <c r="RH255" s="47"/>
      <c r="RI255" s="47"/>
      <c r="RJ255" s="47"/>
      <c r="RK255" s="47"/>
      <c r="RL255" s="47"/>
      <c r="RM255" s="47"/>
      <c r="RN255" s="47"/>
      <c r="RO255" s="47"/>
      <c r="RP255" s="47"/>
      <c r="RQ255" s="47"/>
      <c r="RR255" s="47"/>
      <c r="RS255" s="47"/>
      <c r="RT255" s="47"/>
      <c r="RU255" s="47"/>
      <c r="RV255" s="47"/>
      <c r="RW255" s="47"/>
      <c r="RX255" s="47"/>
      <c r="RY255" s="47"/>
      <c r="RZ255" s="47"/>
      <c r="SA255" s="47"/>
      <c r="SB255" s="47"/>
      <c r="SC255" s="47"/>
      <c r="SD255" s="47"/>
      <c r="SE255" s="47"/>
      <c r="SF255" s="47"/>
      <c r="SG255" s="47"/>
      <c r="SH255" s="47"/>
      <c r="SI255" s="47"/>
      <c r="SJ255" s="47"/>
      <c r="SK255" s="47"/>
      <c r="SL255" s="47"/>
      <c r="SM255" s="47"/>
      <c r="SN255" s="47"/>
      <c r="SO255" s="47"/>
      <c r="SP255" s="47"/>
      <c r="SQ255" s="47"/>
      <c r="SR255" s="47"/>
      <c r="SS255" s="47"/>
      <c r="ST255" s="47"/>
      <c r="SU255" s="47"/>
      <c r="SV255" s="47"/>
      <c r="SW255" s="47"/>
      <c r="SX255" s="47"/>
      <c r="SY255" s="47"/>
      <c r="SZ255" s="47"/>
      <c r="TA255" s="47"/>
      <c r="TB255" s="47"/>
      <c r="TC255" s="47"/>
      <c r="TD255" s="47"/>
      <c r="TE255" s="47"/>
      <c r="TF255" s="47"/>
      <c r="TG255" s="47"/>
      <c r="TH255" s="47"/>
      <c r="TI255" s="47"/>
      <c r="TJ255" s="47"/>
      <c r="TK255" s="47"/>
      <c r="TL255" s="47"/>
      <c r="TM255" s="47"/>
      <c r="TN255" s="47"/>
      <c r="TO255" s="47"/>
      <c r="TP255" s="47"/>
      <c r="TQ255" s="47"/>
      <c r="TR255" s="47"/>
      <c r="TS255" s="47"/>
      <c r="TT255" s="47"/>
      <c r="TU255" s="47"/>
      <c r="TV255" s="47"/>
      <c r="TW255" s="47"/>
      <c r="TX255" s="47"/>
      <c r="TY255" s="47"/>
      <c r="TZ255" s="47"/>
      <c r="UA255" s="47"/>
      <c r="UB255" s="47"/>
      <c r="UC255" s="47"/>
      <c r="UD255" s="47"/>
      <c r="UE255" s="47"/>
      <c r="UF255" s="47"/>
      <c r="UG255" s="47"/>
      <c r="UH255" s="47"/>
      <c r="UI255" s="47"/>
      <c r="UJ255" s="47"/>
      <c r="UK255" s="47"/>
      <c r="UL255" s="47"/>
      <c r="UM255" s="47"/>
      <c r="UN255" s="47"/>
      <c r="UO255" s="47"/>
      <c r="UP255" s="47"/>
      <c r="UQ255" s="47"/>
      <c r="UR255" s="47"/>
      <c r="US255" s="47"/>
      <c r="UT255" s="47"/>
      <c r="UU255" s="47"/>
      <c r="UV255" s="47"/>
      <c r="UW255" s="47"/>
      <c r="UX255" s="47"/>
      <c r="UY255" s="47"/>
      <c r="UZ255" s="47"/>
      <c r="VA255" s="47"/>
      <c r="VB255" s="47"/>
      <c r="VC255" s="47"/>
      <c r="VD255" s="47"/>
      <c r="VE255" s="47"/>
      <c r="VF255" s="47"/>
    </row>
    <row r="256" spans="1:578" s="41" customFormat="1" ht="30" hidden="1" customHeight="1" x14ac:dyDescent="0.2">
      <c r="A256" s="39" t="s">
        <v>511</v>
      </c>
      <c r="B256" s="90" t="str">
        <f>'дод 3'!A177</f>
        <v>7442</v>
      </c>
      <c r="C256" s="90" t="str">
        <f>'дод 3'!B177</f>
        <v>0456</v>
      </c>
      <c r="D256" s="42" t="str">
        <f>'дод 3'!C177</f>
        <v>Утримання та розвиток інших об’єктів транспортної інфраструктури</v>
      </c>
      <c r="E256" s="65">
        <v>0</v>
      </c>
      <c r="F256" s="65"/>
      <c r="G256" s="65"/>
      <c r="H256" s="65"/>
      <c r="I256" s="65"/>
      <c r="J256" s="65"/>
      <c r="K256" s="130" t="e">
        <f t="shared" si="70"/>
        <v>#DIV/0!</v>
      </c>
      <c r="L256" s="65">
        <f t="shared" si="73"/>
        <v>0</v>
      </c>
      <c r="M256" s="65"/>
      <c r="N256" s="65"/>
      <c r="O256" s="65"/>
      <c r="P256" s="65"/>
      <c r="Q256" s="65"/>
      <c r="R256" s="65">
        <f t="shared" si="74"/>
        <v>0</v>
      </c>
      <c r="S256" s="65"/>
      <c r="T256" s="65"/>
      <c r="U256" s="65"/>
      <c r="V256" s="65"/>
      <c r="W256" s="65"/>
      <c r="X256" s="132" t="e">
        <f t="shared" si="68"/>
        <v>#DIV/0!</v>
      </c>
      <c r="Y256" s="65">
        <f t="shared" si="69"/>
        <v>0</v>
      </c>
      <c r="Z256" s="203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  <c r="JB256" s="47"/>
      <c r="JC256" s="47"/>
      <c r="JD256" s="47"/>
      <c r="JE256" s="47"/>
      <c r="JF256" s="47"/>
      <c r="JG256" s="47"/>
      <c r="JH256" s="47"/>
      <c r="JI256" s="47"/>
      <c r="JJ256" s="47"/>
      <c r="JK256" s="47"/>
      <c r="JL256" s="47"/>
      <c r="JM256" s="47"/>
      <c r="JN256" s="47"/>
      <c r="JO256" s="47"/>
      <c r="JP256" s="47"/>
      <c r="JQ256" s="47"/>
      <c r="JR256" s="47"/>
      <c r="JS256" s="47"/>
      <c r="JT256" s="47"/>
      <c r="JU256" s="47"/>
      <c r="JV256" s="47"/>
      <c r="JW256" s="47"/>
      <c r="JX256" s="47"/>
      <c r="JY256" s="47"/>
      <c r="JZ256" s="47"/>
      <c r="KA256" s="47"/>
      <c r="KB256" s="47"/>
      <c r="KC256" s="47"/>
      <c r="KD256" s="47"/>
      <c r="KE256" s="47"/>
      <c r="KF256" s="47"/>
      <c r="KG256" s="47"/>
      <c r="KH256" s="47"/>
      <c r="KI256" s="47"/>
      <c r="KJ256" s="47"/>
      <c r="KK256" s="47"/>
      <c r="KL256" s="47"/>
      <c r="KM256" s="47"/>
      <c r="KN256" s="47"/>
      <c r="KO256" s="47"/>
      <c r="KP256" s="47"/>
      <c r="KQ256" s="47"/>
      <c r="KR256" s="47"/>
      <c r="KS256" s="47"/>
      <c r="KT256" s="47"/>
      <c r="KU256" s="47"/>
      <c r="KV256" s="47"/>
      <c r="KW256" s="47"/>
      <c r="KX256" s="47"/>
      <c r="KY256" s="47"/>
      <c r="KZ256" s="47"/>
      <c r="LA256" s="47"/>
      <c r="LB256" s="47"/>
      <c r="LC256" s="47"/>
      <c r="LD256" s="47"/>
      <c r="LE256" s="47"/>
      <c r="LF256" s="47"/>
      <c r="LG256" s="47"/>
      <c r="LH256" s="47"/>
      <c r="LI256" s="47"/>
      <c r="LJ256" s="47"/>
      <c r="LK256" s="47"/>
      <c r="LL256" s="47"/>
      <c r="LM256" s="47"/>
      <c r="LN256" s="47"/>
      <c r="LO256" s="47"/>
      <c r="LP256" s="47"/>
      <c r="LQ256" s="47"/>
      <c r="LR256" s="47"/>
      <c r="LS256" s="47"/>
      <c r="LT256" s="47"/>
      <c r="LU256" s="47"/>
      <c r="LV256" s="47"/>
      <c r="LW256" s="47"/>
      <c r="LX256" s="47"/>
      <c r="LY256" s="47"/>
      <c r="LZ256" s="47"/>
      <c r="MA256" s="47"/>
      <c r="MB256" s="47"/>
      <c r="MC256" s="47"/>
      <c r="MD256" s="47"/>
      <c r="ME256" s="47"/>
      <c r="MF256" s="47"/>
      <c r="MG256" s="47"/>
      <c r="MH256" s="47"/>
      <c r="MI256" s="47"/>
      <c r="MJ256" s="47"/>
      <c r="MK256" s="47"/>
      <c r="ML256" s="47"/>
      <c r="MM256" s="47"/>
      <c r="MN256" s="47"/>
      <c r="MO256" s="47"/>
      <c r="MP256" s="47"/>
      <c r="MQ256" s="47"/>
      <c r="MR256" s="47"/>
      <c r="MS256" s="47"/>
      <c r="MT256" s="47"/>
      <c r="MU256" s="47"/>
      <c r="MV256" s="47"/>
      <c r="MW256" s="47"/>
      <c r="MX256" s="47"/>
      <c r="MY256" s="47"/>
      <c r="MZ256" s="47"/>
      <c r="NA256" s="47"/>
      <c r="NB256" s="47"/>
      <c r="NC256" s="47"/>
      <c r="ND256" s="47"/>
      <c r="NE256" s="47"/>
      <c r="NF256" s="47"/>
      <c r="NG256" s="47"/>
      <c r="NH256" s="47"/>
      <c r="NI256" s="47"/>
      <c r="NJ256" s="47"/>
      <c r="NK256" s="47"/>
      <c r="NL256" s="47"/>
      <c r="NM256" s="47"/>
      <c r="NN256" s="47"/>
      <c r="NO256" s="47"/>
      <c r="NP256" s="47"/>
      <c r="NQ256" s="47"/>
      <c r="NR256" s="47"/>
      <c r="NS256" s="47"/>
      <c r="NT256" s="47"/>
      <c r="NU256" s="47"/>
      <c r="NV256" s="47"/>
      <c r="NW256" s="47"/>
      <c r="NX256" s="47"/>
      <c r="NY256" s="47"/>
      <c r="NZ256" s="47"/>
      <c r="OA256" s="47"/>
      <c r="OB256" s="47"/>
      <c r="OC256" s="47"/>
      <c r="OD256" s="47"/>
      <c r="OE256" s="47"/>
      <c r="OF256" s="47"/>
      <c r="OG256" s="47"/>
      <c r="OH256" s="47"/>
      <c r="OI256" s="47"/>
      <c r="OJ256" s="47"/>
      <c r="OK256" s="47"/>
      <c r="OL256" s="47"/>
      <c r="OM256" s="47"/>
      <c r="ON256" s="47"/>
      <c r="OO256" s="47"/>
      <c r="OP256" s="47"/>
      <c r="OQ256" s="47"/>
      <c r="OR256" s="47"/>
      <c r="OS256" s="47"/>
      <c r="OT256" s="47"/>
      <c r="OU256" s="47"/>
      <c r="OV256" s="47"/>
      <c r="OW256" s="47"/>
      <c r="OX256" s="47"/>
      <c r="OY256" s="47"/>
      <c r="OZ256" s="47"/>
      <c r="PA256" s="47"/>
      <c r="PB256" s="47"/>
      <c r="PC256" s="47"/>
      <c r="PD256" s="47"/>
      <c r="PE256" s="47"/>
      <c r="PF256" s="47"/>
      <c r="PG256" s="47"/>
      <c r="PH256" s="47"/>
      <c r="PI256" s="47"/>
      <c r="PJ256" s="47"/>
      <c r="PK256" s="47"/>
      <c r="PL256" s="47"/>
      <c r="PM256" s="47"/>
      <c r="PN256" s="47"/>
      <c r="PO256" s="47"/>
      <c r="PP256" s="47"/>
      <c r="PQ256" s="47"/>
      <c r="PR256" s="47"/>
      <c r="PS256" s="47"/>
      <c r="PT256" s="47"/>
      <c r="PU256" s="47"/>
      <c r="PV256" s="47"/>
      <c r="PW256" s="47"/>
      <c r="PX256" s="47"/>
      <c r="PY256" s="47"/>
      <c r="PZ256" s="47"/>
      <c r="QA256" s="47"/>
      <c r="QB256" s="47"/>
      <c r="QC256" s="47"/>
      <c r="QD256" s="47"/>
      <c r="QE256" s="47"/>
      <c r="QF256" s="47"/>
      <c r="QG256" s="47"/>
      <c r="QH256" s="47"/>
      <c r="QI256" s="47"/>
      <c r="QJ256" s="47"/>
      <c r="QK256" s="47"/>
      <c r="QL256" s="47"/>
      <c r="QM256" s="47"/>
      <c r="QN256" s="47"/>
      <c r="QO256" s="47"/>
      <c r="QP256" s="47"/>
      <c r="QQ256" s="47"/>
      <c r="QR256" s="47"/>
      <c r="QS256" s="47"/>
      <c r="QT256" s="47"/>
      <c r="QU256" s="47"/>
      <c r="QV256" s="47"/>
      <c r="QW256" s="47"/>
      <c r="QX256" s="47"/>
      <c r="QY256" s="47"/>
      <c r="QZ256" s="47"/>
      <c r="RA256" s="47"/>
      <c r="RB256" s="47"/>
      <c r="RC256" s="47"/>
      <c r="RD256" s="47"/>
      <c r="RE256" s="47"/>
      <c r="RF256" s="47"/>
      <c r="RG256" s="47"/>
      <c r="RH256" s="47"/>
      <c r="RI256" s="47"/>
      <c r="RJ256" s="47"/>
      <c r="RK256" s="47"/>
      <c r="RL256" s="47"/>
      <c r="RM256" s="47"/>
      <c r="RN256" s="47"/>
      <c r="RO256" s="47"/>
      <c r="RP256" s="47"/>
      <c r="RQ256" s="47"/>
      <c r="RR256" s="47"/>
      <c r="RS256" s="47"/>
      <c r="RT256" s="47"/>
      <c r="RU256" s="47"/>
      <c r="RV256" s="47"/>
      <c r="RW256" s="47"/>
      <c r="RX256" s="47"/>
      <c r="RY256" s="47"/>
      <c r="RZ256" s="47"/>
      <c r="SA256" s="47"/>
      <c r="SB256" s="47"/>
      <c r="SC256" s="47"/>
      <c r="SD256" s="47"/>
      <c r="SE256" s="47"/>
      <c r="SF256" s="47"/>
      <c r="SG256" s="47"/>
      <c r="SH256" s="47"/>
      <c r="SI256" s="47"/>
      <c r="SJ256" s="47"/>
      <c r="SK256" s="47"/>
      <c r="SL256" s="47"/>
      <c r="SM256" s="47"/>
      <c r="SN256" s="47"/>
      <c r="SO256" s="47"/>
      <c r="SP256" s="47"/>
      <c r="SQ256" s="47"/>
      <c r="SR256" s="47"/>
      <c r="SS256" s="47"/>
      <c r="ST256" s="47"/>
      <c r="SU256" s="47"/>
      <c r="SV256" s="47"/>
      <c r="SW256" s="47"/>
      <c r="SX256" s="47"/>
      <c r="SY256" s="47"/>
      <c r="SZ256" s="47"/>
      <c r="TA256" s="47"/>
      <c r="TB256" s="47"/>
      <c r="TC256" s="47"/>
      <c r="TD256" s="47"/>
      <c r="TE256" s="47"/>
      <c r="TF256" s="47"/>
      <c r="TG256" s="47"/>
      <c r="TH256" s="47"/>
      <c r="TI256" s="47"/>
      <c r="TJ256" s="47"/>
      <c r="TK256" s="47"/>
      <c r="TL256" s="47"/>
      <c r="TM256" s="47"/>
      <c r="TN256" s="47"/>
      <c r="TO256" s="47"/>
      <c r="TP256" s="47"/>
      <c r="TQ256" s="47"/>
      <c r="TR256" s="47"/>
      <c r="TS256" s="47"/>
      <c r="TT256" s="47"/>
      <c r="TU256" s="47"/>
      <c r="TV256" s="47"/>
      <c r="TW256" s="47"/>
      <c r="TX256" s="47"/>
      <c r="TY256" s="47"/>
      <c r="TZ256" s="47"/>
      <c r="UA256" s="47"/>
      <c r="UB256" s="47"/>
      <c r="UC256" s="47"/>
      <c r="UD256" s="47"/>
      <c r="UE256" s="47"/>
      <c r="UF256" s="47"/>
      <c r="UG256" s="47"/>
      <c r="UH256" s="47"/>
      <c r="UI256" s="47"/>
      <c r="UJ256" s="47"/>
      <c r="UK256" s="47"/>
      <c r="UL256" s="47"/>
      <c r="UM256" s="47"/>
      <c r="UN256" s="47"/>
      <c r="UO256" s="47"/>
      <c r="UP256" s="47"/>
      <c r="UQ256" s="47"/>
      <c r="UR256" s="47"/>
      <c r="US256" s="47"/>
      <c r="UT256" s="47"/>
      <c r="UU256" s="47"/>
      <c r="UV256" s="47"/>
      <c r="UW256" s="47"/>
      <c r="UX256" s="47"/>
      <c r="UY256" s="47"/>
      <c r="UZ256" s="47"/>
      <c r="VA256" s="47"/>
      <c r="VB256" s="47"/>
      <c r="VC256" s="47"/>
      <c r="VD256" s="47"/>
      <c r="VE256" s="47"/>
      <c r="VF256" s="47"/>
    </row>
    <row r="257" spans="1:578" s="41" customFormat="1" ht="45" x14ac:dyDescent="0.2">
      <c r="A257" s="90">
        <v>1517361</v>
      </c>
      <c r="B257" s="90">
        <v>7361</v>
      </c>
      <c r="C257" s="90" t="s">
        <v>113</v>
      </c>
      <c r="D257" s="42" t="s">
        <v>515</v>
      </c>
      <c r="E257" s="65">
        <v>0</v>
      </c>
      <c r="F257" s="65"/>
      <c r="G257" s="65"/>
      <c r="H257" s="65"/>
      <c r="I257" s="65"/>
      <c r="J257" s="65"/>
      <c r="K257" s="130"/>
      <c r="L257" s="65">
        <f t="shared" si="73"/>
        <v>28000</v>
      </c>
      <c r="M257" s="65">
        <v>28000</v>
      </c>
      <c r="N257" s="65"/>
      <c r="O257" s="65"/>
      <c r="P257" s="65"/>
      <c r="Q257" s="65">
        <v>28000</v>
      </c>
      <c r="R257" s="65">
        <f t="shared" si="74"/>
        <v>0</v>
      </c>
      <c r="S257" s="65"/>
      <c r="T257" s="65"/>
      <c r="U257" s="65"/>
      <c r="V257" s="65"/>
      <c r="W257" s="65"/>
      <c r="X257" s="132">
        <f t="shared" si="68"/>
        <v>0</v>
      </c>
      <c r="Y257" s="65">
        <f t="shared" si="69"/>
        <v>0</v>
      </c>
      <c r="Z257" s="203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  <c r="JB257" s="47"/>
      <c r="JC257" s="47"/>
      <c r="JD257" s="47"/>
      <c r="JE257" s="47"/>
      <c r="JF257" s="47"/>
      <c r="JG257" s="47"/>
      <c r="JH257" s="47"/>
      <c r="JI257" s="47"/>
      <c r="JJ257" s="47"/>
      <c r="JK257" s="47"/>
      <c r="JL257" s="47"/>
      <c r="JM257" s="47"/>
      <c r="JN257" s="47"/>
      <c r="JO257" s="47"/>
      <c r="JP257" s="47"/>
      <c r="JQ257" s="47"/>
      <c r="JR257" s="47"/>
      <c r="JS257" s="47"/>
      <c r="JT257" s="47"/>
      <c r="JU257" s="47"/>
      <c r="JV257" s="47"/>
      <c r="JW257" s="47"/>
      <c r="JX257" s="47"/>
      <c r="JY257" s="47"/>
      <c r="JZ257" s="47"/>
      <c r="KA257" s="47"/>
      <c r="KB257" s="47"/>
      <c r="KC257" s="47"/>
      <c r="KD257" s="47"/>
      <c r="KE257" s="47"/>
      <c r="KF257" s="47"/>
      <c r="KG257" s="47"/>
      <c r="KH257" s="47"/>
      <c r="KI257" s="47"/>
      <c r="KJ257" s="47"/>
      <c r="KK257" s="47"/>
      <c r="KL257" s="47"/>
      <c r="KM257" s="47"/>
      <c r="KN257" s="47"/>
      <c r="KO257" s="47"/>
      <c r="KP257" s="47"/>
      <c r="KQ257" s="47"/>
      <c r="KR257" s="47"/>
      <c r="KS257" s="47"/>
      <c r="KT257" s="47"/>
      <c r="KU257" s="47"/>
      <c r="KV257" s="47"/>
      <c r="KW257" s="47"/>
      <c r="KX257" s="47"/>
      <c r="KY257" s="47"/>
      <c r="KZ257" s="47"/>
      <c r="LA257" s="47"/>
      <c r="LB257" s="47"/>
      <c r="LC257" s="47"/>
      <c r="LD257" s="47"/>
      <c r="LE257" s="47"/>
      <c r="LF257" s="47"/>
      <c r="LG257" s="47"/>
      <c r="LH257" s="47"/>
      <c r="LI257" s="47"/>
      <c r="LJ257" s="47"/>
      <c r="LK257" s="47"/>
      <c r="LL257" s="47"/>
      <c r="LM257" s="47"/>
      <c r="LN257" s="47"/>
      <c r="LO257" s="47"/>
      <c r="LP257" s="47"/>
      <c r="LQ257" s="47"/>
      <c r="LR257" s="47"/>
      <c r="LS257" s="47"/>
      <c r="LT257" s="47"/>
      <c r="LU257" s="47"/>
      <c r="LV257" s="47"/>
      <c r="LW257" s="47"/>
      <c r="LX257" s="47"/>
      <c r="LY257" s="47"/>
      <c r="LZ257" s="47"/>
      <c r="MA257" s="47"/>
      <c r="MB257" s="47"/>
      <c r="MC257" s="47"/>
      <c r="MD257" s="47"/>
      <c r="ME257" s="47"/>
      <c r="MF257" s="47"/>
      <c r="MG257" s="47"/>
      <c r="MH257" s="47"/>
      <c r="MI257" s="47"/>
      <c r="MJ257" s="47"/>
      <c r="MK257" s="47"/>
      <c r="ML257" s="47"/>
      <c r="MM257" s="47"/>
      <c r="MN257" s="47"/>
      <c r="MO257" s="47"/>
      <c r="MP257" s="47"/>
      <c r="MQ257" s="47"/>
      <c r="MR257" s="47"/>
      <c r="MS257" s="47"/>
      <c r="MT257" s="47"/>
      <c r="MU257" s="47"/>
      <c r="MV257" s="47"/>
      <c r="MW257" s="47"/>
      <c r="MX257" s="47"/>
      <c r="MY257" s="47"/>
      <c r="MZ257" s="47"/>
      <c r="NA257" s="47"/>
      <c r="NB257" s="47"/>
      <c r="NC257" s="47"/>
      <c r="ND257" s="47"/>
      <c r="NE257" s="47"/>
      <c r="NF257" s="47"/>
      <c r="NG257" s="47"/>
      <c r="NH257" s="47"/>
      <c r="NI257" s="47"/>
      <c r="NJ257" s="47"/>
      <c r="NK257" s="47"/>
      <c r="NL257" s="47"/>
      <c r="NM257" s="47"/>
      <c r="NN257" s="47"/>
      <c r="NO257" s="47"/>
      <c r="NP257" s="47"/>
      <c r="NQ257" s="47"/>
      <c r="NR257" s="47"/>
      <c r="NS257" s="47"/>
      <c r="NT257" s="47"/>
      <c r="NU257" s="47"/>
      <c r="NV257" s="47"/>
      <c r="NW257" s="47"/>
      <c r="NX257" s="47"/>
      <c r="NY257" s="47"/>
      <c r="NZ257" s="47"/>
      <c r="OA257" s="47"/>
      <c r="OB257" s="47"/>
      <c r="OC257" s="47"/>
      <c r="OD257" s="47"/>
      <c r="OE257" s="47"/>
      <c r="OF257" s="47"/>
      <c r="OG257" s="47"/>
      <c r="OH257" s="47"/>
      <c r="OI257" s="47"/>
      <c r="OJ257" s="47"/>
      <c r="OK257" s="47"/>
      <c r="OL257" s="47"/>
      <c r="OM257" s="47"/>
      <c r="ON257" s="47"/>
      <c r="OO257" s="47"/>
      <c r="OP257" s="47"/>
      <c r="OQ257" s="47"/>
      <c r="OR257" s="47"/>
      <c r="OS257" s="47"/>
      <c r="OT257" s="47"/>
      <c r="OU257" s="47"/>
      <c r="OV257" s="47"/>
      <c r="OW257" s="47"/>
      <c r="OX257" s="47"/>
      <c r="OY257" s="47"/>
      <c r="OZ257" s="47"/>
      <c r="PA257" s="47"/>
      <c r="PB257" s="47"/>
      <c r="PC257" s="47"/>
      <c r="PD257" s="47"/>
      <c r="PE257" s="47"/>
      <c r="PF257" s="47"/>
      <c r="PG257" s="47"/>
      <c r="PH257" s="47"/>
      <c r="PI257" s="47"/>
      <c r="PJ257" s="47"/>
      <c r="PK257" s="47"/>
      <c r="PL257" s="47"/>
      <c r="PM257" s="47"/>
      <c r="PN257" s="47"/>
      <c r="PO257" s="47"/>
      <c r="PP257" s="47"/>
      <c r="PQ257" s="47"/>
      <c r="PR257" s="47"/>
      <c r="PS257" s="47"/>
      <c r="PT257" s="47"/>
      <c r="PU257" s="47"/>
      <c r="PV257" s="47"/>
      <c r="PW257" s="47"/>
      <c r="PX257" s="47"/>
      <c r="PY257" s="47"/>
      <c r="PZ257" s="47"/>
      <c r="QA257" s="47"/>
      <c r="QB257" s="47"/>
      <c r="QC257" s="47"/>
      <c r="QD257" s="47"/>
      <c r="QE257" s="47"/>
      <c r="QF257" s="47"/>
      <c r="QG257" s="47"/>
      <c r="QH257" s="47"/>
      <c r="QI257" s="47"/>
      <c r="QJ257" s="47"/>
      <c r="QK257" s="47"/>
      <c r="QL257" s="47"/>
      <c r="QM257" s="47"/>
      <c r="QN257" s="47"/>
      <c r="QO257" s="47"/>
      <c r="QP257" s="47"/>
      <c r="QQ257" s="47"/>
      <c r="QR257" s="47"/>
      <c r="QS257" s="47"/>
      <c r="QT257" s="47"/>
      <c r="QU257" s="47"/>
      <c r="QV257" s="47"/>
      <c r="QW257" s="47"/>
      <c r="QX257" s="47"/>
      <c r="QY257" s="47"/>
      <c r="QZ257" s="47"/>
      <c r="RA257" s="47"/>
      <c r="RB257" s="47"/>
      <c r="RC257" s="47"/>
      <c r="RD257" s="47"/>
      <c r="RE257" s="47"/>
      <c r="RF257" s="47"/>
      <c r="RG257" s="47"/>
      <c r="RH257" s="47"/>
      <c r="RI257" s="47"/>
      <c r="RJ257" s="47"/>
      <c r="RK257" s="47"/>
      <c r="RL257" s="47"/>
      <c r="RM257" s="47"/>
      <c r="RN257" s="47"/>
      <c r="RO257" s="47"/>
      <c r="RP257" s="47"/>
      <c r="RQ257" s="47"/>
      <c r="RR257" s="47"/>
      <c r="RS257" s="47"/>
      <c r="RT257" s="47"/>
      <c r="RU257" s="47"/>
      <c r="RV257" s="47"/>
      <c r="RW257" s="47"/>
      <c r="RX257" s="47"/>
      <c r="RY257" s="47"/>
      <c r="RZ257" s="47"/>
      <c r="SA257" s="47"/>
      <c r="SB257" s="47"/>
      <c r="SC257" s="47"/>
      <c r="SD257" s="47"/>
      <c r="SE257" s="47"/>
      <c r="SF257" s="47"/>
      <c r="SG257" s="47"/>
      <c r="SH257" s="47"/>
      <c r="SI257" s="47"/>
      <c r="SJ257" s="47"/>
      <c r="SK257" s="47"/>
      <c r="SL257" s="47"/>
      <c r="SM257" s="47"/>
      <c r="SN257" s="47"/>
      <c r="SO257" s="47"/>
      <c r="SP257" s="47"/>
      <c r="SQ257" s="47"/>
      <c r="SR257" s="47"/>
      <c r="SS257" s="47"/>
      <c r="ST257" s="47"/>
      <c r="SU257" s="47"/>
      <c r="SV257" s="47"/>
      <c r="SW257" s="47"/>
      <c r="SX257" s="47"/>
      <c r="SY257" s="47"/>
      <c r="SZ257" s="47"/>
      <c r="TA257" s="47"/>
      <c r="TB257" s="47"/>
      <c r="TC257" s="47"/>
      <c r="TD257" s="47"/>
      <c r="TE257" s="47"/>
      <c r="TF257" s="47"/>
      <c r="TG257" s="47"/>
      <c r="TH257" s="47"/>
      <c r="TI257" s="47"/>
      <c r="TJ257" s="47"/>
      <c r="TK257" s="47"/>
      <c r="TL257" s="47"/>
      <c r="TM257" s="47"/>
      <c r="TN257" s="47"/>
      <c r="TO257" s="47"/>
      <c r="TP257" s="47"/>
      <c r="TQ257" s="47"/>
      <c r="TR257" s="47"/>
      <c r="TS257" s="47"/>
      <c r="TT257" s="47"/>
      <c r="TU257" s="47"/>
      <c r="TV257" s="47"/>
      <c r="TW257" s="47"/>
      <c r="TX257" s="47"/>
      <c r="TY257" s="47"/>
      <c r="TZ257" s="47"/>
      <c r="UA257" s="47"/>
      <c r="UB257" s="47"/>
      <c r="UC257" s="47"/>
      <c r="UD257" s="47"/>
      <c r="UE257" s="47"/>
      <c r="UF257" s="47"/>
      <c r="UG257" s="47"/>
      <c r="UH257" s="47"/>
      <c r="UI257" s="47"/>
      <c r="UJ257" s="47"/>
      <c r="UK257" s="47"/>
      <c r="UL257" s="47"/>
      <c r="UM257" s="47"/>
      <c r="UN257" s="47"/>
      <c r="UO257" s="47"/>
      <c r="UP257" s="47"/>
      <c r="UQ257" s="47"/>
      <c r="UR257" s="47"/>
      <c r="US257" s="47"/>
      <c r="UT257" s="47"/>
      <c r="UU257" s="47"/>
      <c r="UV257" s="47"/>
      <c r="UW257" s="47"/>
      <c r="UX257" s="47"/>
      <c r="UY257" s="47"/>
      <c r="UZ257" s="47"/>
      <c r="VA257" s="47"/>
      <c r="VB257" s="47"/>
      <c r="VC257" s="47"/>
      <c r="VD257" s="47"/>
      <c r="VE257" s="47"/>
      <c r="VF257" s="47"/>
    </row>
    <row r="258" spans="1:578" s="41" customFormat="1" ht="45" x14ac:dyDescent="0.2">
      <c r="A258" s="90">
        <v>1517363</v>
      </c>
      <c r="B258" s="90">
        <v>7363</v>
      </c>
      <c r="C258" s="95" t="s">
        <v>113</v>
      </c>
      <c r="D258" s="40" t="s">
        <v>498</v>
      </c>
      <c r="E258" s="65">
        <v>0</v>
      </c>
      <c r="F258" s="65"/>
      <c r="G258" s="65"/>
      <c r="H258" s="65"/>
      <c r="I258" s="65"/>
      <c r="J258" s="65"/>
      <c r="K258" s="130"/>
      <c r="L258" s="65">
        <f>N258+Q258</f>
        <v>48390</v>
      </c>
      <c r="M258" s="65">
        <v>48390</v>
      </c>
      <c r="N258" s="65"/>
      <c r="O258" s="65"/>
      <c r="P258" s="65"/>
      <c r="Q258" s="65">
        <f>35000+13000+390</f>
        <v>48390</v>
      </c>
      <c r="R258" s="65">
        <f>T258+W258</f>
        <v>0</v>
      </c>
      <c r="S258" s="65"/>
      <c r="T258" s="65"/>
      <c r="U258" s="65"/>
      <c r="V258" s="65"/>
      <c r="W258" s="65"/>
      <c r="X258" s="132">
        <f t="shared" si="68"/>
        <v>0</v>
      </c>
      <c r="Y258" s="65">
        <f t="shared" si="69"/>
        <v>0</v>
      </c>
      <c r="Z258" s="203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  <c r="JB258" s="47"/>
      <c r="JC258" s="47"/>
      <c r="JD258" s="47"/>
      <c r="JE258" s="47"/>
      <c r="JF258" s="47"/>
      <c r="JG258" s="47"/>
      <c r="JH258" s="47"/>
      <c r="JI258" s="47"/>
      <c r="JJ258" s="47"/>
      <c r="JK258" s="47"/>
      <c r="JL258" s="47"/>
      <c r="JM258" s="47"/>
      <c r="JN258" s="47"/>
      <c r="JO258" s="47"/>
      <c r="JP258" s="47"/>
      <c r="JQ258" s="47"/>
      <c r="JR258" s="47"/>
      <c r="JS258" s="47"/>
      <c r="JT258" s="47"/>
      <c r="JU258" s="47"/>
      <c r="JV258" s="47"/>
      <c r="JW258" s="47"/>
      <c r="JX258" s="47"/>
      <c r="JY258" s="47"/>
      <c r="JZ258" s="47"/>
      <c r="KA258" s="47"/>
      <c r="KB258" s="47"/>
      <c r="KC258" s="47"/>
      <c r="KD258" s="47"/>
      <c r="KE258" s="47"/>
      <c r="KF258" s="47"/>
      <c r="KG258" s="47"/>
      <c r="KH258" s="47"/>
      <c r="KI258" s="47"/>
      <c r="KJ258" s="47"/>
      <c r="KK258" s="47"/>
      <c r="KL258" s="47"/>
      <c r="KM258" s="47"/>
      <c r="KN258" s="47"/>
      <c r="KO258" s="47"/>
      <c r="KP258" s="47"/>
      <c r="KQ258" s="47"/>
      <c r="KR258" s="47"/>
      <c r="KS258" s="47"/>
      <c r="KT258" s="47"/>
      <c r="KU258" s="47"/>
      <c r="KV258" s="47"/>
      <c r="KW258" s="47"/>
      <c r="KX258" s="47"/>
      <c r="KY258" s="47"/>
      <c r="KZ258" s="47"/>
      <c r="LA258" s="47"/>
      <c r="LB258" s="47"/>
      <c r="LC258" s="47"/>
      <c r="LD258" s="47"/>
      <c r="LE258" s="47"/>
      <c r="LF258" s="47"/>
      <c r="LG258" s="47"/>
      <c r="LH258" s="47"/>
      <c r="LI258" s="47"/>
      <c r="LJ258" s="47"/>
      <c r="LK258" s="47"/>
      <c r="LL258" s="47"/>
      <c r="LM258" s="47"/>
      <c r="LN258" s="47"/>
      <c r="LO258" s="47"/>
      <c r="LP258" s="47"/>
      <c r="LQ258" s="47"/>
      <c r="LR258" s="47"/>
      <c r="LS258" s="47"/>
      <c r="LT258" s="47"/>
      <c r="LU258" s="47"/>
      <c r="LV258" s="47"/>
      <c r="LW258" s="47"/>
      <c r="LX258" s="47"/>
      <c r="LY258" s="47"/>
      <c r="LZ258" s="47"/>
      <c r="MA258" s="47"/>
      <c r="MB258" s="47"/>
      <c r="MC258" s="47"/>
      <c r="MD258" s="47"/>
      <c r="ME258" s="47"/>
      <c r="MF258" s="47"/>
      <c r="MG258" s="47"/>
      <c r="MH258" s="47"/>
      <c r="MI258" s="47"/>
      <c r="MJ258" s="47"/>
      <c r="MK258" s="47"/>
      <c r="ML258" s="47"/>
      <c r="MM258" s="47"/>
      <c r="MN258" s="47"/>
      <c r="MO258" s="47"/>
      <c r="MP258" s="47"/>
      <c r="MQ258" s="47"/>
      <c r="MR258" s="47"/>
      <c r="MS258" s="47"/>
      <c r="MT258" s="47"/>
      <c r="MU258" s="47"/>
      <c r="MV258" s="47"/>
      <c r="MW258" s="47"/>
      <c r="MX258" s="47"/>
      <c r="MY258" s="47"/>
      <c r="MZ258" s="47"/>
      <c r="NA258" s="47"/>
      <c r="NB258" s="47"/>
      <c r="NC258" s="47"/>
      <c r="ND258" s="47"/>
      <c r="NE258" s="47"/>
      <c r="NF258" s="47"/>
      <c r="NG258" s="47"/>
      <c r="NH258" s="47"/>
      <c r="NI258" s="47"/>
      <c r="NJ258" s="47"/>
      <c r="NK258" s="47"/>
      <c r="NL258" s="47"/>
      <c r="NM258" s="47"/>
      <c r="NN258" s="47"/>
      <c r="NO258" s="47"/>
      <c r="NP258" s="47"/>
      <c r="NQ258" s="47"/>
      <c r="NR258" s="47"/>
      <c r="NS258" s="47"/>
      <c r="NT258" s="47"/>
      <c r="NU258" s="47"/>
      <c r="NV258" s="47"/>
      <c r="NW258" s="47"/>
      <c r="NX258" s="47"/>
      <c r="NY258" s="47"/>
      <c r="NZ258" s="47"/>
      <c r="OA258" s="47"/>
      <c r="OB258" s="47"/>
      <c r="OC258" s="47"/>
      <c r="OD258" s="47"/>
      <c r="OE258" s="47"/>
      <c r="OF258" s="47"/>
      <c r="OG258" s="47"/>
      <c r="OH258" s="47"/>
      <c r="OI258" s="47"/>
      <c r="OJ258" s="47"/>
      <c r="OK258" s="47"/>
      <c r="OL258" s="47"/>
      <c r="OM258" s="47"/>
      <c r="ON258" s="47"/>
      <c r="OO258" s="47"/>
      <c r="OP258" s="47"/>
      <c r="OQ258" s="47"/>
      <c r="OR258" s="47"/>
      <c r="OS258" s="47"/>
      <c r="OT258" s="47"/>
      <c r="OU258" s="47"/>
      <c r="OV258" s="47"/>
      <c r="OW258" s="47"/>
      <c r="OX258" s="47"/>
      <c r="OY258" s="47"/>
      <c r="OZ258" s="47"/>
      <c r="PA258" s="47"/>
      <c r="PB258" s="47"/>
      <c r="PC258" s="47"/>
      <c r="PD258" s="47"/>
      <c r="PE258" s="47"/>
      <c r="PF258" s="47"/>
      <c r="PG258" s="47"/>
      <c r="PH258" s="47"/>
      <c r="PI258" s="47"/>
      <c r="PJ258" s="47"/>
      <c r="PK258" s="47"/>
      <c r="PL258" s="47"/>
      <c r="PM258" s="47"/>
      <c r="PN258" s="47"/>
      <c r="PO258" s="47"/>
      <c r="PP258" s="47"/>
      <c r="PQ258" s="47"/>
      <c r="PR258" s="47"/>
      <c r="PS258" s="47"/>
      <c r="PT258" s="47"/>
      <c r="PU258" s="47"/>
      <c r="PV258" s="47"/>
      <c r="PW258" s="47"/>
      <c r="PX258" s="47"/>
      <c r="PY258" s="47"/>
      <c r="PZ258" s="47"/>
      <c r="QA258" s="47"/>
      <c r="QB258" s="47"/>
      <c r="QC258" s="47"/>
      <c r="QD258" s="47"/>
      <c r="QE258" s="47"/>
      <c r="QF258" s="47"/>
      <c r="QG258" s="47"/>
      <c r="QH258" s="47"/>
      <c r="QI258" s="47"/>
      <c r="QJ258" s="47"/>
      <c r="QK258" s="47"/>
      <c r="QL258" s="47"/>
      <c r="QM258" s="47"/>
      <c r="QN258" s="47"/>
      <c r="QO258" s="47"/>
      <c r="QP258" s="47"/>
      <c r="QQ258" s="47"/>
      <c r="QR258" s="47"/>
      <c r="QS258" s="47"/>
      <c r="QT258" s="47"/>
      <c r="QU258" s="47"/>
      <c r="QV258" s="47"/>
      <c r="QW258" s="47"/>
      <c r="QX258" s="47"/>
      <c r="QY258" s="47"/>
      <c r="QZ258" s="47"/>
      <c r="RA258" s="47"/>
      <c r="RB258" s="47"/>
      <c r="RC258" s="47"/>
      <c r="RD258" s="47"/>
      <c r="RE258" s="47"/>
      <c r="RF258" s="47"/>
      <c r="RG258" s="47"/>
      <c r="RH258" s="47"/>
      <c r="RI258" s="47"/>
      <c r="RJ258" s="47"/>
      <c r="RK258" s="47"/>
      <c r="RL258" s="47"/>
      <c r="RM258" s="47"/>
      <c r="RN258" s="47"/>
      <c r="RO258" s="47"/>
      <c r="RP258" s="47"/>
      <c r="RQ258" s="47"/>
      <c r="RR258" s="47"/>
      <c r="RS258" s="47"/>
      <c r="RT258" s="47"/>
      <c r="RU258" s="47"/>
      <c r="RV258" s="47"/>
      <c r="RW258" s="47"/>
      <c r="RX258" s="47"/>
      <c r="RY258" s="47"/>
      <c r="RZ258" s="47"/>
      <c r="SA258" s="47"/>
      <c r="SB258" s="47"/>
      <c r="SC258" s="47"/>
      <c r="SD258" s="47"/>
      <c r="SE258" s="47"/>
      <c r="SF258" s="47"/>
      <c r="SG258" s="47"/>
      <c r="SH258" s="47"/>
      <c r="SI258" s="47"/>
      <c r="SJ258" s="47"/>
      <c r="SK258" s="47"/>
      <c r="SL258" s="47"/>
      <c r="SM258" s="47"/>
      <c r="SN258" s="47"/>
      <c r="SO258" s="47"/>
      <c r="SP258" s="47"/>
      <c r="SQ258" s="47"/>
      <c r="SR258" s="47"/>
      <c r="SS258" s="47"/>
      <c r="ST258" s="47"/>
      <c r="SU258" s="47"/>
      <c r="SV258" s="47"/>
      <c r="SW258" s="47"/>
      <c r="SX258" s="47"/>
      <c r="SY258" s="47"/>
      <c r="SZ258" s="47"/>
      <c r="TA258" s="47"/>
      <c r="TB258" s="47"/>
      <c r="TC258" s="47"/>
      <c r="TD258" s="47"/>
      <c r="TE258" s="47"/>
      <c r="TF258" s="47"/>
      <c r="TG258" s="47"/>
      <c r="TH258" s="47"/>
      <c r="TI258" s="47"/>
      <c r="TJ258" s="47"/>
      <c r="TK258" s="47"/>
      <c r="TL258" s="47"/>
      <c r="TM258" s="47"/>
      <c r="TN258" s="47"/>
      <c r="TO258" s="47"/>
      <c r="TP258" s="47"/>
      <c r="TQ258" s="47"/>
      <c r="TR258" s="47"/>
      <c r="TS258" s="47"/>
      <c r="TT258" s="47"/>
      <c r="TU258" s="47"/>
      <c r="TV258" s="47"/>
      <c r="TW258" s="47"/>
      <c r="TX258" s="47"/>
      <c r="TY258" s="47"/>
      <c r="TZ258" s="47"/>
      <c r="UA258" s="47"/>
      <c r="UB258" s="47"/>
      <c r="UC258" s="47"/>
      <c r="UD258" s="47"/>
      <c r="UE258" s="47"/>
      <c r="UF258" s="47"/>
      <c r="UG258" s="47"/>
      <c r="UH258" s="47"/>
      <c r="UI258" s="47"/>
      <c r="UJ258" s="47"/>
      <c r="UK258" s="47"/>
      <c r="UL258" s="47"/>
      <c r="UM258" s="47"/>
      <c r="UN258" s="47"/>
      <c r="UO258" s="47"/>
      <c r="UP258" s="47"/>
      <c r="UQ258" s="47"/>
      <c r="UR258" s="47"/>
      <c r="US258" s="47"/>
      <c r="UT258" s="47"/>
      <c r="UU258" s="47"/>
      <c r="UV258" s="47"/>
      <c r="UW258" s="47"/>
      <c r="UX258" s="47"/>
      <c r="UY258" s="47"/>
      <c r="UZ258" s="47"/>
      <c r="VA258" s="47"/>
      <c r="VB258" s="47"/>
      <c r="VC258" s="47"/>
      <c r="VD258" s="47"/>
      <c r="VE258" s="47"/>
      <c r="VF258" s="47"/>
    </row>
    <row r="259" spans="1:578" s="41" customFormat="1" ht="15" customHeight="1" x14ac:dyDescent="0.2">
      <c r="A259" s="90"/>
      <c r="B259" s="90"/>
      <c r="C259" s="95"/>
      <c r="D259" s="40" t="s">
        <v>583</v>
      </c>
      <c r="E259" s="65">
        <v>0</v>
      </c>
      <c r="F259" s="65"/>
      <c r="G259" s="65"/>
      <c r="H259" s="65"/>
      <c r="I259" s="65"/>
      <c r="J259" s="65"/>
      <c r="K259" s="130"/>
      <c r="L259" s="65">
        <f>N259+Q259</f>
        <v>48000</v>
      </c>
      <c r="M259" s="65">
        <v>48000</v>
      </c>
      <c r="N259" s="65"/>
      <c r="O259" s="65"/>
      <c r="P259" s="65"/>
      <c r="Q259" s="65">
        <f>35000+13000</f>
        <v>48000</v>
      </c>
      <c r="R259" s="65">
        <f>T259+W259</f>
        <v>0</v>
      </c>
      <c r="S259" s="65"/>
      <c r="T259" s="65"/>
      <c r="U259" s="65"/>
      <c r="V259" s="65"/>
      <c r="W259" s="65"/>
      <c r="X259" s="132">
        <f t="shared" si="68"/>
        <v>0</v>
      </c>
      <c r="Y259" s="65">
        <f t="shared" si="69"/>
        <v>0</v>
      </c>
      <c r="Z259" s="202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7"/>
      <c r="JA259" s="47"/>
      <c r="JB259" s="47"/>
      <c r="JC259" s="47"/>
      <c r="JD259" s="47"/>
      <c r="JE259" s="47"/>
      <c r="JF259" s="47"/>
      <c r="JG259" s="47"/>
      <c r="JH259" s="47"/>
      <c r="JI259" s="47"/>
      <c r="JJ259" s="47"/>
      <c r="JK259" s="47"/>
      <c r="JL259" s="47"/>
      <c r="JM259" s="47"/>
      <c r="JN259" s="47"/>
      <c r="JO259" s="47"/>
      <c r="JP259" s="47"/>
      <c r="JQ259" s="47"/>
      <c r="JR259" s="47"/>
      <c r="JS259" s="47"/>
      <c r="JT259" s="47"/>
      <c r="JU259" s="47"/>
      <c r="JV259" s="47"/>
      <c r="JW259" s="47"/>
      <c r="JX259" s="47"/>
      <c r="JY259" s="47"/>
      <c r="JZ259" s="47"/>
      <c r="KA259" s="47"/>
      <c r="KB259" s="47"/>
      <c r="KC259" s="47"/>
      <c r="KD259" s="47"/>
      <c r="KE259" s="47"/>
      <c r="KF259" s="47"/>
      <c r="KG259" s="47"/>
      <c r="KH259" s="47"/>
      <c r="KI259" s="47"/>
      <c r="KJ259" s="47"/>
      <c r="KK259" s="47"/>
      <c r="KL259" s="47"/>
      <c r="KM259" s="47"/>
      <c r="KN259" s="47"/>
      <c r="KO259" s="47"/>
      <c r="KP259" s="47"/>
      <c r="KQ259" s="47"/>
      <c r="KR259" s="47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47"/>
      <c r="LK259" s="47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47"/>
      <c r="MD259" s="47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47"/>
      <c r="MW259" s="47"/>
      <c r="MX259" s="47"/>
      <c r="MY259" s="47"/>
      <c r="MZ259" s="47"/>
      <c r="NA259" s="47"/>
      <c r="NB259" s="47"/>
      <c r="NC259" s="47"/>
      <c r="ND259" s="47"/>
      <c r="NE259" s="47"/>
      <c r="NF259" s="47"/>
      <c r="NG259" s="47"/>
      <c r="NH259" s="47"/>
      <c r="NI259" s="47"/>
      <c r="NJ259" s="47"/>
      <c r="NK259" s="47"/>
      <c r="NL259" s="47"/>
      <c r="NM259" s="47"/>
      <c r="NN259" s="47"/>
      <c r="NO259" s="47"/>
      <c r="NP259" s="47"/>
      <c r="NQ259" s="47"/>
      <c r="NR259" s="47"/>
      <c r="NS259" s="47"/>
      <c r="NT259" s="47"/>
      <c r="NU259" s="47"/>
      <c r="NV259" s="47"/>
      <c r="NW259" s="47"/>
      <c r="NX259" s="47"/>
      <c r="NY259" s="47"/>
      <c r="NZ259" s="47"/>
      <c r="OA259" s="47"/>
      <c r="OB259" s="47"/>
      <c r="OC259" s="47"/>
      <c r="OD259" s="47"/>
      <c r="OE259" s="47"/>
      <c r="OF259" s="47"/>
      <c r="OG259" s="47"/>
      <c r="OH259" s="47"/>
      <c r="OI259" s="47"/>
      <c r="OJ259" s="47"/>
      <c r="OK259" s="47"/>
      <c r="OL259" s="47"/>
      <c r="OM259" s="47"/>
      <c r="ON259" s="47"/>
      <c r="OO259" s="47"/>
      <c r="OP259" s="47"/>
      <c r="OQ259" s="47"/>
      <c r="OR259" s="47"/>
      <c r="OS259" s="47"/>
      <c r="OT259" s="47"/>
      <c r="OU259" s="47"/>
      <c r="OV259" s="47"/>
      <c r="OW259" s="47"/>
      <c r="OX259" s="47"/>
      <c r="OY259" s="47"/>
      <c r="OZ259" s="47"/>
      <c r="PA259" s="47"/>
      <c r="PB259" s="47"/>
      <c r="PC259" s="47"/>
      <c r="PD259" s="47"/>
      <c r="PE259" s="47"/>
      <c r="PF259" s="47"/>
      <c r="PG259" s="47"/>
      <c r="PH259" s="47"/>
      <c r="PI259" s="47"/>
      <c r="PJ259" s="47"/>
      <c r="PK259" s="47"/>
      <c r="PL259" s="47"/>
      <c r="PM259" s="47"/>
      <c r="PN259" s="47"/>
      <c r="PO259" s="47"/>
      <c r="PP259" s="47"/>
      <c r="PQ259" s="47"/>
      <c r="PR259" s="47"/>
      <c r="PS259" s="47"/>
      <c r="PT259" s="47"/>
      <c r="PU259" s="47"/>
      <c r="PV259" s="47"/>
      <c r="PW259" s="47"/>
      <c r="PX259" s="47"/>
      <c r="PY259" s="47"/>
      <c r="PZ259" s="47"/>
      <c r="QA259" s="47"/>
      <c r="QB259" s="47"/>
      <c r="QC259" s="47"/>
      <c r="QD259" s="47"/>
      <c r="QE259" s="47"/>
      <c r="QF259" s="47"/>
      <c r="QG259" s="47"/>
      <c r="QH259" s="47"/>
      <c r="QI259" s="47"/>
      <c r="QJ259" s="47"/>
      <c r="QK259" s="47"/>
      <c r="QL259" s="47"/>
      <c r="QM259" s="47"/>
      <c r="QN259" s="47"/>
      <c r="QO259" s="47"/>
      <c r="QP259" s="47"/>
      <c r="QQ259" s="47"/>
      <c r="QR259" s="47"/>
      <c r="QS259" s="47"/>
      <c r="QT259" s="47"/>
      <c r="QU259" s="47"/>
      <c r="QV259" s="47"/>
      <c r="QW259" s="47"/>
      <c r="QX259" s="47"/>
      <c r="QY259" s="47"/>
      <c r="QZ259" s="47"/>
      <c r="RA259" s="47"/>
      <c r="RB259" s="47"/>
      <c r="RC259" s="47"/>
      <c r="RD259" s="47"/>
      <c r="RE259" s="47"/>
      <c r="RF259" s="47"/>
      <c r="RG259" s="47"/>
      <c r="RH259" s="47"/>
      <c r="RI259" s="47"/>
      <c r="RJ259" s="47"/>
      <c r="RK259" s="47"/>
      <c r="RL259" s="47"/>
      <c r="RM259" s="47"/>
      <c r="RN259" s="47"/>
      <c r="RO259" s="47"/>
      <c r="RP259" s="47"/>
      <c r="RQ259" s="47"/>
      <c r="RR259" s="47"/>
      <c r="RS259" s="47"/>
      <c r="RT259" s="47"/>
      <c r="RU259" s="47"/>
      <c r="RV259" s="47"/>
      <c r="RW259" s="47"/>
      <c r="RX259" s="47"/>
      <c r="RY259" s="47"/>
      <c r="RZ259" s="47"/>
      <c r="SA259" s="47"/>
      <c r="SB259" s="47"/>
      <c r="SC259" s="47"/>
      <c r="SD259" s="47"/>
      <c r="SE259" s="47"/>
      <c r="SF259" s="47"/>
      <c r="SG259" s="47"/>
      <c r="SH259" s="47"/>
      <c r="SI259" s="47"/>
      <c r="SJ259" s="47"/>
      <c r="SK259" s="47"/>
      <c r="SL259" s="47"/>
      <c r="SM259" s="47"/>
      <c r="SN259" s="47"/>
      <c r="SO259" s="47"/>
      <c r="SP259" s="47"/>
      <c r="SQ259" s="47"/>
      <c r="SR259" s="47"/>
      <c r="SS259" s="47"/>
      <c r="ST259" s="47"/>
      <c r="SU259" s="47"/>
      <c r="SV259" s="47"/>
      <c r="SW259" s="47"/>
      <c r="SX259" s="47"/>
      <c r="SY259" s="47"/>
      <c r="SZ259" s="47"/>
      <c r="TA259" s="47"/>
      <c r="TB259" s="47"/>
      <c r="TC259" s="47"/>
      <c r="TD259" s="47"/>
      <c r="TE259" s="47"/>
      <c r="TF259" s="47"/>
      <c r="TG259" s="47"/>
      <c r="TH259" s="47"/>
      <c r="TI259" s="47"/>
      <c r="TJ259" s="47"/>
      <c r="TK259" s="47"/>
      <c r="TL259" s="47"/>
      <c r="TM259" s="47"/>
      <c r="TN259" s="47"/>
      <c r="TO259" s="47"/>
      <c r="TP259" s="47"/>
      <c r="TQ259" s="47"/>
      <c r="TR259" s="47"/>
      <c r="TS259" s="47"/>
      <c r="TT259" s="47"/>
      <c r="TU259" s="47"/>
      <c r="TV259" s="47"/>
      <c r="TW259" s="47"/>
      <c r="TX259" s="47"/>
      <c r="TY259" s="47"/>
      <c r="TZ259" s="47"/>
      <c r="UA259" s="47"/>
      <c r="UB259" s="47"/>
      <c r="UC259" s="47"/>
      <c r="UD259" s="47"/>
      <c r="UE259" s="47"/>
      <c r="UF259" s="47"/>
      <c r="UG259" s="47"/>
      <c r="UH259" s="47"/>
      <c r="UI259" s="47"/>
      <c r="UJ259" s="47"/>
      <c r="UK259" s="47"/>
      <c r="UL259" s="47"/>
      <c r="UM259" s="47"/>
      <c r="UN259" s="47"/>
      <c r="UO259" s="47"/>
      <c r="UP259" s="47"/>
      <c r="UQ259" s="47"/>
      <c r="UR259" s="47"/>
      <c r="US259" s="47"/>
      <c r="UT259" s="47"/>
      <c r="UU259" s="47"/>
      <c r="UV259" s="47"/>
      <c r="UW259" s="47"/>
      <c r="UX259" s="47"/>
      <c r="UY259" s="47"/>
      <c r="UZ259" s="47"/>
      <c r="VA259" s="47"/>
      <c r="VB259" s="47"/>
      <c r="VC259" s="47"/>
      <c r="VD259" s="47"/>
      <c r="VE259" s="47"/>
      <c r="VF259" s="47"/>
    </row>
    <row r="260" spans="1:578" s="41" customFormat="1" ht="31.5" customHeight="1" x14ac:dyDescent="0.2">
      <c r="A260" s="90">
        <v>1517370</v>
      </c>
      <c r="B260" s="90">
        <v>7370</v>
      </c>
      <c r="C260" s="95" t="s">
        <v>113</v>
      </c>
      <c r="D260" s="40" t="s">
        <v>563</v>
      </c>
      <c r="E260" s="65">
        <v>84344.6</v>
      </c>
      <c r="F260" s="65"/>
      <c r="G260" s="65"/>
      <c r="H260" s="65"/>
      <c r="I260" s="65"/>
      <c r="J260" s="65"/>
      <c r="K260" s="130">
        <f t="shared" si="70"/>
        <v>0</v>
      </c>
      <c r="L260" s="65">
        <f>N260+Q260</f>
        <v>0</v>
      </c>
      <c r="M260" s="65"/>
      <c r="N260" s="65"/>
      <c r="O260" s="65"/>
      <c r="P260" s="65"/>
      <c r="Q260" s="65"/>
      <c r="R260" s="65">
        <f>T260+W260</f>
        <v>0</v>
      </c>
      <c r="S260" s="65"/>
      <c r="T260" s="65"/>
      <c r="U260" s="65"/>
      <c r="V260" s="65"/>
      <c r="W260" s="65"/>
      <c r="X260" s="132"/>
      <c r="Y260" s="65">
        <f t="shared" si="69"/>
        <v>0</v>
      </c>
      <c r="Z260" s="202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  <c r="JB260" s="47"/>
      <c r="JC260" s="47"/>
      <c r="JD260" s="47"/>
      <c r="JE260" s="47"/>
      <c r="JF260" s="47"/>
      <c r="JG260" s="47"/>
      <c r="JH260" s="47"/>
      <c r="JI260" s="47"/>
      <c r="JJ260" s="47"/>
      <c r="JK260" s="47"/>
      <c r="JL260" s="47"/>
      <c r="JM260" s="47"/>
      <c r="JN260" s="47"/>
      <c r="JO260" s="47"/>
      <c r="JP260" s="47"/>
      <c r="JQ260" s="47"/>
      <c r="JR260" s="47"/>
      <c r="JS260" s="47"/>
      <c r="JT260" s="47"/>
      <c r="JU260" s="47"/>
      <c r="JV260" s="47"/>
      <c r="JW260" s="47"/>
      <c r="JX260" s="47"/>
      <c r="JY260" s="47"/>
      <c r="JZ260" s="47"/>
      <c r="KA260" s="47"/>
      <c r="KB260" s="47"/>
      <c r="KC260" s="47"/>
      <c r="KD260" s="47"/>
      <c r="KE260" s="47"/>
      <c r="KF260" s="47"/>
      <c r="KG260" s="47"/>
      <c r="KH260" s="47"/>
      <c r="KI260" s="47"/>
      <c r="KJ260" s="47"/>
      <c r="KK260" s="47"/>
      <c r="KL260" s="47"/>
      <c r="KM260" s="47"/>
      <c r="KN260" s="47"/>
      <c r="KO260" s="47"/>
      <c r="KP260" s="47"/>
      <c r="KQ260" s="47"/>
      <c r="KR260" s="47"/>
      <c r="KS260" s="47"/>
      <c r="KT260" s="47"/>
      <c r="KU260" s="47"/>
      <c r="KV260" s="47"/>
      <c r="KW260" s="47"/>
      <c r="KX260" s="47"/>
      <c r="KY260" s="47"/>
      <c r="KZ260" s="47"/>
      <c r="LA260" s="47"/>
      <c r="LB260" s="47"/>
      <c r="LC260" s="47"/>
      <c r="LD260" s="47"/>
      <c r="LE260" s="47"/>
      <c r="LF260" s="47"/>
      <c r="LG260" s="47"/>
      <c r="LH260" s="47"/>
      <c r="LI260" s="47"/>
      <c r="LJ260" s="47"/>
      <c r="LK260" s="47"/>
      <c r="LL260" s="47"/>
      <c r="LM260" s="47"/>
      <c r="LN260" s="47"/>
      <c r="LO260" s="47"/>
      <c r="LP260" s="47"/>
      <c r="LQ260" s="47"/>
      <c r="LR260" s="47"/>
      <c r="LS260" s="47"/>
      <c r="LT260" s="47"/>
      <c r="LU260" s="47"/>
      <c r="LV260" s="47"/>
      <c r="LW260" s="47"/>
      <c r="LX260" s="47"/>
      <c r="LY260" s="47"/>
      <c r="LZ260" s="47"/>
      <c r="MA260" s="47"/>
      <c r="MB260" s="47"/>
      <c r="MC260" s="47"/>
      <c r="MD260" s="47"/>
      <c r="ME260" s="47"/>
      <c r="MF260" s="47"/>
      <c r="MG260" s="47"/>
      <c r="MH260" s="47"/>
      <c r="MI260" s="47"/>
      <c r="MJ260" s="47"/>
      <c r="MK260" s="47"/>
      <c r="ML260" s="47"/>
      <c r="MM260" s="47"/>
      <c r="MN260" s="47"/>
      <c r="MO260" s="47"/>
      <c r="MP260" s="47"/>
      <c r="MQ260" s="47"/>
      <c r="MR260" s="47"/>
      <c r="MS260" s="47"/>
      <c r="MT260" s="47"/>
      <c r="MU260" s="47"/>
      <c r="MV260" s="47"/>
      <c r="MW260" s="47"/>
      <c r="MX260" s="47"/>
      <c r="MY260" s="47"/>
      <c r="MZ260" s="47"/>
      <c r="NA260" s="47"/>
      <c r="NB260" s="47"/>
      <c r="NC260" s="47"/>
      <c r="ND260" s="47"/>
      <c r="NE260" s="47"/>
      <c r="NF260" s="47"/>
      <c r="NG260" s="47"/>
      <c r="NH260" s="47"/>
      <c r="NI260" s="47"/>
      <c r="NJ260" s="47"/>
      <c r="NK260" s="47"/>
      <c r="NL260" s="47"/>
      <c r="NM260" s="47"/>
      <c r="NN260" s="47"/>
      <c r="NO260" s="47"/>
      <c r="NP260" s="47"/>
      <c r="NQ260" s="47"/>
      <c r="NR260" s="47"/>
      <c r="NS260" s="47"/>
      <c r="NT260" s="47"/>
      <c r="NU260" s="47"/>
      <c r="NV260" s="47"/>
      <c r="NW260" s="47"/>
      <c r="NX260" s="47"/>
      <c r="NY260" s="47"/>
      <c r="NZ260" s="47"/>
      <c r="OA260" s="47"/>
      <c r="OB260" s="47"/>
      <c r="OC260" s="47"/>
      <c r="OD260" s="47"/>
      <c r="OE260" s="47"/>
      <c r="OF260" s="47"/>
      <c r="OG260" s="47"/>
      <c r="OH260" s="47"/>
      <c r="OI260" s="47"/>
      <c r="OJ260" s="47"/>
      <c r="OK260" s="47"/>
      <c r="OL260" s="47"/>
      <c r="OM260" s="47"/>
      <c r="ON260" s="47"/>
      <c r="OO260" s="47"/>
      <c r="OP260" s="47"/>
      <c r="OQ260" s="47"/>
      <c r="OR260" s="47"/>
      <c r="OS260" s="47"/>
      <c r="OT260" s="47"/>
      <c r="OU260" s="47"/>
      <c r="OV260" s="47"/>
      <c r="OW260" s="47"/>
      <c r="OX260" s="47"/>
      <c r="OY260" s="47"/>
      <c r="OZ260" s="47"/>
      <c r="PA260" s="47"/>
      <c r="PB260" s="47"/>
      <c r="PC260" s="47"/>
      <c r="PD260" s="47"/>
      <c r="PE260" s="47"/>
      <c r="PF260" s="47"/>
      <c r="PG260" s="47"/>
      <c r="PH260" s="47"/>
      <c r="PI260" s="47"/>
      <c r="PJ260" s="47"/>
      <c r="PK260" s="47"/>
      <c r="PL260" s="47"/>
      <c r="PM260" s="47"/>
      <c r="PN260" s="47"/>
      <c r="PO260" s="47"/>
      <c r="PP260" s="47"/>
      <c r="PQ260" s="47"/>
      <c r="PR260" s="47"/>
      <c r="PS260" s="47"/>
      <c r="PT260" s="47"/>
      <c r="PU260" s="47"/>
      <c r="PV260" s="47"/>
      <c r="PW260" s="47"/>
      <c r="PX260" s="47"/>
      <c r="PY260" s="47"/>
      <c r="PZ260" s="47"/>
      <c r="QA260" s="47"/>
      <c r="QB260" s="47"/>
      <c r="QC260" s="47"/>
      <c r="QD260" s="47"/>
      <c r="QE260" s="47"/>
      <c r="QF260" s="47"/>
      <c r="QG260" s="47"/>
      <c r="QH260" s="47"/>
      <c r="QI260" s="47"/>
      <c r="QJ260" s="47"/>
      <c r="QK260" s="47"/>
      <c r="QL260" s="47"/>
      <c r="QM260" s="47"/>
      <c r="QN260" s="47"/>
      <c r="QO260" s="47"/>
      <c r="QP260" s="47"/>
      <c r="QQ260" s="47"/>
      <c r="QR260" s="47"/>
      <c r="QS260" s="47"/>
      <c r="QT260" s="47"/>
      <c r="QU260" s="47"/>
      <c r="QV260" s="47"/>
      <c r="QW260" s="47"/>
      <c r="QX260" s="47"/>
      <c r="QY260" s="47"/>
      <c r="QZ260" s="47"/>
      <c r="RA260" s="47"/>
      <c r="RB260" s="47"/>
      <c r="RC260" s="47"/>
      <c r="RD260" s="47"/>
      <c r="RE260" s="47"/>
      <c r="RF260" s="47"/>
      <c r="RG260" s="47"/>
      <c r="RH260" s="47"/>
      <c r="RI260" s="47"/>
      <c r="RJ260" s="47"/>
      <c r="RK260" s="47"/>
      <c r="RL260" s="47"/>
      <c r="RM260" s="47"/>
      <c r="RN260" s="47"/>
      <c r="RO260" s="47"/>
      <c r="RP260" s="47"/>
      <c r="RQ260" s="47"/>
      <c r="RR260" s="47"/>
      <c r="RS260" s="47"/>
      <c r="RT260" s="47"/>
      <c r="RU260" s="47"/>
      <c r="RV260" s="47"/>
      <c r="RW260" s="47"/>
      <c r="RX260" s="47"/>
      <c r="RY260" s="47"/>
      <c r="RZ260" s="47"/>
      <c r="SA260" s="47"/>
      <c r="SB260" s="47"/>
      <c r="SC260" s="47"/>
      <c r="SD260" s="47"/>
      <c r="SE260" s="47"/>
      <c r="SF260" s="47"/>
      <c r="SG260" s="47"/>
      <c r="SH260" s="47"/>
      <c r="SI260" s="47"/>
      <c r="SJ260" s="47"/>
      <c r="SK260" s="47"/>
      <c r="SL260" s="47"/>
      <c r="SM260" s="47"/>
      <c r="SN260" s="47"/>
      <c r="SO260" s="47"/>
      <c r="SP260" s="47"/>
      <c r="SQ260" s="47"/>
      <c r="SR260" s="47"/>
      <c r="SS260" s="47"/>
      <c r="ST260" s="47"/>
      <c r="SU260" s="47"/>
      <c r="SV260" s="47"/>
      <c r="SW260" s="47"/>
      <c r="SX260" s="47"/>
      <c r="SY260" s="47"/>
      <c r="SZ260" s="47"/>
      <c r="TA260" s="47"/>
      <c r="TB260" s="47"/>
      <c r="TC260" s="47"/>
      <c r="TD260" s="47"/>
      <c r="TE260" s="47"/>
      <c r="TF260" s="47"/>
      <c r="TG260" s="47"/>
      <c r="TH260" s="47"/>
      <c r="TI260" s="47"/>
      <c r="TJ260" s="47"/>
      <c r="TK260" s="47"/>
      <c r="TL260" s="47"/>
      <c r="TM260" s="47"/>
      <c r="TN260" s="47"/>
      <c r="TO260" s="47"/>
      <c r="TP260" s="47"/>
      <c r="TQ260" s="47"/>
      <c r="TR260" s="47"/>
      <c r="TS260" s="47"/>
      <c r="TT260" s="47"/>
      <c r="TU260" s="47"/>
      <c r="TV260" s="47"/>
      <c r="TW260" s="47"/>
      <c r="TX260" s="47"/>
      <c r="TY260" s="47"/>
      <c r="TZ260" s="47"/>
      <c r="UA260" s="47"/>
      <c r="UB260" s="47"/>
      <c r="UC260" s="47"/>
      <c r="UD260" s="47"/>
      <c r="UE260" s="47"/>
      <c r="UF260" s="47"/>
      <c r="UG260" s="47"/>
      <c r="UH260" s="47"/>
      <c r="UI260" s="47"/>
      <c r="UJ260" s="47"/>
      <c r="UK260" s="47"/>
      <c r="UL260" s="47"/>
      <c r="UM260" s="47"/>
      <c r="UN260" s="47"/>
      <c r="UO260" s="47"/>
      <c r="UP260" s="47"/>
      <c r="UQ260" s="47"/>
      <c r="UR260" s="47"/>
      <c r="US260" s="47"/>
      <c r="UT260" s="47"/>
      <c r="UU260" s="47"/>
      <c r="UV260" s="47"/>
      <c r="UW260" s="47"/>
      <c r="UX260" s="47"/>
      <c r="UY260" s="47"/>
      <c r="UZ260" s="47"/>
      <c r="VA260" s="47"/>
      <c r="VB260" s="47"/>
      <c r="VC260" s="47"/>
      <c r="VD260" s="47"/>
      <c r="VE260" s="47"/>
      <c r="VF260" s="47"/>
    </row>
    <row r="261" spans="1:578" s="41" customFormat="1" ht="30" x14ac:dyDescent="0.2">
      <c r="A261" s="90">
        <v>1517442</v>
      </c>
      <c r="B261" s="90">
        <v>7442</v>
      </c>
      <c r="C261" s="90" t="s">
        <v>410</v>
      </c>
      <c r="D261" s="42" t="s">
        <v>510</v>
      </c>
      <c r="E261" s="65">
        <v>0</v>
      </c>
      <c r="F261" s="65"/>
      <c r="G261" s="65"/>
      <c r="H261" s="65"/>
      <c r="I261" s="65"/>
      <c r="J261" s="65"/>
      <c r="K261" s="130"/>
      <c r="L261" s="65">
        <f t="shared" si="73"/>
        <v>70472.47</v>
      </c>
      <c r="M261" s="65"/>
      <c r="N261" s="65"/>
      <c r="O261" s="65"/>
      <c r="P261" s="65"/>
      <c r="Q261" s="65">
        <v>70472.47</v>
      </c>
      <c r="R261" s="65">
        <f t="shared" si="74"/>
        <v>0</v>
      </c>
      <c r="S261" s="65"/>
      <c r="T261" s="65"/>
      <c r="U261" s="65"/>
      <c r="V261" s="65"/>
      <c r="W261" s="65"/>
      <c r="X261" s="132">
        <f t="shared" si="68"/>
        <v>0</v>
      </c>
      <c r="Y261" s="65">
        <f t="shared" si="69"/>
        <v>0</v>
      </c>
      <c r="Z261" s="202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  <c r="IW261" s="47"/>
      <c r="IX261" s="47"/>
      <c r="IY261" s="47"/>
      <c r="IZ261" s="47"/>
      <c r="JA261" s="47"/>
      <c r="JB261" s="47"/>
      <c r="JC261" s="47"/>
      <c r="JD261" s="47"/>
      <c r="JE261" s="47"/>
      <c r="JF261" s="47"/>
      <c r="JG261" s="47"/>
      <c r="JH261" s="47"/>
      <c r="JI261" s="47"/>
      <c r="JJ261" s="47"/>
      <c r="JK261" s="47"/>
      <c r="JL261" s="47"/>
      <c r="JM261" s="47"/>
      <c r="JN261" s="47"/>
      <c r="JO261" s="47"/>
      <c r="JP261" s="47"/>
      <c r="JQ261" s="47"/>
      <c r="JR261" s="47"/>
      <c r="JS261" s="47"/>
      <c r="JT261" s="47"/>
      <c r="JU261" s="47"/>
      <c r="JV261" s="47"/>
      <c r="JW261" s="47"/>
      <c r="JX261" s="47"/>
      <c r="JY261" s="47"/>
      <c r="JZ261" s="47"/>
      <c r="KA261" s="47"/>
      <c r="KB261" s="47"/>
      <c r="KC261" s="47"/>
      <c r="KD261" s="47"/>
      <c r="KE261" s="47"/>
      <c r="KF261" s="47"/>
      <c r="KG261" s="47"/>
      <c r="KH261" s="47"/>
      <c r="KI261" s="47"/>
      <c r="KJ261" s="47"/>
      <c r="KK261" s="47"/>
      <c r="KL261" s="47"/>
      <c r="KM261" s="47"/>
      <c r="KN261" s="47"/>
      <c r="KO261" s="47"/>
      <c r="KP261" s="47"/>
      <c r="KQ261" s="47"/>
      <c r="KR261" s="47"/>
      <c r="KS261" s="47"/>
      <c r="KT261" s="47"/>
      <c r="KU261" s="47"/>
      <c r="KV261" s="47"/>
      <c r="KW261" s="47"/>
      <c r="KX261" s="47"/>
      <c r="KY261" s="47"/>
      <c r="KZ261" s="47"/>
      <c r="LA261" s="47"/>
      <c r="LB261" s="47"/>
      <c r="LC261" s="47"/>
      <c r="LD261" s="47"/>
      <c r="LE261" s="47"/>
      <c r="LF261" s="47"/>
      <c r="LG261" s="47"/>
      <c r="LH261" s="47"/>
      <c r="LI261" s="47"/>
      <c r="LJ261" s="47"/>
      <c r="LK261" s="47"/>
      <c r="LL261" s="47"/>
      <c r="LM261" s="47"/>
      <c r="LN261" s="47"/>
      <c r="LO261" s="47"/>
      <c r="LP261" s="47"/>
      <c r="LQ261" s="47"/>
      <c r="LR261" s="47"/>
      <c r="LS261" s="47"/>
      <c r="LT261" s="47"/>
      <c r="LU261" s="47"/>
      <c r="LV261" s="47"/>
      <c r="LW261" s="47"/>
      <c r="LX261" s="47"/>
      <c r="LY261" s="47"/>
      <c r="LZ261" s="47"/>
      <c r="MA261" s="47"/>
      <c r="MB261" s="47"/>
      <c r="MC261" s="47"/>
      <c r="MD261" s="47"/>
      <c r="ME261" s="47"/>
      <c r="MF261" s="47"/>
      <c r="MG261" s="47"/>
      <c r="MH261" s="47"/>
      <c r="MI261" s="47"/>
      <c r="MJ261" s="47"/>
      <c r="MK261" s="47"/>
      <c r="ML261" s="47"/>
      <c r="MM261" s="47"/>
      <c r="MN261" s="47"/>
      <c r="MO261" s="47"/>
      <c r="MP261" s="47"/>
      <c r="MQ261" s="47"/>
      <c r="MR261" s="47"/>
      <c r="MS261" s="47"/>
      <c r="MT261" s="47"/>
      <c r="MU261" s="47"/>
      <c r="MV261" s="47"/>
      <c r="MW261" s="47"/>
      <c r="MX261" s="47"/>
      <c r="MY261" s="47"/>
      <c r="MZ261" s="47"/>
      <c r="NA261" s="47"/>
      <c r="NB261" s="47"/>
      <c r="NC261" s="47"/>
      <c r="ND261" s="47"/>
      <c r="NE261" s="47"/>
      <c r="NF261" s="47"/>
      <c r="NG261" s="47"/>
      <c r="NH261" s="47"/>
      <c r="NI261" s="47"/>
      <c r="NJ261" s="47"/>
      <c r="NK261" s="47"/>
      <c r="NL261" s="47"/>
      <c r="NM261" s="47"/>
      <c r="NN261" s="47"/>
      <c r="NO261" s="47"/>
      <c r="NP261" s="47"/>
      <c r="NQ261" s="47"/>
      <c r="NR261" s="47"/>
      <c r="NS261" s="47"/>
      <c r="NT261" s="47"/>
      <c r="NU261" s="47"/>
      <c r="NV261" s="47"/>
      <c r="NW261" s="47"/>
      <c r="NX261" s="47"/>
      <c r="NY261" s="47"/>
      <c r="NZ261" s="47"/>
      <c r="OA261" s="47"/>
      <c r="OB261" s="47"/>
      <c r="OC261" s="47"/>
      <c r="OD261" s="47"/>
      <c r="OE261" s="47"/>
      <c r="OF261" s="47"/>
      <c r="OG261" s="47"/>
      <c r="OH261" s="47"/>
      <c r="OI261" s="47"/>
      <c r="OJ261" s="47"/>
      <c r="OK261" s="47"/>
      <c r="OL261" s="47"/>
      <c r="OM261" s="47"/>
      <c r="ON261" s="47"/>
      <c r="OO261" s="47"/>
      <c r="OP261" s="47"/>
      <c r="OQ261" s="47"/>
      <c r="OR261" s="47"/>
      <c r="OS261" s="47"/>
      <c r="OT261" s="47"/>
      <c r="OU261" s="47"/>
      <c r="OV261" s="47"/>
      <c r="OW261" s="47"/>
      <c r="OX261" s="47"/>
      <c r="OY261" s="47"/>
      <c r="OZ261" s="47"/>
      <c r="PA261" s="47"/>
      <c r="PB261" s="47"/>
      <c r="PC261" s="47"/>
      <c r="PD261" s="47"/>
      <c r="PE261" s="47"/>
      <c r="PF261" s="47"/>
      <c r="PG261" s="47"/>
      <c r="PH261" s="47"/>
      <c r="PI261" s="47"/>
      <c r="PJ261" s="47"/>
      <c r="PK261" s="47"/>
      <c r="PL261" s="47"/>
      <c r="PM261" s="47"/>
      <c r="PN261" s="47"/>
      <c r="PO261" s="47"/>
      <c r="PP261" s="47"/>
      <c r="PQ261" s="47"/>
      <c r="PR261" s="47"/>
      <c r="PS261" s="47"/>
      <c r="PT261" s="47"/>
      <c r="PU261" s="47"/>
      <c r="PV261" s="47"/>
      <c r="PW261" s="47"/>
      <c r="PX261" s="47"/>
      <c r="PY261" s="47"/>
      <c r="PZ261" s="47"/>
      <c r="QA261" s="47"/>
      <c r="QB261" s="47"/>
      <c r="QC261" s="47"/>
      <c r="QD261" s="47"/>
      <c r="QE261" s="47"/>
      <c r="QF261" s="47"/>
      <c r="QG261" s="47"/>
      <c r="QH261" s="47"/>
      <c r="QI261" s="47"/>
      <c r="QJ261" s="47"/>
      <c r="QK261" s="47"/>
      <c r="QL261" s="47"/>
      <c r="QM261" s="47"/>
      <c r="QN261" s="47"/>
      <c r="QO261" s="47"/>
      <c r="QP261" s="47"/>
      <c r="QQ261" s="47"/>
      <c r="QR261" s="47"/>
      <c r="QS261" s="47"/>
      <c r="QT261" s="47"/>
      <c r="QU261" s="47"/>
      <c r="QV261" s="47"/>
      <c r="QW261" s="47"/>
      <c r="QX261" s="47"/>
      <c r="QY261" s="47"/>
      <c r="QZ261" s="47"/>
      <c r="RA261" s="47"/>
      <c r="RB261" s="47"/>
      <c r="RC261" s="47"/>
      <c r="RD261" s="47"/>
      <c r="RE261" s="47"/>
      <c r="RF261" s="47"/>
      <c r="RG261" s="47"/>
      <c r="RH261" s="47"/>
      <c r="RI261" s="47"/>
      <c r="RJ261" s="47"/>
      <c r="RK261" s="47"/>
      <c r="RL261" s="47"/>
      <c r="RM261" s="47"/>
      <c r="RN261" s="47"/>
      <c r="RO261" s="47"/>
      <c r="RP261" s="47"/>
      <c r="RQ261" s="47"/>
      <c r="RR261" s="47"/>
      <c r="RS261" s="47"/>
      <c r="RT261" s="47"/>
      <c r="RU261" s="47"/>
      <c r="RV261" s="47"/>
      <c r="RW261" s="47"/>
      <c r="RX261" s="47"/>
      <c r="RY261" s="47"/>
      <c r="RZ261" s="47"/>
      <c r="SA261" s="47"/>
      <c r="SB261" s="47"/>
      <c r="SC261" s="47"/>
      <c r="SD261" s="47"/>
      <c r="SE261" s="47"/>
      <c r="SF261" s="47"/>
      <c r="SG261" s="47"/>
      <c r="SH261" s="47"/>
      <c r="SI261" s="47"/>
      <c r="SJ261" s="47"/>
      <c r="SK261" s="47"/>
      <c r="SL261" s="47"/>
      <c r="SM261" s="47"/>
      <c r="SN261" s="47"/>
      <c r="SO261" s="47"/>
      <c r="SP261" s="47"/>
      <c r="SQ261" s="47"/>
      <c r="SR261" s="47"/>
      <c r="SS261" s="47"/>
      <c r="ST261" s="47"/>
      <c r="SU261" s="47"/>
      <c r="SV261" s="47"/>
      <c r="SW261" s="47"/>
      <c r="SX261" s="47"/>
      <c r="SY261" s="47"/>
      <c r="SZ261" s="47"/>
      <c r="TA261" s="47"/>
      <c r="TB261" s="47"/>
      <c r="TC261" s="47"/>
      <c r="TD261" s="47"/>
      <c r="TE261" s="47"/>
      <c r="TF261" s="47"/>
      <c r="TG261" s="47"/>
      <c r="TH261" s="47"/>
      <c r="TI261" s="47"/>
      <c r="TJ261" s="47"/>
      <c r="TK261" s="47"/>
      <c r="TL261" s="47"/>
      <c r="TM261" s="47"/>
      <c r="TN261" s="47"/>
      <c r="TO261" s="47"/>
      <c r="TP261" s="47"/>
      <c r="TQ261" s="47"/>
      <c r="TR261" s="47"/>
      <c r="TS261" s="47"/>
      <c r="TT261" s="47"/>
      <c r="TU261" s="47"/>
      <c r="TV261" s="47"/>
      <c r="TW261" s="47"/>
      <c r="TX261" s="47"/>
      <c r="TY261" s="47"/>
      <c r="TZ261" s="47"/>
      <c r="UA261" s="47"/>
      <c r="UB261" s="47"/>
      <c r="UC261" s="47"/>
      <c r="UD261" s="47"/>
      <c r="UE261" s="47"/>
      <c r="UF261" s="47"/>
      <c r="UG261" s="47"/>
      <c r="UH261" s="47"/>
      <c r="UI261" s="47"/>
      <c r="UJ261" s="47"/>
      <c r="UK261" s="47"/>
      <c r="UL261" s="47"/>
      <c r="UM261" s="47"/>
      <c r="UN261" s="47"/>
      <c r="UO261" s="47"/>
      <c r="UP261" s="47"/>
      <c r="UQ261" s="47"/>
      <c r="UR261" s="47"/>
      <c r="US261" s="47"/>
      <c r="UT261" s="47"/>
      <c r="UU261" s="47"/>
      <c r="UV261" s="47"/>
      <c r="UW261" s="47"/>
      <c r="UX261" s="47"/>
      <c r="UY261" s="47"/>
      <c r="UZ261" s="47"/>
      <c r="VA261" s="47"/>
      <c r="VB261" s="47"/>
      <c r="VC261" s="47"/>
      <c r="VD261" s="47"/>
      <c r="VE261" s="47"/>
      <c r="VF261" s="47"/>
    </row>
    <row r="262" spans="1:578" s="41" customFormat="1" ht="45" hidden="1" customHeight="1" x14ac:dyDescent="0.25">
      <c r="A262" s="39" t="s">
        <v>527</v>
      </c>
      <c r="B262" s="90" t="s">
        <v>528</v>
      </c>
      <c r="C262" s="95" t="s">
        <v>410</v>
      </c>
      <c r="D262" s="51" t="s">
        <v>529</v>
      </c>
      <c r="E262" s="65">
        <v>0</v>
      </c>
      <c r="F262" s="65"/>
      <c r="G262" s="65"/>
      <c r="H262" s="65"/>
      <c r="I262" s="65"/>
      <c r="J262" s="65"/>
      <c r="K262" s="130" t="e">
        <f t="shared" si="70"/>
        <v>#DIV/0!</v>
      </c>
      <c r="L262" s="65">
        <f t="shared" si="73"/>
        <v>0</v>
      </c>
      <c r="M262" s="65"/>
      <c r="N262" s="65"/>
      <c r="O262" s="65"/>
      <c r="P262" s="65"/>
      <c r="Q262" s="65">
        <f>30000000-30000000</f>
        <v>0</v>
      </c>
      <c r="R262" s="65">
        <f t="shared" si="74"/>
        <v>0</v>
      </c>
      <c r="S262" s="65"/>
      <c r="T262" s="65"/>
      <c r="U262" s="65"/>
      <c r="V262" s="65"/>
      <c r="W262" s="65"/>
      <c r="X262" s="131" t="e">
        <f t="shared" si="68"/>
        <v>#DIV/0!</v>
      </c>
      <c r="Y262" s="79">
        <f t="shared" si="69"/>
        <v>0</v>
      </c>
      <c r="Z262" s="202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  <c r="IW262" s="47"/>
      <c r="IX262" s="47"/>
      <c r="IY262" s="47"/>
      <c r="IZ262" s="47"/>
      <c r="JA262" s="47"/>
      <c r="JB262" s="47"/>
      <c r="JC262" s="47"/>
      <c r="JD262" s="47"/>
      <c r="JE262" s="47"/>
      <c r="JF262" s="47"/>
      <c r="JG262" s="47"/>
      <c r="JH262" s="47"/>
      <c r="JI262" s="47"/>
      <c r="JJ262" s="47"/>
      <c r="JK262" s="47"/>
      <c r="JL262" s="47"/>
      <c r="JM262" s="47"/>
      <c r="JN262" s="47"/>
      <c r="JO262" s="47"/>
      <c r="JP262" s="47"/>
      <c r="JQ262" s="47"/>
      <c r="JR262" s="47"/>
      <c r="JS262" s="47"/>
      <c r="JT262" s="47"/>
      <c r="JU262" s="47"/>
      <c r="JV262" s="47"/>
      <c r="JW262" s="47"/>
      <c r="JX262" s="47"/>
      <c r="JY262" s="47"/>
      <c r="JZ262" s="47"/>
      <c r="KA262" s="47"/>
      <c r="KB262" s="47"/>
      <c r="KC262" s="47"/>
      <c r="KD262" s="47"/>
      <c r="KE262" s="47"/>
      <c r="KF262" s="47"/>
      <c r="KG262" s="47"/>
      <c r="KH262" s="47"/>
      <c r="KI262" s="47"/>
      <c r="KJ262" s="47"/>
      <c r="KK262" s="47"/>
      <c r="KL262" s="47"/>
      <c r="KM262" s="47"/>
      <c r="KN262" s="47"/>
      <c r="KO262" s="47"/>
      <c r="KP262" s="47"/>
      <c r="KQ262" s="47"/>
      <c r="KR262" s="47"/>
      <c r="KS262" s="47"/>
      <c r="KT262" s="47"/>
      <c r="KU262" s="47"/>
      <c r="KV262" s="47"/>
      <c r="KW262" s="47"/>
      <c r="KX262" s="47"/>
      <c r="KY262" s="47"/>
      <c r="KZ262" s="47"/>
      <c r="LA262" s="47"/>
      <c r="LB262" s="47"/>
      <c r="LC262" s="47"/>
      <c r="LD262" s="47"/>
      <c r="LE262" s="47"/>
      <c r="LF262" s="47"/>
      <c r="LG262" s="47"/>
      <c r="LH262" s="47"/>
      <c r="LI262" s="47"/>
      <c r="LJ262" s="47"/>
      <c r="LK262" s="47"/>
      <c r="LL262" s="47"/>
      <c r="LM262" s="47"/>
      <c r="LN262" s="47"/>
      <c r="LO262" s="47"/>
      <c r="LP262" s="47"/>
      <c r="LQ262" s="47"/>
      <c r="LR262" s="47"/>
      <c r="LS262" s="47"/>
      <c r="LT262" s="47"/>
      <c r="LU262" s="47"/>
      <c r="LV262" s="47"/>
      <c r="LW262" s="47"/>
      <c r="LX262" s="47"/>
      <c r="LY262" s="47"/>
      <c r="LZ262" s="47"/>
      <c r="MA262" s="47"/>
      <c r="MB262" s="47"/>
      <c r="MC262" s="47"/>
      <c r="MD262" s="47"/>
      <c r="ME262" s="47"/>
      <c r="MF262" s="47"/>
      <c r="MG262" s="47"/>
      <c r="MH262" s="47"/>
      <c r="MI262" s="47"/>
      <c r="MJ262" s="47"/>
      <c r="MK262" s="47"/>
      <c r="ML262" s="47"/>
      <c r="MM262" s="47"/>
      <c r="MN262" s="47"/>
      <c r="MO262" s="47"/>
      <c r="MP262" s="47"/>
      <c r="MQ262" s="47"/>
      <c r="MR262" s="47"/>
      <c r="MS262" s="47"/>
      <c r="MT262" s="47"/>
      <c r="MU262" s="47"/>
      <c r="MV262" s="47"/>
      <c r="MW262" s="47"/>
      <c r="MX262" s="47"/>
      <c r="MY262" s="47"/>
      <c r="MZ262" s="47"/>
      <c r="NA262" s="47"/>
      <c r="NB262" s="47"/>
      <c r="NC262" s="47"/>
      <c r="ND262" s="47"/>
      <c r="NE262" s="47"/>
      <c r="NF262" s="47"/>
      <c r="NG262" s="47"/>
      <c r="NH262" s="47"/>
      <c r="NI262" s="47"/>
      <c r="NJ262" s="47"/>
      <c r="NK262" s="47"/>
      <c r="NL262" s="47"/>
      <c r="NM262" s="47"/>
      <c r="NN262" s="47"/>
      <c r="NO262" s="47"/>
      <c r="NP262" s="47"/>
      <c r="NQ262" s="47"/>
      <c r="NR262" s="47"/>
      <c r="NS262" s="47"/>
      <c r="NT262" s="47"/>
      <c r="NU262" s="47"/>
      <c r="NV262" s="47"/>
      <c r="NW262" s="47"/>
      <c r="NX262" s="47"/>
      <c r="NY262" s="47"/>
      <c r="NZ262" s="47"/>
      <c r="OA262" s="47"/>
      <c r="OB262" s="47"/>
      <c r="OC262" s="47"/>
      <c r="OD262" s="47"/>
      <c r="OE262" s="47"/>
      <c r="OF262" s="47"/>
      <c r="OG262" s="47"/>
      <c r="OH262" s="47"/>
      <c r="OI262" s="47"/>
      <c r="OJ262" s="47"/>
      <c r="OK262" s="47"/>
      <c r="OL262" s="47"/>
      <c r="OM262" s="47"/>
      <c r="ON262" s="47"/>
      <c r="OO262" s="47"/>
      <c r="OP262" s="47"/>
      <c r="OQ262" s="47"/>
      <c r="OR262" s="47"/>
      <c r="OS262" s="47"/>
      <c r="OT262" s="47"/>
      <c r="OU262" s="47"/>
      <c r="OV262" s="47"/>
      <c r="OW262" s="47"/>
      <c r="OX262" s="47"/>
      <c r="OY262" s="47"/>
      <c r="OZ262" s="47"/>
      <c r="PA262" s="47"/>
      <c r="PB262" s="47"/>
      <c r="PC262" s="47"/>
      <c r="PD262" s="47"/>
      <c r="PE262" s="47"/>
      <c r="PF262" s="47"/>
      <c r="PG262" s="47"/>
      <c r="PH262" s="47"/>
      <c r="PI262" s="47"/>
      <c r="PJ262" s="47"/>
      <c r="PK262" s="47"/>
      <c r="PL262" s="47"/>
      <c r="PM262" s="47"/>
      <c r="PN262" s="47"/>
      <c r="PO262" s="47"/>
      <c r="PP262" s="47"/>
      <c r="PQ262" s="47"/>
      <c r="PR262" s="47"/>
      <c r="PS262" s="47"/>
      <c r="PT262" s="47"/>
      <c r="PU262" s="47"/>
      <c r="PV262" s="47"/>
      <c r="PW262" s="47"/>
      <c r="PX262" s="47"/>
      <c r="PY262" s="47"/>
      <c r="PZ262" s="47"/>
      <c r="QA262" s="47"/>
      <c r="QB262" s="47"/>
      <c r="QC262" s="47"/>
      <c r="QD262" s="47"/>
      <c r="QE262" s="47"/>
      <c r="QF262" s="47"/>
      <c r="QG262" s="47"/>
      <c r="QH262" s="47"/>
      <c r="QI262" s="47"/>
      <c r="QJ262" s="47"/>
      <c r="QK262" s="47"/>
      <c r="QL262" s="47"/>
      <c r="QM262" s="47"/>
      <c r="QN262" s="47"/>
      <c r="QO262" s="47"/>
      <c r="QP262" s="47"/>
      <c r="QQ262" s="47"/>
      <c r="QR262" s="47"/>
      <c r="QS262" s="47"/>
      <c r="QT262" s="47"/>
      <c r="QU262" s="47"/>
      <c r="QV262" s="47"/>
      <c r="QW262" s="47"/>
      <c r="QX262" s="47"/>
      <c r="QY262" s="47"/>
      <c r="QZ262" s="47"/>
      <c r="RA262" s="47"/>
      <c r="RB262" s="47"/>
      <c r="RC262" s="47"/>
      <c r="RD262" s="47"/>
      <c r="RE262" s="47"/>
      <c r="RF262" s="47"/>
      <c r="RG262" s="47"/>
      <c r="RH262" s="47"/>
      <c r="RI262" s="47"/>
      <c r="RJ262" s="47"/>
      <c r="RK262" s="47"/>
      <c r="RL262" s="47"/>
      <c r="RM262" s="47"/>
      <c r="RN262" s="47"/>
      <c r="RO262" s="47"/>
      <c r="RP262" s="47"/>
      <c r="RQ262" s="47"/>
      <c r="RR262" s="47"/>
      <c r="RS262" s="47"/>
      <c r="RT262" s="47"/>
      <c r="RU262" s="47"/>
      <c r="RV262" s="47"/>
      <c r="RW262" s="47"/>
      <c r="RX262" s="47"/>
      <c r="RY262" s="47"/>
      <c r="RZ262" s="47"/>
      <c r="SA262" s="47"/>
      <c r="SB262" s="47"/>
      <c r="SC262" s="47"/>
      <c r="SD262" s="47"/>
      <c r="SE262" s="47"/>
      <c r="SF262" s="47"/>
      <c r="SG262" s="47"/>
      <c r="SH262" s="47"/>
      <c r="SI262" s="47"/>
      <c r="SJ262" s="47"/>
      <c r="SK262" s="47"/>
      <c r="SL262" s="47"/>
      <c r="SM262" s="47"/>
      <c r="SN262" s="47"/>
      <c r="SO262" s="47"/>
      <c r="SP262" s="47"/>
      <c r="SQ262" s="47"/>
      <c r="SR262" s="47"/>
      <c r="SS262" s="47"/>
      <c r="ST262" s="47"/>
      <c r="SU262" s="47"/>
      <c r="SV262" s="47"/>
      <c r="SW262" s="47"/>
      <c r="SX262" s="47"/>
      <c r="SY262" s="47"/>
      <c r="SZ262" s="47"/>
      <c r="TA262" s="47"/>
      <c r="TB262" s="47"/>
      <c r="TC262" s="47"/>
      <c r="TD262" s="47"/>
      <c r="TE262" s="47"/>
      <c r="TF262" s="47"/>
      <c r="TG262" s="47"/>
      <c r="TH262" s="47"/>
      <c r="TI262" s="47"/>
      <c r="TJ262" s="47"/>
      <c r="TK262" s="47"/>
      <c r="TL262" s="47"/>
      <c r="TM262" s="47"/>
      <c r="TN262" s="47"/>
      <c r="TO262" s="47"/>
      <c r="TP262" s="47"/>
      <c r="TQ262" s="47"/>
      <c r="TR262" s="47"/>
      <c r="TS262" s="47"/>
      <c r="TT262" s="47"/>
      <c r="TU262" s="47"/>
      <c r="TV262" s="47"/>
      <c r="TW262" s="47"/>
      <c r="TX262" s="47"/>
      <c r="TY262" s="47"/>
      <c r="TZ262" s="47"/>
      <c r="UA262" s="47"/>
      <c r="UB262" s="47"/>
      <c r="UC262" s="47"/>
      <c r="UD262" s="47"/>
      <c r="UE262" s="47"/>
      <c r="UF262" s="47"/>
      <c r="UG262" s="47"/>
      <c r="UH262" s="47"/>
      <c r="UI262" s="47"/>
      <c r="UJ262" s="47"/>
      <c r="UK262" s="47"/>
      <c r="UL262" s="47"/>
      <c r="UM262" s="47"/>
      <c r="UN262" s="47"/>
      <c r="UO262" s="47"/>
      <c r="UP262" s="47"/>
      <c r="UQ262" s="47"/>
      <c r="UR262" s="47"/>
      <c r="US262" s="47"/>
      <c r="UT262" s="47"/>
      <c r="UU262" s="47"/>
      <c r="UV262" s="47"/>
      <c r="UW262" s="47"/>
      <c r="UX262" s="47"/>
      <c r="UY262" s="47"/>
      <c r="UZ262" s="47"/>
      <c r="VA262" s="47"/>
      <c r="VB262" s="47"/>
      <c r="VC262" s="47"/>
      <c r="VD262" s="47"/>
      <c r="VE262" s="47"/>
      <c r="VF262" s="47"/>
    </row>
    <row r="263" spans="1:578" s="41" customFormat="1" ht="15" hidden="1" customHeight="1" x14ac:dyDescent="0.2">
      <c r="A263" s="39"/>
      <c r="B263" s="90"/>
      <c r="C263" s="95"/>
      <c r="D263" s="40" t="s">
        <v>344</v>
      </c>
      <c r="E263" s="65">
        <v>0</v>
      </c>
      <c r="F263" s="65"/>
      <c r="G263" s="65"/>
      <c r="H263" s="65"/>
      <c r="I263" s="65"/>
      <c r="J263" s="65"/>
      <c r="K263" s="130" t="e">
        <f t="shared" si="70"/>
        <v>#DIV/0!</v>
      </c>
      <c r="L263" s="65">
        <f t="shared" si="73"/>
        <v>0</v>
      </c>
      <c r="M263" s="65"/>
      <c r="N263" s="65"/>
      <c r="O263" s="65"/>
      <c r="P263" s="65"/>
      <c r="Q263" s="65">
        <f>30000000-30000000</f>
        <v>0</v>
      </c>
      <c r="R263" s="65">
        <f t="shared" si="74"/>
        <v>0</v>
      </c>
      <c r="S263" s="65"/>
      <c r="T263" s="65"/>
      <c r="U263" s="65"/>
      <c r="V263" s="65"/>
      <c r="W263" s="65"/>
      <c r="X263" s="131" t="e">
        <f t="shared" si="68"/>
        <v>#DIV/0!</v>
      </c>
      <c r="Y263" s="79">
        <f t="shared" si="69"/>
        <v>0</v>
      </c>
      <c r="Z263" s="202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  <c r="IW263" s="47"/>
      <c r="IX263" s="47"/>
      <c r="IY263" s="47"/>
      <c r="IZ263" s="47"/>
      <c r="JA263" s="47"/>
      <c r="JB263" s="47"/>
      <c r="JC263" s="47"/>
      <c r="JD263" s="47"/>
      <c r="JE263" s="47"/>
      <c r="JF263" s="47"/>
      <c r="JG263" s="47"/>
      <c r="JH263" s="47"/>
      <c r="JI263" s="47"/>
      <c r="JJ263" s="47"/>
      <c r="JK263" s="47"/>
      <c r="JL263" s="47"/>
      <c r="JM263" s="47"/>
      <c r="JN263" s="47"/>
      <c r="JO263" s="47"/>
      <c r="JP263" s="47"/>
      <c r="JQ263" s="47"/>
      <c r="JR263" s="47"/>
      <c r="JS263" s="47"/>
      <c r="JT263" s="47"/>
      <c r="JU263" s="47"/>
      <c r="JV263" s="47"/>
      <c r="JW263" s="47"/>
      <c r="JX263" s="47"/>
      <c r="JY263" s="47"/>
      <c r="JZ263" s="47"/>
      <c r="KA263" s="47"/>
      <c r="KB263" s="47"/>
      <c r="KC263" s="47"/>
      <c r="KD263" s="47"/>
      <c r="KE263" s="47"/>
      <c r="KF263" s="47"/>
      <c r="KG263" s="47"/>
      <c r="KH263" s="47"/>
      <c r="KI263" s="47"/>
      <c r="KJ263" s="47"/>
      <c r="KK263" s="47"/>
      <c r="KL263" s="47"/>
      <c r="KM263" s="47"/>
      <c r="KN263" s="47"/>
      <c r="KO263" s="47"/>
      <c r="KP263" s="47"/>
      <c r="KQ263" s="47"/>
      <c r="KR263" s="47"/>
      <c r="KS263" s="47"/>
      <c r="KT263" s="47"/>
      <c r="KU263" s="47"/>
      <c r="KV263" s="47"/>
      <c r="KW263" s="47"/>
      <c r="KX263" s="47"/>
      <c r="KY263" s="47"/>
      <c r="KZ263" s="47"/>
      <c r="LA263" s="47"/>
      <c r="LB263" s="47"/>
      <c r="LC263" s="47"/>
      <c r="LD263" s="47"/>
      <c r="LE263" s="47"/>
      <c r="LF263" s="47"/>
      <c r="LG263" s="47"/>
      <c r="LH263" s="47"/>
      <c r="LI263" s="47"/>
      <c r="LJ263" s="47"/>
      <c r="LK263" s="47"/>
      <c r="LL263" s="47"/>
      <c r="LM263" s="47"/>
      <c r="LN263" s="47"/>
      <c r="LO263" s="47"/>
      <c r="LP263" s="47"/>
      <c r="LQ263" s="47"/>
      <c r="LR263" s="47"/>
      <c r="LS263" s="47"/>
      <c r="LT263" s="47"/>
      <c r="LU263" s="47"/>
      <c r="LV263" s="47"/>
      <c r="LW263" s="47"/>
      <c r="LX263" s="47"/>
      <c r="LY263" s="47"/>
      <c r="LZ263" s="47"/>
      <c r="MA263" s="47"/>
      <c r="MB263" s="47"/>
      <c r="MC263" s="47"/>
      <c r="MD263" s="47"/>
      <c r="ME263" s="47"/>
      <c r="MF263" s="47"/>
      <c r="MG263" s="47"/>
      <c r="MH263" s="47"/>
      <c r="MI263" s="47"/>
      <c r="MJ263" s="47"/>
      <c r="MK263" s="47"/>
      <c r="ML263" s="47"/>
      <c r="MM263" s="47"/>
      <c r="MN263" s="47"/>
      <c r="MO263" s="47"/>
      <c r="MP263" s="47"/>
      <c r="MQ263" s="47"/>
      <c r="MR263" s="47"/>
      <c r="MS263" s="47"/>
      <c r="MT263" s="47"/>
      <c r="MU263" s="47"/>
      <c r="MV263" s="47"/>
      <c r="MW263" s="47"/>
      <c r="MX263" s="47"/>
      <c r="MY263" s="47"/>
      <c r="MZ263" s="47"/>
      <c r="NA263" s="47"/>
      <c r="NB263" s="47"/>
      <c r="NC263" s="47"/>
      <c r="ND263" s="47"/>
      <c r="NE263" s="47"/>
      <c r="NF263" s="47"/>
      <c r="NG263" s="47"/>
      <c r="NH263" s="47"/>
      <c r="NI263" s="47"/>
      <c r="NJ263" s="47"/>
      <c r="NK263" s="47"/>
      <c r="NL263" s="47"/>
      <c r="NM263" s="47"/>
      <c r="NN263" s="47"/>
      <c r="NO263" s="47"/>
      <c r="NP263" s="47"/>
      <c r="NQ263" s="47"/>
      <c r="NR263" s="47"/>
      <c r="NS263" s="47"/>
      <c r="NT263" s="47"/>
      <c r="NU263" s="47"/>
      <c r="NV263" s="47"/>
      <c r="NW263" s="47"/>
      <c r="NX263" s="47"/>
      <c r="NY263" s="47"/>
      <c r="NZ263" s="47"/>
      <c r="OA263" s="47"/>
      <c r="OB263" s="47"/>
      <c r="OC263" s="47"/>
      <c r="OD263" s="47"/>
      <c r="OE263" s="47"/>
      <c r="OF263" s="47"/>
      <c r="OG263" s="47"/>
      <c r="OH263" s="47"/>
      <c r="OI263" s="47"/>
      <c r="OJ263" s="47"/>
      <c r="OK263" s="47"/>
      <c r="OL263" s="47"/>
      <c r="OM263" s="47"/>
      <c r="ON263" s="47"/>
      <c r="OO263" s="47"/>
      <c r="OP263" s="47"/>
      <c r="OQ263" s="47"/>
      <c r="OR263" s="47"/>
      <c r="OS263" s="47"/>
      <c r="OT263" s="47"/>
      <c r="OU263" s="47"/>
      <c r="OV263" s="47"/>
      <c r="OW263" s="47"/>
      <c r="OX263" s="47"/>
      <c r="OY263" s="47"/>
      <c r="OZ263" s="47"/>
      <c r="PA263" s="47"/>
      <c r="PB263" s="47"/>
      <c r="PC263" s="47"/>
      <c r="PD263" s="47"/>
      <c r="PE263" s="47"/>
      <c r="PF263" s="47"/>
      <c r="PG263" s="47"/>
      <c r="PH263" s="47"/>
      <c r="PI263" s="47"/>
      <c r="PJ263" s="47"/>
      <c r="PK263" s="47"/>
      <c r="PL263" s="47"/>
      <c r="PM263" s="47"/>
      <c r="PN263" s="47"/>
      <c r="PO263" s="47"/>
      <c r="PP263" s="47"/>
      <c r="PQ263" s="47"/>
      <c r="PR263" s="47"/>
      <c r="PS263" s="47"/>
      <c r="PT263" s="47"/>
      <c r="PU263" s="47"/>
      <c r="PV263" s="47"/>
      <c r="PW263" s="47"/>
      <c r="PX263" s="47"/>
      <c r="PY263" s="47"/>
      <c r="PZ263" s="47"/>
      <c r="QA263" s="47"/>
      <c r="QB263" s="47"/>
      <c r="QC263" s="47"/>
      <c r="QD263" s="47"/>
      <c r="QE263" s="47"/>
      <c r="QF263" s="47"/>
      <c r="QG263" s="47"/>
      <c r="QH263" s="47"/>
      <c r="QI263" s="47"/>
      <c r="QJ263" s="47"/>
      <c r="QK263" s="47"/>
      <c r="QL263" s="47"/>
      <c r="QM263" s="47"/>
      <c r="QN263" s="47"/>
      <c r="QO263" s="47"/>
      <c r="QP263" s="47"/>
      <c r="QQ263" s="47"/>
      <c r="QR263" s="47"/>
      <c r="QS263" s="47"/>
      <c r="QT263" s="47"/>
      <c r="QU263" s="47"/>
      <c r="QV263" s="47"/>
      <c r="QW263" s="47"/>
      <c r="QX263" s="47"/>
      <c r="QY263" s="47"/>
      <c r="QZ263" s="47"/>
      <c r="RA263" s="47"/>
      <c r="RB263" s="47"/>
      <c r="RC263" s="47"/>
      <c r="RD263" s="47"/>
      <c r="RE263" s="47"/>
      <c r="RF263" s="47"/>
      <c r="RG263" s="47"/>
      <c r="RH263" s="47"/>
      <c r="RI263" s="47"/>
      <c r="RJ263" s="47"/>
      <c r="RK263" s="47"/>
      <c r="RL263" s="47"/>
      <c r="RM263" s="47"/>
      <c r="RN263" s="47"/>
      <c r="RO263" s="47"/>
      <c r="RP263" s="47"/>
      <c r="RQ263" s="47"/>
      <c r="RR263" s="47"/>
      <c r="RS263" s="47"/>
      <c r="RT263" s="47"/>
      <c r="RU263" s="47"/>
      <c r="RV263" s="47"/>
      <c r="RW263" s="47"/>
      <c r="RX263" s="47"/>
      <c r="RY263" s="47"/>
      <c r="RZ263" s="47"/>
      <c r="SA263" s="47"/>
      <c r="SB263" s="47"/>
      <c r="SC263" s="47"/>
      <c r="SD263" s="47"/>
      <c r="SE263" s="47"/>
      <c r="SF263" s="47"/>
      <c r="SG263" s="47"/>
      <c r="SH263" s="47"/>
      <c r="SI263" s="47"/>
      <c r="SJ263" s="47"/>
      <c r="SK263" s="47"/>
      <c r="SL263" s="47"/>
      <c r="SM263" s="47"/>
      <c r="SN263" s="47"/>
      <c r="SO263" s="47"/>
      <c r="SP263" s="47"/>
      <c r="SQ263" s="47"/>
      <c r="SR263" s="47"/>
      <c r="SS263" s="47"/>
      <c r="ST263" s="47"/>
      <c r="SU263" s="47"/>
      <c r="SV263" s="47"/>
      <c r="SW263" s="47"/>
      <c r="SX263" s="47"/>
      <c r="SY263" s="47"/>
      <c r="SZ263" s="47"/>
      <c r="TA263" s="47"/>
      <c r="TB263" s="47"/>
      <c r="TC263" s="47"/>
      <c r="TD263" s="47"/>
      <c r="TE263" s="47"/>
      <c r="TF263" s="47"/>
      <c r="TG263" s="47"/>
      <c r="TH263" s="47"/>
      <c r="TI263" s="47"/>
      <c r="TJ263" s="47"/>
      <c r="TK263" s="47"/>
      <c r="TL263" s="47"/>
      <c r="TM263" s="47"/>
      <c r="TN263" s="47"/>
      <c r="TO263" s="47"/>
      <c r="TP263" s="47"/>
      <c r="TQ263" s="47"/>
      <c r="TR263" s="47"/>
      <c r="TS263" s="47"/>
      <c r="TT263" s="47"/>
      <c r="TU263" s="47"/>
      <c r="TV263" s="47"/>
      <c r="TW263" s="47"/>
      <c r="TX263" s="47"/>
      <c r="TY263" s="47"/>
      <c r="TZ263" s="47"/>
      <c r="UA263" s="47"/>
      <c r="UB263" s="47"/>
      <c r="UC263" s="47"/>
      <c r="UD263" s="47"/>
      <c r="UE263" s="47"/>
      <c r="UF263" s="47"/>
      <c r="UG263" s="47"/>
      <c r="UH263" s="47"/>
      <c r="UI263" s="47"/>
      <c r="UJ263" s="47"/>
      <c r="UK263" s="47"/>
      <c r="UL263" s="47"/>
      <c r="UM263" s="47"/>
      <c r="UN263" s="47"/>
      <c r="UO263" s="47"/>
      <c r="UP263" s="47"/>
      <c r="UQ263" s="47"/>
      <c r="UR263" s="47"/>
      <c r="US263" s="47"/>
      <c r="UT263" s="47"/>
      <c r="UU263" s="47"/>
      <c r="UV263" s="47"/>
      <c r="UW263" s="47"/>
      <c r="UX263" s="47"/>
      <c r="UY263" s="47"/>
      <c r="UZ263" s="47"/>
      <c r="VA263" s="47"/>
      <c r="VB263" s="47"/>
      <c r="VC263" s="47"/>
      <c r="VD263" s="47"/>
      <c r="VE263" s="47"/>
      <c r="VF263" s="47"/>
    </row>
    <row r="264" spans="1:578" s="41" customFormat="1" ht="21.75" customHeight="1" x14ac:dyDescent="0.2">
      <c r="A264" s="39" t="s">
        <v>199</v>
      </c>
      <c r="B264" s="90" t="str">
        <f>'дод 3'!A185</f>
        <v>7640</v>
      </c>
      <c r="C264" s="90" t="str">
        <f>'дод 3'!B185</f>
        <v>0470</v>
      </c>
      <c r="D264" s="42" t="str">
        <f>'дод 3'!C185</f>
        <v>Заходи з енергозбереження</v>
      </c>
      <c r="E264" s="65">
        <v>520000</v>
      </c>
      <c r="F264" s="65"/>
      <c r="G264" s="65"/>
      <c r="H264" s="65">
        <v>35501</v>
      </c>
      <c r="I264" s="65"/>
      <c r="J264" s="65"/>
      <c r="K264" s="130">
        <f t="shared" si="70"/>
        <v>6.827115384615384</v>
      </c>
      <c r="L264" s="65">
        <f t="shared" si="73"/>
        <v>106551680</v>
      </c>
      <c r="M264" s="65">
        <v>75608227</v>
      </c>
      <c r="N264" s="65"/>
      <c r="O264" s="65"/>
      <c r="P264" s="65"/>
      <c r="Q264" s="65">
        <f>6550020+22810180+48093527+30943453-2000000+154500</f>
        <v>106551680</v>
      </c>
      <c r="R264" s="65">
        <f t="shared" si="74"/>
        <v>880495</v>
      </c>
      <c r="S264" s="65">
        <v>880495</v>
      </c>
      <c r="T264" s="65"/>
      <c r="U264" s="65"/>
      <c r="V264" s="65"/>
      <c r="W264" s="65">
        <v>880495</v>
      </c>
      <c r="X264" s="132">
        <f t="shared" si="68"/>
        <v>0.82635487305315125</v>
      </c>
      <c r="Y264" s="65">
        <f t="shared" si="69"/>
        <v>915996</v>
      </c>
      <c r="Z264" s="202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  <c r="IW264" s="47"/>
      <c r="IX264" s="47"/>
      <c r="IY264" s="47"/>
      <c r="IZ264" s="47"/>
      <c r="JA264" s="47"/>
      <c r="JB264" s="47"/>
      <c r="JC264" s="47"/>
      <c r="JD264" s="47"/>
      <c r="JE264" s="47"/>
      <c r="JF264" s="47"/>
      <c r="JG264" s="47"/>
      <c r="JH264" s="47"/>
      <c r="JI264" s="47"/>
      <c r="JJ264" s="47"/>
      <c r="JK264" s="47"/>
      <c r="JL264" s="47"/>
      <c r="JM264" s="47"/>
      <c r="JN264" s="47"/>
      <c r="JO264" s="47"/>
      <c r="JP264" s="47"/>
      <c r="JQ264" s="47"/>
      <c r="JR264" s="47"/>
      <c r="JS264" s="47"/>
      <c r="JT264" s="47"/>
      <c r="JU264" s="47"/>
      <c r="JV264" s="47"/>
      <c r="JW264" s="47"/>
      <c r="JX264" s="47"/>
      <c r="JY264" s="47"/>
      <c r="JZ264" s="47"/>
      <c r="KA264" s="47"/>
      <c r="KB264" s="47"/>
      <c r="KC264" s="47"/>
      <c r="KD264" s="47"/>
      <c r="KE264" s="47"/>
      <c r="KF264" s="47"/>
      <c r="KG264" s="47"/>
      <c r="KH264" s="47"/>
      <c r="KI264" s="47"/>
      <c r="KJ264" s="47"/>
      <c r="KK264" s="47"/>
      <c r="KL264" s="47"/>
      <c r="KM264" s="47"/>
      <c r="KN264" s="47"/>
      <c r="KO264" s="47"/>
      <c r="KP264" s="47"/>
      <c r="KQ264" s="47"/>
      <c r="KR264" s="47"/>
      <c r="KS264" s="47"/>
      <c r="KT264" s="47"/>
      <c r="KU264" s="47"/>
      <c r="KV264" s="47"/>
      <c r="KW264" s="47"/>
      <c r="KX264" s="47"/>
      <c r="KY264" s="47"/>
      <c r="KZ264" s="47"/>
      <c r="LA264" s="47"/>
      <c r="LB264" s="47"/>
      <c r="LC264" s="47"/>
      <c r="LD264" s="47"/>
      <c r="LE264" s="47"/>
      <c r="LF264" s="47"/>
      <c r="LG264" s="47"/>
      <c r="LH264" s="47"/>
      <c r="LI264" s="47"/>
      <c r="LJ264" s="47"/>
      <c r="LK264" s="47"/>
      <c r="LL264" s="47"/>
      <c r="LM264" s="47"/>
      <c r="LN264" s="47"/>
      <c r="LO264" s="47"/>
      <c r="LP264" s="47"/>
      <c r="LQ264" s="47"/>
      <c r="LR264" s="47"/>
      <c r="LS264" s="47"/>
      <c r="LT264" s="47"/>
      <c r="LU264" s="47"/>
      <c r="LV264" s="47"/>
      <c r="LW264" s="47"/>
      <c r="LX264" s="47"/>
      <c r="LY264" s="47"/>
      <c r="LZ264" s="47"/>
      <c r="MA264" s="47"/>
      <c r="MB264" s="47"/>
      <c r="MC264" s="47"/>
      <c r="MD264" s="47"/>
      <c r="ME264" s="47"/>
      <c r="MF264" s="47"/>
      <c r="MG264" s="47"/>
      <c r="MH264" s="47"/>
      <c r="MI264" s="47"/>
      <c r="MJ264" s="47"/>
      <c r="MK264" s="47"/>
      <c r="ML264" s="47"/>
      <c r="MM264" s="47"/>
      <c r="MN264" s="47"/>
      <c r="MO264" s="47"/>
      <c r="MP264" s="47"/>
      <c r="MQ264" s="47"/>
      <c r="MR264" s="47"/>
      <c r="MS264" s="47"/>
      <c r="MT264" s="47"/>
      <c r="MU264" s="47"/>
      <c r="MV264" s="47"/>
      <c r="MW264" s="47"/>
      <c r="MX264" s="47"/>
      <c r="MY264" s="47"/>
      <c r="MZ264" s="47"/>
      <c r="NA264" s="47"/>
      <c r="NB264" s="47"/>
      <c r="NC264" s="47"/>
      <c r="ND264" s="47"/>
      <c r="NE264" s="47"/>
      <c r="NF264" s="47"/>
      <c r="NG264" s="47"/>
      <c r="NH264" s="47"/>
      <c r="NI264" s="47"/>
      <c r="NJ264" s="47"/>
      <c r="NK264" s="47"/>
      <c r="NL264" s="47"/>
      <c r="NM264" s="47"/>
      <c r="NN264" s="47"/>
      <c r="NO264" s="47"/>
      <c r="NP264" s="47"/>
      <c r="NQ264" s="47"/>
      <c r="NR264" s="47"/>
      <c r="NS264" s="47"/>
      <c r="NT264" s="47"/>
      <c r="NU264" s="47"/>
      <c r="NV264" s="47"/>
      <c r="NW264" s="47"/>
      <c r="NX264" s="47"/>
      <c r="NY264" s="47"/>
      <c r="NZ264" s="47"/>
      <c r="OA264" s="47"/>
      <c r="OB264" s="47"/>
      <c r="OC264" s="47"/>
      <c r="OD264" s="47"/>
      <c r="OE264" s="47"/>
      <c r="OF264" s="47"/>
      <c r="OG264" s="47"/>
      <c r="OH264" s="47"/>
      <c r="OI264" s="47"/>
      <c r="OJ264" s="47"/>
      <c r="OK264" s="47"/>
      <c r="OL264" s="47"/>
      <c r="OM264" s="47"/>
      <c r="ON264" s="47"/>
      <c r="OO264" s="47"/>
      <c r="OP264" s="47"/>
      <c r="OQ264" s="47"/>
      <c r="OR264" s="47"/>
      <c r="OS264" s="47"/>
      <c r="OT264" s="47"/>
      <c r="OU264" s="47"/>
      <c r="OV264" s="47"/>
      <c r="OW264" s="47"/>
      <c r="OX264" s="47"/>
      <c r="OY264" s="47"/>
      <c r="OZ264" s="47"/>
      <c r="PA264" s="47"/>
      <c r="PB264" s="47"/>
      <c r="PC264" s="47"/>
      <c r="PD264" s="47"/>
      <c r="PE264" s="47"/>
      <c r="PF264" s="47"/>
      <c r="PG264" s="47"/>
      <c r="PH264" s="47"/>
      <c r="PI264" s="47"/>
      <c r="PJ264" s="47"/>
      <c r="PK264" s="47"/>
      <c r="PL264" s="47"/>
      <c r="PM264" s="47"/>
      <c r="PN264" s="47"/>
      <c r="PO264" s="47"/>
      <c r="PP264" s="47"/>
      <c r="PQ264" s="47"/>
      <c r="PR264" s="47"/>
      <c r="PS264" s="47"/>
      <c r="PT264" s="47"/>
      <c r="PU264" s="47"/>
      <c r="PV264" s="47"/>
      <c r="PW264" s="47"/>
      <c r="PX264" s="47"/>
      <c r="PY264" s="47"/>
      <c r="PZ264" s="47"/>
      <c r="QA264" s="47"/>
      <c r="QB264" s="47"/>
      <c r="QC264" s="47"/>
      <c r="QD264" s="47"/>
      <c r="QE264" s="47"/>
      <c r="QF264" s="47"/>
      <c r="QG264" s="47"/>
      <c r="QH264" s="47"/>
      <c r="QI264" s="47"/>
      <c r="QJ264" s="47"/>
      <c r="QK264" s="47"/>
      <c r="QL264" s="47"/>
      <c r="QM264" s="47"/>
      <c r="QN264" s="47"/>
      <c r="QO264" s="47"/>
      <c r="QP264" s="47"/>
      <c r="QQ264" s="47"/>
      <c r="QR264" s="47"/>
      <c r="QS264" s="47"/>
      <c r="QT264" s="47"/>
      <c r="QU264" s="47"/>
      <c r="QV264" s="47"/>
      <c r="QW264" s="47"/>
      <c r="QX264" s="47"/>
      <c r="QY264" s="47"/>
      <c r="QZ264" s="47"/>
      <c r="RA264" s="47"/>
      <c r="RB264" s="47"/>
      <c r="RC264" s="47"/>
      <c r="RD264" s="47"/>
      <c r="RE264" s="47"/>
      <c r="RF264" s="47"/>
      <c r="RG264" s="47"/>
      <c r="RH264" s="47"/>
      <c r="RI264" s="47"/>
      <c r="RJ264" s="47"/>
      <c r="RK264" s="47"/>
      <c r="RL264" s="47"/>
      <c r="RM264" s="47"/>
      <c r="RN264" s="47"/>
      <c r="RO264" s="47"/>
      <c r="RP264" s="47"/>
      <c r="RQ264" s="47"/>
      <c r="RR264" s="47"/>
      <c r="RS264" s="47"/>
      <c r="RT264" s="47"/>
      <c r="RU264" s="47"/>
      <c r="RV264" s="47"/>
      <c r="RW264" s="47"/>
      <c r="RX264" s="47"/>
      <c r="RY264" s="47"/>
      <c r="RZ264" s="47"/>
      <c r="SA264" s="47"/>
      <c r="SB264" s="47"/>
      <c r="SC264" s="47"/>
      <c r="SD264" s="47"/>
      <c r="SE264" s="47"/>
      <c r="SF264" s="47"/>
      <c r="SG264" s="47"/>
      <c r="SH264" s="47"/>
      <c r="SI264" s="47"/>
      <c r="SJ264" s="47"/>
      <c r="SK264" s="47"/>
      <c r="SL264" s="47"/>
      <c r="SM264" s="47"/>
      <c r="SN264" s="47"/>
      <c r="SO264" s="47"/>
      <c r="SP264" s="47"/>
      <c r="SQ264" s="47"/>
      <c r="SR264" s="47"/>
      <c r="SS264" s="47"/>
      <c r="ST264" s="47"/>
      <c r="SU264" s="47"/>
      <c r="SV264" s="47"/>
      <c r="SW264" s="47"/>
      <c r="SX264" s="47"/>
      <c r="SY264" s="47"/>
      <c r="SZ264" s="47"/>
      <c r="TA264" s="47"/>
      <c r="TB264" s="47"/>
      <c r="TC264" s="47"/>
      <c r="TD264" s="47"/>
      <c r="TE264" s="47"/>
      <c r="TF264" s="47"/>
      <c r="TG264" s="47"/>
      <c r="TH264" s="47"/>
      <c r="TI264" s="47"/>
      <c r="TJ264" s="47"/>
      <c r="TK264" s="47"/>
      <c r="TL264" s="47"/>
      <c r="TM264" s="47"/>
      <c r="TN264" s="47"/>
      <c r="TO264" s="47"/>
      <c r="TP264" s="47"/>
      <c r="TQ264" s="47"/>
      <c r="TR264" s="47"/>
      <c r="TS264" s="47"/>
      <c r="TT264" s="47"/>
      <c r="TU264" s="47"/>
      <c r="TV264" s="47"/>
      <c r="TW264" s="47"/>
      <c r="TX264" s="47"/>
      <c r="TY264" s="47"/>
      <c r="TZ264" s="47"/>
      <c r="UA264" s="47"/>
      <c r="UB264" s="47"/>
      <c r="UC264" s="47"/>
      <c r="UD264" s="47"/>
      <c r="UE264" s="47"/>
      <c r="UF264" s="47"/>
      <c r="UG264" s="47"/>
      <c r="UH264" s="47"/>
      <c r="UI264" s="47"/>
      <c r="UJ264" s="47"/>
      <c r="UK264" s="47"/>
      <c r="UL264" s="47"/>
      <c r="UM264" s="47"/>
      <c r="UN264" s="47"/>
      <c r="UO264" s="47"/>
      <c r="UP264" s="47"/>
      <c r="UQ264" s="47"/>
      <c r="UR264" s="47"/>
      <c r="US264" s="47"/>
      <c r="UT264" s="47"/>
      <c r="UU264" s="47"/>
      <c r="UV264" s="47"/>
      <c r="UW264" s="47"/>
      <c r="UX264" s="47"/>
      <c r="UY264" s="47"/>
      <c r="UZ264" s="47"/>
      <c r="VA264" s="47"/>
      <c r="VB264" s="47"/>
      <c r="VC264" s="47"/>
      <c r="VD264" s="47"/>
      <c r="VE264" s="47"/>
      <c r="VF264" s="47"/>
    </row>
    <row r="265" spans="1:578" s="41" customFormat="1" ht="105" x14ac:dyDescent="0.2">
      <c r="A265" s="39" t="s">
        <v>508</v>
      </c>
      <c r="B265" s="90" t="str">
        <f>'дод 3'!A190</f>
        <v>7691</v>
      </c>
      <c r="C265" s="90" t="str">
        <f>'дод 3'!B190</f>
        <v>0490</v>
      </c>
      <c r="D265" s="40" t="s">
        <v>415</v>
      </c>
      <c r="E265" s="65">
        <v>0</v>
      </c>
      <c r="F265" s="65"/>
      <c r="G265" s="65"/>
      <c r="H265" s="65"/>
      <c r="I265" s="65"/>
      <c r="J265" s="65"/>
      <c r="K265" s="130"/>
      <c r="L265" s="65">
        <f t="shared" si="73"/>
        <v>833117.12</v>
      </c>
      <c r="M265" s="65"/>
      <c r="N265" s="65"/>
      <c r="O265" s="65"/>
      <c r="P265" s="65"/>
      <c r="Q265" s="65">
        <v>833117.12</v>
      </c>
      <c r="R265" s="65">
        <f t="shared" si="74"/>
        <v>0</v>
      </c>
      <c r="S265" s="65"/>
      <c r="T265" s="65"/>
      <c r="U265" s="65"/>
      <c r="V265" s="65"/>
      <c r="W265" s="65"/>
      <c r="X265" s="132">
        <f t="shared" si="68"/>
        <v>0</v>
      </c>
      <c r="Y265" s="65">
        <f t="shared" si="69"/>
        <v>0</v>
      </c>
      <c r="Z265" s="202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  <c r="IW265" s="47"/>
      <c r="IX265" s="47"/>
      <c r="IY265" s="47"/>
      <c r="IZ265" s="47"/>
      <c r="JA265" s="47"/>
      <c r="JB265" s="47"/>
      <c r="JC265" s="47"/>
      <c r="JD265" s="47"/>
      <c r="JE265" s="47"/>
      <c r="JF265" s="47"/>
      <c r="JG265" s="47"/>
      <c r="JH265" s="47"/>
      <c r="JI265" s="47"/>
      <c r="JJ265" s="47"/>
      <c r="JK265" s="47"/>
      <c r="JL265" s="47"/>
      <c r="JM265" s="47"/>
      <c r="JN265" s="47"/>
      <c r="JO265" s="47"/>
      <c r="JP265" s="47"/>
      <c r="JQ265" s="47"/>
      <c r="JR265" s="47"/>
      <c r="JS265" s="47"/>
      <c r="JT265" s="47"/>
      <c r="JU265" s="47"/>
      <c r="JV265" s="47"/>
      <c r="JW265" s="47"/>
      <c r="JX265" s="47"/>
      <c r="JY265" s="47"/>
      <c r="JZ265" s="47"/>
      <c r="KA265" s="47"/>
      <c r="KB265" s="47"/>
      <c r="KC265" s="47"/>
      <c r="KD265" s="47"/>
      <c r="KE265" s="47"/>
      <c r="KF265" s="47"/>
      <c r="KG265" s="47"/>
      <c r="KH265" s="47"/>
      <c r="KI265" s="47"/>
      <c r="KJ265" s="47"/>
      <c r="KK265" s="47"/>
      <c r="KL265" s="47"/>
      <c r="KM265" s="47"/>
      <c r="KN265" s="47"/>
      <c r="KO265" s="47"/>
      <c r="KP265" s="47"/>
      <c r="KQ265" s="47"/>
      <c r="KR265" s="47"/>
      <c r="KS265" s="47"/>
      <c r="KT265" s="47"/>
      <c r="KU265" s="47"/>
      <c r="KV265" s="47"/>
      <c r="KW265" s="47"/>
      <c r="KX265" s="47"/>
      <c r="KY265" s="47"/>
      <c r="KZ265" s="47"/>
      <c r="LA265" s="47"/>
      <c r="LB265" s="47"/>
      <c r="LC265" s="47"/>
      <c r="LD265" s="47"/>
      <c r="LE265" s="47"/>
      <c r="LF265" s="47"/>
      <c r="LG265" s="47"/>
      <c r="LH265" s="47"/>
      <c r="LI265" s="47"/>
      <c r="LJ265" s="47"/>
      <c r="LK265" s="47"/>
      <c r="LL265" s="47"/>
      <c r="LM265" s="47"/>
      <c r="LN265" s="47"/>
      <c r="LO265" s="47"/>
      <c r="LP265" s="47"/>
      <c r="LQ265" s="47"/>
      <c r="LR265" s="47"/>
      <c r="LS265" s="47"/>
      <c r="LT265" s="47"/>
      <c r="LU265" s="47"/>
      <c r="LV265" s="47"/>
      <c r="LW265" s="47"/>
      <c r="LX265" s="47"/>
      <c r="LY265" s="47"/>
      <c r="LZ265" s="47"/>
      <c r="MA265" s="47"/>
      <c r="MB265" s="47"/>
      <c r="MC265" s="47"/>
      <c r="MD265" s="47"/>
      <c r="ME265" s="47"/>
      <c r="MF265" s="47"/>
      <c r="MG265" s="47"/>
      <c r="MH265" s="47"/>
      <c r="MI265" s="47"/>
      <c r="MJ265" s="47"/>
      <c r="MK265" s="47"/>
      <c r="ML265" s="47"/>
      <c r="MM265" s="47"/>
      <c r="MN265" s="47"/>
      <c r="MO265" s="47"/>
      <c r="MP265" s="47"/>
      <c r="MQ265" s="47"/>
      <c r="MR265" s="47"/>
      <c r="MS265" s="47"/>
      <c r="MT265" s="47"/>
      <c r="MU265" s="47"/>
      <c r="MV265" s="47"/>
      <c r="MW265" s="47"/>
      <c r="MX265" s="47"/>
      <c r="MY265" s="47"/>
      <c r="MZ265" s="47"/>
      <c r="NA265" s="47"/>
      <c r="NB265" s="47"/>
      <c r="NC265" s="47"/>
      <c r="ND265" s="47"/>
      <c r="NE265" s="47"/>
      <c r="NF265" s="47"/>
      <c r="NG265" s="47"/>
      <c r="NH265" s="47"/>
      <c r="NI265" s="47"/>
      <c r="NJ265" s="47"/>
      <c r="NK265" s="47"/>
      <c r="NL265" s="47"/>
      <c r="NM265" s="47"/>
      <c r="NN265" s="47"/>
      <c r="NO265" s="47"/>
      <c r="NP265" s="47"/>
      <c r="NQ265" s="47"/>
      <c r="NR265" s="47"/>
      <c r="NS265" s="47"/>
      <c r="NT265" s="47"/>
      <c r="NU265" s="47"/>
      <c r="NV265" s="47"/>
      <c r="NW265" s="47"/>
      <c r="NX265" s="47"/>
      <c r="NY265" s="47"/>
      <c r="NZ265" s="47"/>
      <c r="OA265" s="47"/>
      <c r="OB265" s="47"/>
      <c r="OC265" s="47"/>
      <c r="OD265" s="47"/>
      <c r="OE265" s="47"/>
      <c r="OF265" s="47"/>
      <c r="OG265" s="47"/>
      <c r="OH265" s="47"/>
      <c r="OI265" s="47"/>
      <c r="OJ265" s="47"/>
      <c r="OK265" s="47"/>
      <c r="OL265" s="47"/>
      <c r="OM265" s="47"/>
      <c r="ON265" s="47"/>
      <c r="OO265" s="47"/>
      <c r="OP265" s="47"/>
      <c r="OQ265" s="47"/>
      <c r="OR265" s="47"/>
      <c r="OS265" s="47"/>
      <c r="OT265" s="47"/>
      <c r="OU265" s="47"/>
      <c r="OV265" s="47"/>
      <c r="OW265" s="47"/>
      <c r="OX265" s="47"/>
      <c r="OY265" s="47"/>
      <c r="OZ265" s="47"/>
      <c r="PA265" s="47"/>
      <c r="PB265" s="47"/>
      <c r="PC265" s="47"/>
      <c r="PD265" s="47"/>
      <c r="PE265" s="47"/>
      <c r="PF265" s="47"/>
      <c r="PG265" s="47"/>
      <c r="PH265" s="47"/>
      <c r="PI265" s="47"/>
      <c r="PJ265" s="47"/>
      <c r="PK265" s="47"/>
      <c r="PL265" s="47"/>
      <c r="PM265" s="47"/>
      <c r="PN265" s="47"/>
      <c r="PO265" s="47"/>
      <c r="PP265" s="47"/>
      <c r="PQ265" s="47"/>
      <c r="PR265" s="47"/>
      <c r="PS265" s="47"/>
      <c r="PT265" s="47"/>
      <c r="PU265" s="47"/>
      <c r="PV265" s="47"/>
      <c r="PW265" s="47"/>
      <c r="PX265" s="47"/>
      <c r="PY265" s="47"/>
      <c r="PZ265" s="47"/>
      <c r="QA265" s="47"/>
      <c r="QB265" s="47"/>
      <c r="QC265" s="47"/>
      <c r="QD265" s="47"/>
      <c r="QE265" s="47"/>
      <c r="QF265" s="47"/>
      <c r="QG265" s="47"/>
      <c r="QH265" s="47"/>
      <c r="QI265" s="47"/>
      <c r="QJ265" s="47"/>
      <c r="QK265" s="47"/>
      <c r="QL265" s="47"/>
      <c r="QM265" s="47"/>
      <c r="QN265" s="47"/>
      <c r="QO265" s="47"/>
      <c r="QP265" s="47"/>
      <c r="QQ265" s="47"/>
      <c r="QR265" s="47"/>
      <c r="QS265" s="47"/>
      <c r="QT265" s="47"/>
      <c r="QU265" s="47"/>
      <c r="QV265" s="47"/>
      <c r="QW265" s="47"/>
      <c r="QX265" s="47"/>
      <c r="QY265" s="47"/>
      <c r="QZ265" s="47"/>
      <c r="RA265" s="47"/>
      <c r="RB265" s="47"/>
      <c r="RC265" s="47"/>
      <c r="RD265" s="47"/>
      <c r="RE265" s="47"/>
      <c r="RF265" s="47"/>
      <c r="RG265" s="47"/>
      <c r="RH265" s="47"/>
      <c r="RI265" s="47"/>
      <c r="RJ265" s="47"/>
      <c r="RK265" s="47"/>
      <c r="RL265" s="47"/>
      <c r="RM265" s="47"/>
      <c r="RN265" s="47"/>
      <c r="RO265" s="47"/>
      <c r="RP265" s="47"/>
      <c r="RQ265" s="47"/>
      <c r="RR265" s="47"/>
      <c r="RS265" s="47"/>
      <c r="RT265" s="47"/>
      <c r="RU265" s="47"/>
      <c r="RV265" s="47"/>
      <c r="RW265" s="47"/>
      <c r="RX265" s="47"/>
      <c r="RY265" s="47"/>
      <c r="RZ265" s="47"/>
      <c r="SA265" s="47"/>
      <c r="SB265" s="47"/>
      <c r="SC265" s="47"/>
      <c r="SD265" s="47"/>
      <c r="SE265" s="47"/>
      <c r="SF265" s="47"/>
      <c r="SG265" s="47"/>
      <c r="SH265" s="47"/>
      <c r="SI265" s="47"/>
      <c r="SJ265" s="47"/>
      <c r="SK265" s="47"/>
      <c r="SL265" s="47"/>
      <c r="SM265" s="47"/>
      <c r="SN265" s="47"/>
      <c r="SO265" s="47"/>
      <c r="SP265" s="47"/>
      <c r="SQ265" s="47"/>
      <c r="SR265" s="47"/>
      <c r="SS265" s="47"/>
      <c r="ST265" s="47"/>
      <c r="SU265" s="47"/>
      <c r="SV265" s="47"/>
      <c r="SW265" s="47"/>
      <c r="SX265" s="47"/>
      <c r="SY265" s="47"/>
      <c r="SZ265" s="47"/>
      <c r="TA265" s="47"/>
      <c r="TB265" s="47"/>
      <c r="TC265" s="47"/>
      <c r="TD265" s="47"/>
      <c r="TE265" s="47"/>
      <c r="TF265" s="47"/>
      <c r="TG265" s="47"/>
      <c r="TH265" s="47"/>
      <c r="TI265" s="47"/>
      <c r="TJ265" s="47"/>
      <c r="TK265" s="47"/>
      <c r="TL265" s="47"/>
      <c r="TM265" s="47"/>
      <c r="TN265" s="47"/>
      <c r="TO265" s="47"/>
      <c r="TP265" s="47"/>
      <c r="TQ265" s="47"/>
      <c r="TR265" s="47"/>
      <c r="TS265" s="47"/>
      <c r="TT265" s="47"/>
      <c r="TU265" s="47"/>
      <c r="TV265" s="47"/>
      <c r="TW265" s="47"/>
      <c r="TX265" s="47"/>
      <c r="TY265" s="47"/>
      <c r="TZ265" s="47"/>
      <c r="UA265" s="47"/>
      <c r="UB265" s="47"/>
      <c r="UC265" s="47"/>
      <c r="UD265" s="47"/>
      <c r="UE265" s="47"/>
      <c r="UF265" s="47"/>
      <c r="UG265" s="47"/>
      <c r="UH265" s="47"/>
      <c r="UI265" s="47"/>
      <c r="UJ265" s="47"/>
      <c r="UK265" s="47"/>
      <c r="UL265" s="47"/>
      <c r="UM265" s="47"/>
      <c r="UN265" s="47"/>
      <c r="UO265" s="47"/>
      <c r="UP265" s="47"/>
      <c r="UQ265" s="47"/>
      <c r="UR265" s="47"/>
      <c r="US265" s="47"/>
      <c r="UT265" s="47"/>
      <c r="UU265" s="47"/>
      <c r="UV265" s="47"/>
      <c r="UW265" s="47"/>
      <c r="UX265" s="47"/>
      <c r="UY265" s="47"/>
      <c r="UZ265" s="47"/>
      <c r="VA265" s="47"/>
      <c r="VB265" s="47"/>
      <c r="VC265" s="47"/>
      <c r="VD265" s="47"/>
      <c r="VE265" s="47"/>
      <c r="VF265" s="47"/>
    </row>
    <row r="266" spans="1:578" s="57" customFormat="1" ht="28.5" customHeight="1" x14ac:dyDescent="0.2">
      <c r="A266" s="55" t="s">
        <v>274</v>
      </c>
      <c r="B266" s="99"/>
      <c r="C266" s="99"/>
      <c r="D266" s="56" t="s">
        <v>63</v>
      </c>
      <c r="E266" s="79">
        <v>9160300</v>
      </c>
      <c r="F266" s="79">
        <f t="shared" ref="F266:W266" si="86">F267</f>
        <v>6278039</v>
      </c>
      <c r="G266" s="79">
        <f t="shared" si="86"/>
        <v>108163</v>
      </c>
      <c r="H266" s="79">
        <f t="shared" si="86"/>
        <v>1838879.11</v>
      </c>
      <c r="I266" s="79">
        <f t="shared" si="86"/>
        <v>1337934.51</v>
      </c>
      <c r="J266" s="79">
        <f t="shared" si="86"/>
        <v>40514.54</v>
      </c>
      <c r="K266" s="129">
        <f t="shared" si="70"/>
        <v>20.074441994257832</v>
      </c>
      <c r="L266" s="79">
        <f t="shared" si="86"/>
        <v>2019807.3399999999</v>
      </c>
      <c r="M266" s="79">
        <f t="shared" si="86"/>
        <v>0</v>
      </c>
      <c r="N266" s="79">
        <f t="shared" si="86"/>
        <v>1088807.3399999999</v>
      </c>
      <c r="O266" s="79">
        <f t="shared" si="86"/>
        <v>0</v>
      </c>
      <c r="P266" s="79">
        <f t="shared" si="86"/>
        <v>0</v>
      </c>
      <c r="Q266" s="79">
        <f t="shared" si="86"/>
        <v>931000</v>
      </c>
      <c r="R266" s="79">
        <f t="shared" si="86"/>
        <v>19086</v>
      </c>
      <c r="S266" s="79">
        <f t="shared" si="86"/>
        <v>0</v>
      </c>
      <c r="T266" s="79">
        <f t="shared" si="86"/>
        <v>19086</v>
      </c>
      <c r="U266" s="79">
        <f t="shared" si="86"/>
        <v>0</v>
      </c>
      <c r="V266" s="79">
        <f t="shared" si="86"/>
        <v>0</v>
      </c>
      <c r="W266" s="79">
        <f t="shared" si="86"/>
        <v>0</v>
      </c>
      <c r="X266" s="131">
        <f t="shared" si="68"/>
        <v>0.94494161012406275</v>
      </c>
      <c r="Y266" s="79">
        <f t="shared" si="69"/>
        <v>1857965.11</v>
      </c>
      <c r="Z266" s="202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  <c r="GX266" s="73"/>
      <c r="GY266" s="73"/>
      <c r="GZ266" s="73"/>
      <c r="HA266" s="73"/>
      <c r="HB266" s="73"/>
      <c r="HC266" s="73"/>
      <c r="HD266" s="73"/>
      <c r="HE266" s="73"/>
      <c r="HF266" s="73"/>
      <c r="HG266" s="73"/>
      <c r="HH266" s="73"/>
      <c r="HI266" s="73"/>
      <c r="HJ266" s="73"/>
      <c r="HK266" s="73"/>
      <c r="HL266" s="73"/>
      <c r="HM266" s="73"/>
      <c r="HN266" s="73"/>
      <c r="HO266" s="73"/>
      <c r="HP266" s="73"/>
      <c r="HQ266" s="73"/>
      <c r="HR266" s="73"/>
      <c r="HS266" s="73"/>
      <c r="HT266" s="73"/>
      <c r="HU266" s="73"/>
      <c r="HV266" s="73"/>
      <c r="HW266" s="73"/>
      <c r="HX266" s="73"/>
      <c r="HY266" s="73"/>
      <c r="HZ266" s="73"/>
      <c r="IA266" s="73"/>
      <c r="IB266" s="73"/>
      <c r="IC266" s="73"/>
      <c r="ID266" s="73"/>
      <c r="IE266" s="73"/>
      <c r="IF266" s="73"/>
      <c r="IG266" s="73"/>
      <c r="IH266" s="73"/>
      <c r="II266" s="73"/>
      <c r="IJ266" s="73"/>
      <c r="IK266" s="73"/>
      <c r="IL266" s="73"/>
      <c r="IM266" s="73"/>
      <c r="IN266" s="73"/>
      <c r="IO266" s="73"/>
      <c r="IP266" s="73"/>
      <c r="IQ266" s="73"/>
      <c r="IR266" s="73"/>
      <c r="IS266" s="73"/>
      <c r="IT266" s="73"/>
      <c r="IU266" s="73"/>
      <c r="IV266" s="73"/>
      <c r="IW266" s="73"/>
      <c r="IX266" s="73"/>
      <c r="IY266" s="73"/>
      <c r="IZ266" s="73"/>
      <c r="JA266" s="73"/>
      <c r="JB266" s="73"/>
      <c r="JC266" s="73"/>
      <c r="JD266" s="73"/>
      <c r="JE266" s="73"/>
      <c r="JF266" s="73"/>
      <c r="JG266" s="73"/>
      <c r="JH266" s="73"/>
      <c r="JI266" s="73"/>
      <c r="JJ266" s="73"/>
      <c r="JK266" s="73"/>
      <c r="JL266" s="73"/>
      <c r="JM266" s="73"/>
      <c r="JN266" s="73"/>
      <c r="JO266" s="73"/>
      <c r="JP266" s="73"/>
      <c r="JQ266" s="73"/>
      <c r="JR266" s="73"/>
      <c r="JS266" s="73"/>
      <c r="JT266" s="73"/>
      <c r="JU266" s="73"/>
      <c r="JV266" s="73"/>
      <c r="JW266" s="73"/>
      <c r="JX266" s="73"/>
      <c r="JY266" s="73"/>
      <c r="JZ266" s="73"/>
      <c r="KA266" s="73"/>
      <c r="KB266" s="73"/>
      <c r="KC266" s="73"/>
      <c r="KD266" s="73"/>
      <c r="KE266" s="73"/>
      <c r="KF266" s="73"/>
      <c r="KG266" s="73"/>
      <c r="KH266" s="73"/>
      <c r="KI266" s="73"/>
      <c r="KJ266" s="73"/>
      <c r="KK266" s="73"/>
      <c r="KL266" s="73"/>
      <c r="KM266" s="73"/>
      <c r="KN266" s="73"/>
      <c r="KO266" s="73"/>
      <c r="KP266" s="73"/>
      <c r="KQ266" s="73"/>
      <c r="KR266" s="73"/>
      <c r="KS266" s="73"/>
      <c r="KT266" s="73"/>
      <c r="KU266" s="73"/>
      <c r="KV266" s="73"/>
      <c r="KW266" s="73"/>
      <c r="KX266" s="73"/>
      <c r="KY266" s="73"/>
      <c r="KZ266" s="73"/>
      <c r="LA266" s="73"/>
      <c r="LB266" s="73"/>
      <c r="LC266" s="73"/>
      <c r="LD266" s="73"/>
      <c r="LE266" s="73"/>
      <c r="LF266" s="73"/>
      <c r="LG266" s="73"/>
      <c r="LH266" s="73"/>
      <c r="LI266" s="73"/>
      <c r="LJ266" s="73"/>
      <c r="LK266" s="73"/>
      <c r="LL266" s="73"/>
      <c r="LM266" s="73"/>
      <c r="LN266" s="73"/>
      <c r="LO266" s="73"/>
      <c r="LP266" s="73"/>
      <c r="LQ266" s="73"/>
      <c r="LR266" s="73"/>
      <c r="LS266" s="73"/>
      <c r="LT266" s="73"/>
      <c r="LU266" s="73"/>
      <c r="LV266" s="73"/>
      <c r="LW266" s="73"/>
      <c r="LX266" s="73"/>
      <c r="LY266" s="73"/>
      <c r="LZ266" s="73"/>
      <c r="MA266" s="73"/>
      <c r="MB266" s="73"/>
      <c r="MC266" s="73"/>
      <c r="MD266" s="73"/>
      <c r="ME266" s="73"/>
      <c r="MF266" s="73"/>
      <c r="MG266" s="73"/>
      <c r="MH266" s="73"/>
      <c r="MI266" s="73"/>
      <c r="MJ266" s="73"/>
      <c r="MK266" s="73"/>
      <c r="ML266" s="73"/>
      <c r="MM266" s="73"/>
      <c r="MN266" s="73"/>
      <c r="MO266" s="73"/>
      <c r="MP266" s="73"/>
      <c r="MQ266" s="73"/>
      <c r="MR266" s="73"/>
      <c r="MS266" s="73"/>
      <c r="MT266" s="73"/>
      <c r="MU266" s="73"/>
      <c r="MV266" s="73"/>
      <c r="MW266" s="73"/>
      <c r="MX266" s="73"/>
      <c r="MY266" s="73"/>
      <c r="MZ266" s="73"/>
      <c r="NA266" s="73"/>
      <c r="NB266" s="73"/>
      <c r="NC266" s="73"/>
      <c r="ND266" s="73"/>
      <c r="NE266" s="73"/>
      <c r="NF266" s="73"/>
      <c r="NG266" s="73"/>
      <c r="NH266" s="73"/>
      <c r="NI266" s="73"/>
      <c r="NJ266" s="73"/>
      <c r="NK266" s="73"/>
      <c r="NL266" s="73"/>
      <c r="NM266" s="73"/>
      <c r="NN266" s="73"/>
      <c r="NO266" s="73"/>
      <c r="NP266" s="73"/>
      <c r="NQ266" s="73"/>
      <c r="NR266" s="73"/>
      <c r="NS266" s="73"/>
      <c r="NT266" s="73"/>
      <c r="NU266" s="73"/>
      <c r="NV266" s="73"/>
      <c r="NW266" s="73"/>
      <c r="NX266" s="73"/>
      <c r="NY266" s="73"/>
      <c r="NZ266" s="73"/>
      <c r="OA266" s="73"/>
      <c r="OB266" s="73"/>
      <c r="OC266" s="73"/>
      <c r="OD266" s="73"/>
      <c r="OE266" s="73"/>
      <c r="OF266" s="73"/>
      <c r="OG266" s="73"/>
      <c r="OH266" s="73"/>
      <c r="OI266" s="73"/>
      <c r="OJ266" s="73"/>
      <c r="OK266" s="73"/>
      <c r="OL266" s="73"/>
      <c r="OM266" s="73"/>
      <c r="ON266" s="73"/>
      <c r="OO266" s="73"/>
      <c r="OP266" s="73"/>
      <c r="OQ266" s="73"/>
      <c r="OR266" s="73"/>
      <c r="OS266" s="73"/>
      <c r="OT266" s="73"/>
      <c r="OU266" s="73"/>
      <c r="OV266" s="73"/>
      <c r="OW266" s="73"/>
      <c r="OX266" s="73"/>
      <c r="OY266" s="73"/>
      <c r="OZ266" s="73"/>
      <c r="PA266" s="73"/>
      <c r="PB266" s="73"/>
      <c r="PC266" s="73"/>
      <c r="PD266" s="73"/>
      <c r="PE266" s="73"/>
      <c r="PF266" s="73"/>
      <c r="PG266" s="73"/>
      <c r="PH266" s="73"/>
      <c r="PI266" s="73"/>
      <c r="PJ266" s="73"/>
      <c r="PK266" s="73"/>
      <c r="PL266" s="73"/>
      <c r="PM266" s="73"/>
      <c r="PN266" s="73"/>
      <c r="PO266" s="73"/>
      <c r="PP266" s="73"/>
      <c r="PQ266" s="73"/>
      <c r="PR266" s="73"/>
      <c r="PS266" s="73"/>
      <c r="PT266" s="73"/>
      <c r="PU266" s="73"/>
      <c r="PV266" s="73"/>
      <c r="PW266" s="73"/>
      <c r="PX266" s="73"/>
      <c r="PY266" s="73"/>
      <c r="PZ266" s="73"/>
      <c r="QA266" s="73"/>
      <c r="QB266" s="73"/>
      <c r="QC266" s="73"/>
      <c r="QD266" s="73"/>
      <c r="QE266" s="73"/>
      <c r="QF266" s="73"/>
      <c r="QG266" s="73"/>
      <c r="QH266" s="73"/>
      <c r="QI266" s="73"/>
      <c r="QJ266" s="73"/>
      <c r="QK266" s="73"/>
      <c r="QL266" s="73"/>
      <c r="QM266" s="73"/>
      <c r="QN266" s="73"/>
      <c r="QO266" s="73"/>
      <c r="QP266" s="73"/>
      <c r="QQ266" s="73"/>
      <c r="QR266" s="73"/>
      <c r="QS266" s="73"/>
      <c r="QT266" s="73"/>
      <c r="QU266" s="73"/>
      <c r="QV266" s="73"/>
      <c r="QW266" s="73"/>
      <c r="QX266" s="73"/>
      <c r="QY266" s="73"/>
      <c r="QZ266" s="73"/>
      <c r="RA266" s="73"/>
      <c r="RB266" s="73"/>
      <c r="RC266" s="73"/>
      <c r="RD266" s="73"/>
      <c r="RE266" s="73"/>
      <c r="RF266" s="73"/>
      <c r="RG266" s="73"/>
      <c r="RH266" s="73"/>
      <c r="RI266" s="73"/>
      <c r="RJ266" s="73"/>
      <c r="RK266" s="73"/>
      <c r="RL266" s="73"/>
      <c r="RM266" s="73"/>
      <c r="RN266" s="73"/>
      <c r="RO266" s="73"/>
      <c r="RP266" s="73"/>
      <c r="RQ266" s="73"/>
      <c r="RR266" s="73"/>
      <c r="RS266" s="73"/>
      <c r="RT266" s="73"/>
      <c r="RU266" s="73"/>
      <c r="RV266" s="73"/>
      <c r="RW266" s="73"/>
      <c r="RX266" s="73"/>
      <c r="RY266" s="73"/>
      <c r="RZ266" s="73"/>
      <c r="SA266" s="73"/>
      <c r="SB266" s="73"/>
      <c r="SC266" s="73"/>
      <c r="SD266" s="73"/>
      <c r="SE266" s="73"/>
      <c r="SF266" s="73"/>
      <c r="SG266" s="73"/>
      <c r="SH266" s="73"/>
      <c r="SI266" s="73"/>
      <c r="SJ266" s="73"/>
      <c r="SK266" s="73"/>
      <c r="SL266" s="73"/>
      <c r="SM266" s="73"/>
      <c r="SN266" s="73"/>
      <c r="SO266" s="73"/>
      <c r="SP266" s="73"/>
      <c r="SQ266" s="73"/>
      <c r="SR266" s="73"/>
      <c r="SS266" s="73"/>
      <c r="ST266" s="73"/>
      <c r="SU266" s="73"/>
      <c r="SV266" s="73"/>
      <c r="SW266" s="73"/>
      <c r="SX266" s="73"/>
      <c r="SY266" s="73"/>
      <c r="SZ266" s="73"/>
      <c r="TA266" s="73"/>
      <c r="TB266" s="73"/>
      <c r="TC266" s="73"/>
      <c r="TD266" s="73"/>
      <c r="TE266" s="73"/>
      <c r="TF266" s="73"/>
      <c r="TG266" s="73"/>
      <c r="TH266" s="73"/>
      <c r="TI266" s="73"/>
      <c r="TJ266" s="73"/>
      <c r="TK266" s="73"/>
      <c r="TL266" s="73"/>
      <c r="TM266" s="73"/>
      <c r="TN266" s="73"/>
      <c r="TO266" s="73"/>
      <c r="TP266" s="73"/>
      <c r="TQ266" s="73"/>
      <c r="TR266" s="73"/>
      <c r="TS266" s="73"/>
      <c r="TT266" s="73"/>
      <c r="TU266" s="73"/>
      <c r="TV266" s="73"/>
      <c r="TW266" s="73"/>
      <c r="TX266" s="73"/>
      <c r="TY266" s="73"/>
      <c r="TZ266" s="73"/>
      <c r="UA266" s="73"/>
      <c r="UB266" s="73"/>
      <c r="UC266" s="73"/>
      <c r="UD266" s="73"/>
      <c r="UE266" s="73"/>
      <c r="UF266" s="73"/>
      <c r="UG266" s="73"/>
      <c r="UH266" s="73"/>
      <c r="UI266" s="73"/>
      <c r="UJ266" s="73"/>
      <c r="UK266" s="73"/>
      <c r="UL266" s="73"/>
      <c r="UM266" s="73"/>
      <c r="UN266" s="73"/>
      <c r="UO266" s="73"/>
      <c r="UP266" s="73"/>
      <c r="UQ266" s="73"/>
      <c r="UR266" s="73"/>
      <c r="US266" s="73"/>
      <c r="UT266" s="73"/>
      <c r="UU266" s="73"/>
      <c r="UV266" s="73"/>
      <c r="UW266" s="73"/>
      <c r="UX266" s="73"/>
      <c r="UY266" s="73"/>
      <c r="UZ266" s="73"/>
      <c r="VA266" s="73"/>
      <c r="VB266" s="73"/>
      <c r="VC266" s="73"/>
      <c r="VD266" s="73"/>
      <c r="VE266" s="73"/>
      <c r="VF266" s="73"/>
    </row>
    <row r="267" spans="1:578" s="75" customFormat="1" ht="30" x14ac:dyDescent="0.2">
      <c r="A267" s="60" t="s">
        <v>275</v>
      </c>
      <c r="B267" s="100"/>
      <c r="C267" s="100"/>
      <c r="D267" s="61" t="s">
        <v>63</v>
      </c>
      <c r="E267" s="78">
        <v>9160300</v>
      </c>
      <c r="F267" s="78">
        <f t="shared" ref="F267:Q267" si="87">F268+F269+F270+F271+F272</f>
        <v>6278039</v>
      </c>
      <c r="G267" s="78">
        <f t="shared" si="87"/>
        <v>108163</v>
      </c>
      <c r="H267" s="78">
        <f>H268+H269+H270+H271+H272</f>
        <v>1838879.11</v>
      </c>
      <c r="I267" s="78">
        <f>I268+I269+I270+I271+I272</f>
        <v>1337934.51</v>
      </c>
      <c r="J267" s="78">
        <f>J268+J269+J270+J271+J272</f>
        <v>40514.54</v>
      </c>
      <c r="K267" s="129">
        <f t="shared" si="70"/>
        <v>20.074441994257832</v>
      </c>
      <c r="L267" s="78">
        <f t="shared" si="87"/>
        <v>2019807.3399999999</v>
      </c>
      <c r="M267" s="78">
        <f t="shared" ref="M267" si="88">M268+M269+M270+M271+M272</f>
        <v>0</v>
      </c>
      <c r="N267" s="78">
        <f t="shared" si="87"/>
        <v>1088807.3399999999</v>
      </c>
      <c r="O267" s="78">
        <f t="shared" si="87"/>
        <v>0</v>
      </c>
      <c r="P267" s="78">
        <f t="shared" si="87"/>
        <v>0</v>
      </c>
      <c r="Q267" s="78">
        <f t="shared" si="87"/>
        <v>931000</v>
      </c>
      <c r="R267" s="78">
        <f t="shared" ref="R267:W267" si="89">R268+R269+R270+R271+R272</f>
        <v>19086</v>
      </c>
      <c r="S267" s="78">
        <f t="shared" ref="S267" si="90">S268+S269+S270+S271+S272</f>
        <v>0</v>
      </c>
      <c r="T267" s="78">
        <f t="shared" si="89"/>
        <v>19086</v>
      </c>
      <c r="U267" s="78">
        <f t="shared" si="89"/>
        <v>0</v>
      </c>
      <c r="V267" s="78">
        <f t="shared" si="89"/>
        <v>0</v>
      </c>
      <c r="W267" s="78">
        <f t="shared" si="89"/>
        <v>0</v>
      </c>
      <c r="X267" s="131">
        <f t="shared" si="68"/>
        <v>0.94494161012406275</v>
      </c>
      <c r="Y267" s="79">
        <f t="shared" si="69"/>
        <v>1857965.11</v>
      </c>
      <c r="Z267" s="202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  <c r="FS267" s="74"/>
      <c r="FT267" s="74"/>
      <c r="FU267" s="74"/>
      <c r="FV267" s="74"/>
      <c r="FW267" s="74"/>
      <c r="FX267" s="74"/>
      <c r="FY267" s="74"/>
      <c r="FZ267" s="74"/>
      <c r="GA267" s="74"/>
      <c r="GB267" s="74"/>
      <c r="GC267" s="74"/>
      <c r="GD267" s="74"/>
      <c r="GE267" s="74"/>
      <c r="GF267" s="74"/>
      <c r="GG267" s="74"/>
      <c r="GH267" s="74"/>
      <c r="GI267" s="74"/>
      <c r="GJ267" s="74"/>
      <c r="GK267" s="74"/>
      <c r="GL267" s="74"/>
      <c r="GM267" s="74"/>
      <c r="GN267" s="74"/>
      <c r="GO267" s="74"/>
      <c r="GP267" s="74"/>
      <c r="GQ267" s="74"/>
      <c r="GR267" s="74"/>
      <c r="GS267" s="74"/>
      <c r="GT267" s="74"/>
      <c r="GU267" s="74"/>
      <c r="GV267" s="74"/>
      <c r="GW267" s="74"/>
      <c r="GX267" s="74"/>
      <c r="GY267" s="74"/>
      <c r="GZ267" s="74"/>
      <c r="HA267" s="74"/>
      <c r="HB267" s="74"/>
      <c r="HC267" s="74"/>
      <c r="HD267" s="74"/>
      <c r="HE267" s="74"/>
      <c r="HF267" s="74"/>
      <c r="HG267" s="74"/>
      <c r="HH267" s="74"/>
      <c r="HI267" s="74"/>
      <c r="HJ267" s="74"/>
      <c r="HK267" s="74"/>
      <c r="HL267" s="74"/>
      <c r="HM267" s="74"/>
      <c r="HN267" s="74"/>
      <c r="HO267" s="74"/>
      <c r="HP267" s="74"/>
      <c r="HQ267" s="74"/>
      <c r="HR267" s="74"/>
      <c r="HS267" s="74"/>
      <c r="HT267" s="74"/>
      <c r="HU267" s="74"/>
      <c r="HV267" s="74"/>
      <c r="HW267" s="74"/>
      <c r="HX267" s="74"/>
      <c r="HY267" s="74"/>
      <c r="HZ267" s="74"/>
      <c r="IA267" s="74"/>
      <c r="IB267" s="74"/>
      <c r="IC267" s="74"/>
      <c r="ID267" s="74"/>
      <c r="IE267" s="74"/>
      <c r="IF267" s="74"/>
      <c r="IG267" s="74"/>
      <c r="IH267" s="74"/>
      <c r="II267" s="74"/>
      <c r="IJ267" s="74"/>
      <c r="IK267" s="74"/>
      <c r="IL267" s="74"/>
      <c r="IM267" s="74"/>
      <c r="IN267" s="74"/>
      <c r="IO267" s="74"/>
      <c r="IP267" s="74"/>
      <c r="IQ267" s="74"/>
      <c r="IR267" s="74"/>
      <c r="IS267" s="74"/>
      <c r="IT267" s="74"/>
      <c r="IU267" s="74"/>
      <c r="IV267" s="74"/>
      <c r="IW267" s="74"/>
      <c r="IX267" s="74"/>
      <c r="IY267" s="74"/>
      <c r="IZ267" s="74"/>
      <c r="JA267" s="74"/>
      <c r="JB267" s="74"/>
      <c r="JC267" s="74"/>
      <c r="JD267" s="74"/>
      <c r="JE267" s="74"/>
      <c r="JF267" s="74"/>
      <c r="JG267" s="74"/>
      <c r="JH267" s="74"/>
      <c r="JI267" s="74"/>
      <c r="JJ267" s="74"/>
      <c r="JK267" s="74"/>
      <c r="JL267" s="74"/>
      <c r="JM267" s="74"/>
      <c r="JN267" s="74"/>
      <c r="JO267" s="74"/>
      <c r="JP267" s="74"/>
      <c r="JQ267" s="74"/>
      <c r="JR267" s="74"/>
      <c r="JS267" s="74"/>
      <c r="JT267" s="74"/>
      <c r="JU267" s="74"/>
      <c r="JV267" s="74"/>
      <c r="JW267" s="74"/>
      <c r="JX267" s="74"/>
      <c r="JY267" s="74"/>
      <c r="JZ267" s="74"/>
      <c r="KA267" s="74"/>
      <c r="KB267" s="74"/>
      <c r="KC267" s="74"/>
      <c r="KD267" s="74"/>
      <c r="KE267" s="74"/>
      <c r="KF267" s="74"/>
      <c r="KG267" s="74"/>
      <c r="KH267" s="74"/>
      <c r="KI267" s="74"/>
      <c r="KJ267" s="74"/>
      <c r="KK267" s="74"/>
      <c r="KL267" s="74"/>
      <c r="KM267" s="74"/>
      <c r="KN267" s="74"/>
      <c r="KO267" s="74"/>
      <c r="KP267" s="74"/>
      <c r="KQ267" s="74"/>
      <c r="KR267" s="74"/>
      <c r="KS267" s="74"/>
      <c r="KT267" s="74"/>
      <c r="KU267" s="74"/>
      <c r="KV267" s="74"/>
      <c r="KW267" s="74"/>
      <c r="KX267" s="74"/>
      <c r="KY267" s="74"/>
      <c r="KZ267" s="74"/>
      <c r="LA267" s="74"/>
      <c r="LB267" s="74"/>
      <c r="LC267" s="74"/>
      <c r="LD267" s="74"/>
      <c r="LE267" s="74"/>
      <c r="LF267" s="74"/>
      <c r="LG267" s="74"/>
      <c r="LH267" s="74"/>
      <c r="LI267" s="74"/>
      <c r="LJ267" s="74"/>
      <c r="LK267" s="74"/>
      <c r="LL267" s="74"/>
      <c r="LM267" s="74"/>
      <c r="LN267" s="74"/>
      <c r="LO267" s="74"/>
      <c r="LP267" s="74"/>
      <c r="LQ267" s="74"/>
      <c r="LR267" s="74"/>
      <c r="LS267" s="74"/>
      <c r="LT267" s="74"/>
      <c r="LU267" s="74"/>
      <c r="LV267" s="74"/>
      <c r="LW267" s="74"/>
      <c r="LX267" s="74"/>
      <c r="LY267" s="74"/>
      <c r="LZ267" s="74"/>
      <c r="MA267" s="74"/>
      <c r="MB267" s="74"/>
      <c r="MC267" s="74"/>
      <c r="MD267" s="74"/>
      <c r="ME267" s="74"/>
      <c r="MF267" s="74"/>
      <c r="MG267" s="74"/>
      <c r="MH267" s="74"/>
      <c r="MI267" s="74"/>
      <c r="MJ267" s="74"/>
      <c r="MK267" s="74"/>
      <c r="ML267" s="74"/>
      <c r="MM267" s="74"/>
      <c r="MN267" s="74"/>
      <c r="MO267" s="74"/>
      <c r="MP267" s="74"/>
      <c r="MQ267" s="74"/>
      <c r="MR267" s="74"/>
      <c r="MS267" s="74"/>
      <c r="MT267" s="74"/>
      <c r="MU267" s="74"/>
      <c r="MV267" s="74"/>
      <c r="MW267" s="74"/>
      <c r="MX267" s="74"/>
      <c r="MY267" s="74"/>
      <c r="MZ267" s="74"/>
      <c r="NA267" s="74"/>
      <c r="NB267" s="74"/>
      <c r="NC267" s="74"/>
      <c r="ND267" s="74"/>
      <c r="NE267" s="74"/>
      <c r="NF267" s="74"/>
      <c r="NG267" s="74"/>
      <c r="NH267" s="74"/>
      <c r="NI267" s="74"/>
      <c r="NJ267" s="74"/>
      <c r="NK267" s="74"/>
      <c r="NL267" s="74"/>
      <c r="NM267" s="74"/>
      <c r="NN267" s="74"/>
      <c r="NO267" s="74"/>
      <c r="NP267" s="74"/>
      <c r="NQ267" s="74"/>
      <c r="NR267" s="74"/>
      <c r="NS267" s="74"/>
      <c r="NT267" s="74"/>
      <c r="NU267" s="74"/>
      <c r="NV267" s="74"/>
      <c r="NW267" s="74"/>
      <c r="NX267" s="74"/>
      <c r="NY267" s="74"/>
      <c r="NZ267" s="74"/>
      <c r="OA267" s="74"/>
      <c r="OB267" s="74"/>
      <c r="OC267" s="74"/>
      <c r="OD267" s="74"/>
      <c r="OE267" s="74"/>
      <c r="OF267" s="74"/>
      <c r="OG267" s="74"/>
      <c r="OH267" s="74"/>
      <c r="OI267" s="74"/>
      <c r="OJ267" s="74"/>
      <c r="OK267" s="74"/>
      <c r="OL267" s="74"/>
      <c r="OM267" s="74"/>
      <c r="ON267" s="74"/>
      <c r="OO267" s="74"/>
      <c r="OP267" s="74"/>
      <c r="OQ267" s="74"/>
      <c r="OR267" s="74"/>
      <c r="OS267" s="74"/>
      <c r="OT267" s="74"/>
      <c r="OU267" s="74"/>
      <c r="OV267" s="74"/>
      <c r="OW267" s="74"/>
      <c r="OX267" s="74"/>
      <c r="OY267" s="74"/>
      <c r="OZ267" s="74"/>
      <c r="PA267" s="74"/>
      <c r="PB267" s="74"/>
      <c r="PC267" s="74"/>
      <c r="PD267" s="74"/>
      <c r="PE267" s="74"/>
      <c r="PF267" s="74"/>
      <c r="PG267" s="74"/>
      <c r="PH267" s="74"/>
      <c r="PI267" s="74"/>
      <c r="PJ267" s="74"/>
      <c r="PK267" s="74"/>
      <c r="PL267" s="74"/>
      <c r="PM267" s="74"/>
      <c r="PN267" s="74"/>
      <c r="PO267" s="74"/>
      <c r="PP267" s="74"/>
      <c r="PQ267" s="74"/>
      <c r="PR267" s="74"/>
      <c r="PS267" s="74"/>
      <c r="PT267" s="74"/>
      <c r="PU267" s="74"/>
      <c r="PV267" s="74"/>
      <c r="PW267" s="74"/>
      <c r="PX267" s="74"/>
      <c r="PY267" s="74"/>
      <c r="PZ267" s="74"/>
      <c r="QA267" s="74"/>
      <c r="QB267" s="74"/>
      <c r="QC267" s="74"/>
      <c r="QD267" s="74"/>
      <c r="QE267" s="74"/>
      <c r="QF267" s="74"/>
      <c r="QG267" s="74"/>
      <c r="QH267" s="74"/>
      <c r="QI267" s="74"/>
      <c r="QJ267" s="74"/>
      <c r="QK267" s="74"/>
      <c r="QL267" s="74"/>
      <c r="QM267" s="74"/>
      <c r="QN267" s="74"/>
      <c r="QO267" s="74"/>
      <c r="QP267" s="74"/>
      <c r="QQ267" s="74"/>
      <c r="QR267" s="74"/>
      <c r="QS267" s="74"/>
      <c r="QT267" s="74"/>
      <c r="QU267" s="74"/>
      <c r="QV267" s="74"/>
      <c r="QW267" s="74"/>
      <c r="QX267" s="74"/>
      <c r="QY267" s="74"/>
      <c r="QZ267" s="74"/>
      <c r="RA267" s="74"/>
      <c r="RB267" s="74"/>
      <c r="RC267" s="74"/>
      <c r="RD267" s="74"/>
      <c r="RE267" s="74"/>
      <c r="RF267" s="74"/>
      <c r="RG267" s="74"/>
      <c r="RH267" s="74"/>
      <c r="RI267" s="74"/>
      <c r="RJ267" s="74"/>
      <c r="RK267" s="74"/>
      <c r="RL267" s="74"/>
      <c r="RM267" s="74"/>
      <c r="RN267" s="74"/>
      <c r="RO267" s="74"/>
      <c r="RP267" s="74"/>
      <c r="RQ267" s="74"/>
      <c r="RR267" s="74"/>
      <c r="RS267" s="74"/>
      <c r="RT267" s="74"/>
      <c r="RU267" s="74"/>
      <c r="RV267" s="74"/>
      <c r="RW267" s="74"/>
      <c r="RX267" s="74"/>
      <c r="RY267" s="74"/>
      <c r="RZ267" s="74"/>
      <c r="SA267" s="74"/>
      <c r="SB267" s="74"/>
      <c r="SC267" s="74"/>
      <c r="SD267" s="74"/>
      <c r="SE267" s="74"/>
      <c r="SF267" s="74"/>
      <c r="SG267" s="74"/>
      <c r="SH267" s="74"/>
      <c r="SI267" s="74"/>
      <c r="SJ267" s="74"/>
      <c r="SK267" s="74"/>
      <c r="SL267" s="74"/>
      <c r="SM267" s="74"/>
      <c r="SN267" s="74"/>
      <c r="SO267" s="74"/>
      <c r="SP267" s="74"/>
      <c r="SQ267" s="74"/>
      <c r="SR267" s="74"/>
      <c r="SS267" s="74"/>
      <c r="ST267" s="74"/>
      <c r="SU267" s="74"/>
      <c r="SV267" s="74"/>
      <c r="SW267" s="74"/>
      <c r="SX267" s="74"/>
      <c r="SY267" s="74"/>
      <c r="SZ267" s="74"/>
      <c r="TA267" s="74"/>
      <c r="TB267" s="74"/>
      <c r="TC267" s="74"/>
      <c r="TD267" s="74"/>
      <c r="TE267" s="74"/>
      <c r="TF267" s="74"/>
      <c r="TG267" s="74"/>
      <c r="TH267" s="74"/>
      <c r="TI267" s="74"/>
      <c r="TJ267" s="74"/>
      <c r="TK267" s="74"/>
      <c r="TL267" s="74"/>
      <c r="TM267" s="74"/>
      <c r="TN267" s="74"/>
      <c r="TO267" s="74"/>
      <c r="TP267" s="74"/>
      <c r="TQ267" s="74"/>
      <c r="TR267" s="74"/>
      <c r="TS267" s="74"/>
      <c r="TT267" s="74"/>
      <c r="TU267" s="74"/>
      <c r="TV267" s="74"/>
      <c r="TW267" s="74"/>
      <c r="TX267" s="74"/>
      <c r="TY267" s="74"/>
      <c r="TZ267" s="74"/>
      <c r="UA267" s="74"/>
      <c r="UB267" s="74"/>
      <c r="UC267" s="74"/>
      <c r="UD267" s="74"/>
      <c r="UE267" s="74"/>
      <c r="UF267" s="74"/>
      <c r="UG267" s="74"/>
      <c r="UH267" s="74"/>
      <c r="UI267" s="74"/>
      <c r="UJ267" s="74"/>
      <c r="UK267" s="74"/>
      <c r="UL267" s="74"/>
      <c r="UM267" s="74"/>
      <c r="UN267" s="74"/>
      <c r="UO267" s="74"/>
      <c r="UP267" s="74"/>
      <c r="UQ267" s="74"/>
      <c r="UR267" s="74"/>
      <c r="US267" s="74"/>
      <c r="UT267" s="74"/>
      <c r="UU267" s="74"/>
      <c r="UV267" s="74"/>
      <c r="UW267" s="74"/>
      <c r="UX267" s="74"/>
      <c r="UY267" s="74"/>
      <c r="UZ267" s="74"/>
      <c r="VA267" s="74"/>
      <c r="VB267" s="74"/>
      <c r="VC267" s="74"/>
      <c r="VD267" s="74"/>
      <c r="VE267" s="74"/>
      <c r="VF267" s="74"/>
    </row>
    <row r="268" spans="1:578" s="41" customFormat="1" ht="45" customHeight="1" x14ac:dyDescent="0.2">
      <c r="A268" s="39" t="s">
        <v>276</v>
      </c>
      <c r="B268" s="90" t="str">
        <f>'дод 3'!A16</f>
        <v>0160</v>
      </c>
      <c r="C268" s="90" t="str">
        <f>'дод 3'!B16</f>
        <v>0111</v>
      </c>
      <c r="D268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68" s="65">
        <v>8045100</v>
      </c>
      <c r="F268" s="65">
        <f>6071539+206500</f>
        <v>6278039</v>
      </c>
      <c r="G268" s="65">
        <v>108163</v>
      </c>
      <c r="H268" s="65">
        <v>1748589.11</v>
      </c>
      <c r="I268" s="65">
        <v>1337934.51</v>
      </c>
      <c r="J268" s="65">
        <v>40514.54</v>
      </c>
      <c r="K268" s="130">
        <f t="shared" si="70"/>
        <v>21.734833749735866</v>
      </c>
      <c r="L268" s="65">
        <f t="shared" si="73"/>
        <v>0</v>
      </c>
      <c r="M268" s="65"/>
      <c r="N268" s="65"/>
      <c r="O268" s="65"/>
      <c r="P268" s="65"/>
      <c r="Q268" s="65"/>
      <c r="R268" s="65">
        <f t="shared" si="74"/>
        <v>0</v>
      </c>
      <c r="S268" s="65"/>
      <c r="T268" s="65"/>
      <c r="U268" s="65"/>
      <c r="V268" s="65"/>
      <c r="W268" s="65"/>
      <c r="X268" s="132"/>
      <c r="Y268" s="65">
        <f t="shared" si="69"/>
        <v>1748589.11</v>
      </c>
      <c r="Z268" s="202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  <c r="IW268" s="47"/>
      <c r="IX268" s="47"/>
      <c r="IY268" s="47"/>
      <c r="IZ268" s="47"/>
      <c r="JA268" s="47"/>
      <c r="JB268" s="47"/>
      <c r="JC268" s="47"/>
      <c r="JD268" s="47"/>
      <c r="JE268" s="47"/>
      <c r="JF268" s="47"/>
      <c r="JG268" s="47"/>
      <c r="JH268" s="47"/>
      <c r="JI268" s="47"/>
      <c r="JJ268" s="47"/>
      <c r="JK268" s="47"/>
      <c r="JL268" s="47"/>
      <c r="JM268" s="47"/>
      <c r="JN268" s="47"/>
      <c r="JO268" s="47"/>
      <c r="JP268" s="47"/>
      <c r="JQ268" s="47"/>
      <c r="JR268" s="47"/>
      <c r="JS268" s="47"/>
      <c r="JT268" s="47"/>
      <c r="JU268" s="47"/>
      <c r="JV268" s="47"/>
      <c r="JW268" s="47"/>
      <c r="JX268" s="47"/>
      <c r="JY268" s="47"/>
      <c r="JZ268" s="47"/>
      <c r="KA268" s="47"/>
      <c r="KB268" s="47"/>
      <c r="KC268" s="47"/>
      <c r="KD268" s="47"/>
      <c r="KE268" s="47"/>
      <c r="KF268" s="47"/>
      <c r="KG268" s="47"/>
      <c r="KH268" s="47"/>
      <c r="KI268" s="47"/>
      <c r="KJ268" s="47"/>
      <c r="KK268" s="47"/>
      <c r="KL268" s="47"/>
      <c r="KM268" s="47"/>
      <c r="KN268" s="47"/>
      <c r="KO268" s="47"/>
      <c r="KP268" s="47"/>
      <c r="KQ268" s="47"/>
      <c r="KR268" s="47"/>
      <c r="KS268" s="47"/>
      <c r="KT268" s="47"/>
      <c r="KU268" s="47"/>
      <c r="KV268" s="47"/>
      <c r="KW268" s="47"/>
      <c r="KX268" s="47"/>
      <c r="KY268" s="47"/>
      <c r="KZ268" s="47"/>
      <c r="LA268" s="47"/>
      <c r="LB268" s="47"/>
      <c r="LC268" s="47"/>
      <c r="LD268" s="47"/>
      <c r="LE268" s="47"/>
      <c r="LF268" s="47"/>
      <c r="LG268" s="47"/>
      <c r="LH268" s="47"/>
      <c r="LI268" s="47"/>
      <c r="LJ268" s="47"/>
      <c r="LK268" s="47"/>
      <c r="LL268" s="47"/>
      <c r="LM268" s="47"/>
      <c r="LN268" s="47"/>
      <c r="LO268" s="47"/>
      <c r="LP268" s="47"/>
      <c r="LQ268" s="47"/>
      <c r="LR268" s="47"/>
      <c r="LS268" s="47"/>
      <c r="LT268" s="47"/>
      <c r="LU268" s="47"/>
      <c r="LV268" s="47"/>
      <c r="LW268" s="47"/>
      <c r="LX268" s="47"/>
      <c r="LY268" s="47"/>
      <c r="LZ268" s="47"/>
      <c r="MA268" s="47"/>
      <c r="MB268" s="47"/>
      <c r="MC268" s="47"/>
      <c r="MD268" s="47"/>
      <c r="ME268" s="47"/>
      <c r="MF268" s="47"/>
      <c r="MG268" s="47"/>
      <c r="MH268" s="47"/>
      <c r="MI268" s="47"/>
      <c r="MJ268" s="47"/>
      <c r="MK268" s="47"/>
      <c r="ML268" s="47"/>
      <c r="MM268" s="47"/>
      <c r="MN268" s="47"/>
      <c r="MO268" s="47"/>
      <c r="MP268" s="47"/>
      <c r="MQ268" s="47"/>
      <c r="MR268" s="47"/>
      <c r="MS268" s="47"/>
      <c r="MT268" s="47"/>
      <c r="MU268" s="47"/>
      <c r="MV268" s="47"/>
      <c r="MW268" s="47"/>
      <c r="MX268" s="47"/>
      <c r="MY268" s="47"/>
      <c r="MZ268" s="47"/>
      <c r="NA268" s="47"/>
      <c r="NB268" s="47"/>
      <c r="NC268" s="47"/>
      <c r="ND268" s="47"/>
      <c r="NE268" s="47"/>
      <c r="NF268" s="47"/>
      <c r="NG268" s="47"/>
      <c r="NH268" s="47"/>
      <c r="NI268" s="47"/>
      <c r="NJ268" s="47"/>
      <c r="NK268" s="47"/>
      <c r="NL268" s="47"/>
      <c r="NM268" s="47"/>
      <c r="NN268" s="47"/>
      <c r="NO268" s="47"/>
      <c r="NP268" s="47"/>
      <c r="NQ268" s="47"/>
      <c r="NR268" s="47"/>
      <c r="NS268" s="47"/>
      <c r="NT268" s="47"/>
      <c r="NU268" s="47"/>
      <c r="NV268" s="47"/>
      <c r="NW268" s="47"/>
      <c r="NX268" s="47"/>
      <c r="NY268" s="47"/>
      <c r="NZ268" s="47"/>
      <c r="OA268" s="47"/>
      <c r="OB268" s="47"/>
      <c r="OC268" s="47"/>
      <c r="OD268" s="47"/>
      <c r="OE268" s="47"/>
      <c r="OF268" s="47"/>
      <c r="OG268" s="47"/>
      <c r="OH268" s="47"/>
      <c r="OI268" s="47"/>
      <c r="OJ268" s="47"/>
      <c r="OK268" s="47"/>
      <c r="OL268" s="47"/>
      <c r="OM268" s="47"/>
      <c r="ON268" s="47"/>
      <c r="OO268" s="47"/>
      <c r="OP268" s="47"/>
      <c r="OQ268" s="47"/>
      <c r="OR268" s="47"/>
      <c r="OS268" s="47"/>
      <c r="OT268" s="47"/>
      <c r="OU268" s="47"/>
      <c r="OV268" s="47"/>
      <c r="OW268" s="47"/>
      <c r="OX268" s="47"/>
      <c r="OY268" s="47"/>
      <c r="OZ268" s="47"/>
      <c r="PA268" s="47"/>
      <c r="PB268" s="47"/>
      <c r="PC268" s="47"/>
      <c r="PD268" s="47"/>
      <c r="PE268" s="47"/>
      <c r="PF268" s="47"/>
      <c r="PG268" s="47"/>
      <c r="PH268" s="47"/>
      <c r="PI268" s="47"/>
      <c r="PJ268" s="47"/>
      <c r="PK268" s="47"/>
      <c r="PL268" s="47"/>
      <c r="PM268" s="47"/>
      <c r="PN268" s="47"/>
      <c r="PO268" s="47"/>
      <c r="PP268" s="47"/>
      <c r="PQ268" s="47"/>
      <c r="PR268" s="47"/>
      <c r="PS268" s="47"/>
      <c r="PT268" s="47"/>
      <c r="PU268" s="47"/>
      <c r="PV268" s="47"/>
      <c r="PW268" s="47"/>
      <c r="PX268" s="47"/>
      <c r="PY268" s="47"/>
      <c r="PZ268" s="47"/>
      <c r="QA268" s="47"/>
      <c r="QB268" s="47"/>
      <c r="QC268" s="47"/>
      <c r="QD268" s="47"/>
      <c r="QE268" s="47"/>
      <c r="QF268" s="47"/>
      <c r="QG268" s="47"/>
      <c r="QH268" s="47"/>
      <c r="QI268" s="47"/>
      <c r="QJ268" s="47"/>
      <c r="QK268" s="47"/>
      <c r="QL268" s="47"/>
      <c r="QM268" s="47"/>
      <c r="QN268" s="47"/>
      <c r="QO268" s="47"/>
      <c r="QP268" s="47"/>
      <c r="QQ268" s="47"/>
      <c r="QR268" s="47"/>
      <c r="QS268" s="47"/>
      <c r="QT268" s="47"/>
      <c r="QU268" s="47"/>
      <c r="QV268" s="47"/>
      <c r="QW268" s="47"/>
      <c r="QX268" s="47"/>
      <c r="QY268" s="47"/>
      <c r="QZ268" s="47"/>
      <c r="RA268" s="47"/>
      <c r="RB268" s="47"/>
      <c r="RC268" s="47"/>
      <c r="RD268" s="47"/>
      <c r="RE268" s="47"/>
      <c r="RF268" s="47"/>
      <c r="RG268" s="47"/>
      <c r="RH268" s="47"/>
      <c r="RI268" s="47"/>
      <c r="RJ268" s="47"/>
      <c r="RK268" s="47"/>
      <c r="RL268" s="47"/>
      <c r="RM268" s="47"/>
      <c r="RN268" s="47"/>
      <c r="RO268" s="47"/>
      <c r="RP268" s="47"/>
      <c r="RQ268" s="47"/>
      <c r="RR268" s="47"/>
      <c r="RS268" s="47"/>
      <c r="RT268" s="47"/>
      <c r="RU268" s="47"/>
      <c r="RV268" s="47"/>
      <c r="RW268" s="47"/>
      <c r="RX268" s="47"/>
      <c r="RY268" s="47"/>
      <c r="RZ268" s="47"/>
      <c r="SA268" s="47"/>
      <c r="SB268" s="47"/>
      <c r="SC268" s="47"/>
      <c r="SD268" s="47"/>
      <c r="SE268" s="47"/>
      <c r="SF268" s="47"/>
      <c r="SG268" s="47"/>
      <c r="SH268" s="47"/>
      <c r="SI268" s="47"/>
      <c r="SJ268" s="47"/>
      <c r="SK268" s="47"/>
      <c r="SL268" s="47"/>
      <c r="SM268" s="47"/>
      <c r="SN268" s="47"/>
      <c r="SO268" s="47"/>
      <c r="SP268" s="47"/>
      <c r="SQ268" s="47"/>
      <c r="SR268" s="47"/>
      <c r="SS268" s="47"/>
      <c r="ST268" s="47"/>
      <c r="SU268" s="47"/>
      <c r="SV268" s="47"/>
      <c r="SW268" s="47"/>
      <c r="SX268" s="47"/>
      <c r="SY268" s="47"/>
      <c r="SZ268" s="47"/>
      <c r="TA268" s="47"/>
      <c r="TB268" s="47"/>
      <c r="TC268" s="47"/>
      <c r="TD268" s="47"/>
      <c r="TE268" s="47"/>
      <c r="TF268" s="47"/>
      <c r="TG268" s="47"/>
      <c r="TH268" s="47"/>
      <c r="TI268" s="47"/>
      <c r="TJ268" s="47"/>
      <c r="TK268" s="47"/>
      <c r="TL268" s="47"/>
      <c r="TM268" s="47"/>
      <c r="TN268" s="47"/>
      <c r="TO268" s="47"/>
      <c r="TP268" s="47"/>
      <c r="TQ268" s="47"/>
      <c r="TR268" s="47"/>
      <c r="TS268" s="47"/>
      <c r="TT268" s="47"/>
      <c r="TU268" s="47"/>
      <c r="TV268" s="47"/>
      <c r="TW268" s="47"/>
      <c r="TX268" s="47"/>
      <c r="TY268" s="47"/>
      <c r="TZ268" s="47"/>
      <c r="UA268" s="47"/>
      <c r="UB268" s="47"/>
      <c r="UC268" s="47"/>
      <c r="UD268" s="47"/>
      <c r="UE268" s="47"/>
      <c r="UF268" s="47"/>
      <c r="UG268" s="47"/>
      <c r="UH268" s="47"/>
      <c r="UI268" s="47"/>
      <c r="UJ268" s="47"/>
      <c r="UK268" s="47"/>
      <c r="UL268" s="47"/>
      <c r="UM268" s="47"/>
      <c r="UN268" s="47"/>
      <c r="UO268" s="47"/>
      <c r="UP268" s="47"/>
      <c r="UQ268" s="47"/>
      <c r="UR268" s="47"/>
      <c r="US268" s="47"/>
      <c r="UT268" s="47"/>
      <c r="UU268" s="47"/>
      <c r="UV268" s="47"/>
      <c r="UW268" s="47"/>
      <c r="UX268" s="47"/>
      <c r="UY268" s="47"/>
      <c r="UZ268" s="47"/>
      <c r="VA268" s="47"/>
      <c r="VB268" s="47"/>
      <c r="VC268" s="47"/>
      <c r="VD268" s="47"/>
      <c r="VE268" s="47"/>
      <c r="VF268" s="47"/>
    </row>
    <row r="269" spans="1:578" s="41" customFormat="1" ht="34.5" customHeight="1" x14ac:dyDescent="0.2">
      <c r="A269" s="39" t="s">
        <v>406</v>
      </c>
      <c r="B269" s="93" t="str">
        <f>'дод 3'!A155</f>
        <v>6090</v>
      </c>
      <c r="C269" s="93" t="str">
        <f>'дод 3'!B155</f>
        <v>0640</v>
      </c>
      <c r="D269" s="42" t="str">
        <f>'дод 3'!C155</f>
        <v>Інша діяльність у сфері житлово-комунального господарства</v>
      </c>
      <c r="E269" s="65">
        <v>180000</v>
      </c>
      <c r="F269" s="65"/>
      <c r="G269" s="65"/>
      <c r="H269" s="65">
        <v>10290</v>
      </c>
      <c r="I269" s="65"/>
      <c r="J269" s="65"/>
      <c r="K269" s="130">
        <f t="shared" si="70"/>
        <v>5.7166666666666668</v>
      </c>
      <c r="L269" s="65">
        <f t="shared" si="73"/>
        <v>0</v>
      </c>
      <c r="M269" s="65"/>
      <c r="N269" s="65"/>
      <c r="O269" s="65"/>
      <c r="P269" s="65"/>
      <c r="Q269" s="65"/>
      <c r="R269" s="65">
        <f t="shared" si="74"/>
        <v>0</v>
      </c>
      <c r="S269" s="65"/>
      <c r="T269" s="65"/>
      <c r="U269" s="65"/>
      <c r="V269" s="65"/>
      <c r="W269" s="65"/>
      <c r="X269" s="132"/>
      <c r="Y269" s="65">
        <f t="shared" si="69"/>
        <v>10290</v>
      </c>
      <c r="Z269" s="202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  <c r="IW269" s="47"/>
      <c r="IX269" s="47"/>
      <c r="IY269" s="47"/>
      <c r="IZ269" s="47"/>
      <c r="JA269" s="47"/>
      <c r="JB269" s="47"/>
      <c r="JC269" s="47"/>
      <c r="JD269" s="47"/>
      <c r="JE269" s="47"/>
      <c r="JF269" s="47"/>
      <c r="JG269" s="47"/>
      <c r="JH269" s="47"/>
      <c r="JI269" s="47"/>
      <c r="JJ269" s="47"/>
      <c r="JK269" s="47"/>
      <c r="JL269" s="47"/>
      <c r="JM269" s="47"/>
      <c r="JN269" s="47"/>
      <c r="JO269" s="47"/>
      <c r="JP269" s="47"/>
      <c r="JQ269" s="47"/>
      <c r="JR269" s="47"/>
      <c r="JS269" s="47"/>
      <c r="JT269" s="47"/>
      <c r="JU269" s="47"/>
      <c r="JV269" s="47"/>
      <c r="JW269" s="47"/>
      <c r="JX269" s="47"/>
      <c r="JY269" s="47"/>
      <c r="JZ269" s="47"/>
      <c r="KA269" s="47"/>
      <c r="KB269" s="47"/>
      <c r="KC269" s="47"/>
      <c r="KD269" s="47"/>
      <c r="KE269" s="47"/>
      <c r="KF269" s="47"/>
      <c r="KG269" s="47"/>
      <c r="KH269" s="47"/>
      <c r="KI269" s="47"/>
      <c r="KJ269" s="47"/>
      <c r="KK269" s="47"/>
      <c r="KL269" s="47"/>
      <c r="KM269" s="47"/>
      <c r="KN269" s="47"/>
      <c r="KO269" s="47"/>
      <c r="KP269" s="47"/>
      <c r="KQ269" s="47"/>
      <c r="KR269" s="47"/>
      <c r="KS269" s="47"/>
      <c r="KT269" s="47"/>
      <c r="KU269" s="47"/>
      <c r="KV269" s="47"/>
      <c r="KW269" s="47"/>
      <c r="KX269" s="47"/>
      <c r="KY269" s="47"/>
      <c r="KZ269" s="47"/>
      <c r="LA269" s="47"/>
      <c r="LB269" s="47"/>
      <c r="LC269" s="47"/>
      <c r="LD269" s="47"/>
      <c r="LE269" s="47"/>
      <c r="LF269" s="47"/>
      <c r="LG269" s="47"/>
      <c r="LH269" s="47"/>
      <c r="LI269" s="47"/>
      <c r="LJ269" s="47"/>
      <c r="LK269" s="47"/>
      <c r="LL269" s="47"/>
      <c r="LM269" s="47"/>
      <c r="LN269" s="47"/>
      <c r="LO269" s="47"/>
      <c r="LP269" s="47"/>
      <c r="LQ269" s="47"/>
      <c r="LR269" s="47"/>
      <c r="LS269" s="47"/>
      <c r="LT269" s="47"/>
      <c r="LU269" s="47"/>
      <c r="LV269" s="47"/>
      <c r="LW269" s="47"/>
      <c r="LX269" s="47"/>
      <c r="LY269" s="47"/>
      <c r="LZ269" s="47"/>
      <c r="MA269" s="47"/>
      <c r="MB269" s="47"/>
      <c r="MC269" s="47"/>
      <c r="MD269" s="47"/>
      <c r="ME269" s="47"/>
      <c r="MF269" s="47"/>
      <c r="MG269" s="47"/>
      <c r="MH269" s="47"/>
      <c r="MI269" s="47"/>
      <c r="MJ269" s="47"/>
      <c r="MK269" s="47"/>
      <c r="ML269" s="47"/>
      <c r="MM269" s="47"/>
      <c r="MN269" s="47"/>
      <c r="MO269" s="47"/>
      <c r="MP269" s="47"/>
      <c r="MQ269" s="47"/>
      <c r="MR269" s="47"/>
      <c r="MS269" s="47"/>
      <c r="MT269" s="47"/>
      <c r="MU269" s="47"/>
      <c r="MV269" s="47"/>
      <c r="MW269" s="47"/>
      <c r="MX269" s="47"/>
      <c r="MY269" s="47"/>
      <c r="MZ269" s="47"/>
      <c r="NA269" s="47"/>
      <c r="NB269" s="47"/>
      <c r="NC269" s="47"/>
      <c r="ND269" s="47"/>
      <c r="NE269" s="47"/>
      <c r="NF269" s="47"/>
      <c r="NG269" s="47"/>
      <c r="NH269" s="47"/>
      <c r="NI269" s="47"/>
      <c r="NJ269" s="47"/>
      <c r="NK269" s="47"/>
      <c r="NL269" s="47"/>
      <c r="NM269" s="47"/>
      <c r="NN269" s="47"/>
      <c r="NO269" s="47"/>
      <c r="NP269" s="47"/>
      <c r="NQ269" s="47"/>
      <c r="NR269" s="47"/>
      <c r="NS269" s="47"/>
      <c r="NT269" s="47"/>
      <c r="NU269" s="47"/>
      <c r="NV269" s="47"/>
      <c r="NW269" s="47"/>
      <c r="NX269" s="47"/>
      <c r="NY269" s="47"/>
      <c r="NZ269" s="47"/>
      <c r="OA269" s="47"/>
      <c r="OB269" s="47"/>
      <c r="OC269" s="47"/>
      <c r="OD269" s="47"/>
      <c r="OE269" s="47"/>
      <c r="OF269" s="47"/>
      <c r="OG269" s="47"/>
      <c r="OH269" s="47"/>
      <c r="OI269" s="47"/>
      <c r="OJ269" s="47"/>
      <c r="OK269" s="47"/>
      <c r="OL269" s="47"/>
      <c r="OM269" s="47"/>
      <c r="ON269" s="47"/>
      <c r="OO269" s="47"/>
      <c r="OP269" s="47"/>
      <c r="OQ269" s="47"/>
      <c r="OR269" s="47"/>
      <c r="OS269" s="47"/>
      <c r="OT269" s="47"/>
      <c r="OU269" s="47"/>
      <c r="OV269" s="47"/>
      <c r="OW269" s="47"/>
      <c r="OX269" s="47"/>
      <c r="OY269" s="47"/>
      <c r="OZ269" s="47"/>
      <c r="PA269" s="47"/>
      <c r="PB269" s="47"/>
      <c r="PC269" s="47"/>
      <c r="PD269" s="47"/>
      <c r="PE269" s="47"/>
      <c r="PF269" s="47"/>
      <c r="PG269" s="47"/>
      <c r="PH269" s="47"/>
      <c r="PI269" s="47"/>
      <c r="PJ269" s="47"/>
      <c r="PK269" s="47"/>
      <c r="PL269" s="47"/>
      <c r="PM269" s="47"/>
      <c r="PN269" s="47"/>
      <c r="PO269" s="47"/>
      <c r="PP269" s="47"/>
      <c r="PQ269" s="47"/>
      <c r="PR269" s="47"/>
      <c r="PS269" s="47"/>
      <c r="PT269" s="47"/>
      <c r="PU269" s="47"/>
      <c r="PV269" s="47"/>
      <c r="PW269" s="47"/>
      <c r="PX269" s="47"/>
      <c r="PY269" s="47"/>
      <c r="PZ269" s="47"/>
      <c r="QA269" s="47"/>
      <c r="QB269" s="47"/>
      <c r="QC269" s="47"/>
      <c r="QD269" s="47"/>
      <c r="QE269" s="47"/>
      <c r="QF269" s="47"/>
      <c r="QG269" s="47"/>
      <c r="QH269" s="47"/>
      <c r="QI269" s="47"/>
      <c r="QJ269" s="47"/>
      <c r="QK269" s="47"/>
      <c r="QL269" s="47"/>
      <c r="QM269" s="47"/>
      <c r="QN269" s="47"/>
      <c r="QO269" s="47"/>
      <c r="QP269" s="47"/>
      <c r="QQ269" s="47"/>
      <c r="QR269" s="47"/>
      <c r="QS269" s="47"/>
      <c r="QT269" s="47"/>
      <c r="QU269" s="47"/>
      <c r="QV269" s="47"/>
      <c r="QW269" s="47"/>
      <c r="QX269" s="47"/>
      <c r="QY269" s="47"/>
      <c r="QZ269" s="47"/>
      <c r="RA269" s="47"/>
      <c r="RB269" s="47"/>
      <c r="RC269" s="47"/>
      <c r="RD269" s="47"/>
      <c r="RE269" s="47"/>
      <c r="RF269" s="47"/>
      <c r="RG269" s="47"/>
      <c r="RH269" s="47"/>
      <c r="RI269" s="47"/>
      <c r="RJ269" s="47"/>
      <c r="RK269" s="47"/>
      <c r="RL269" s="47"/>
      <c r="RM269" s="47"/>
      <c r="RN269" s="47"/>
      <c r="RO269" s="47"/>
      <c r="RP269" s="47"/>
      <c r="RQ269" s="47"/>
      <c r="RR269" s="47"/>
      <c r="RS269" s="47"/>
      <c r="RT269" s="47"/>
      <c r="RU269" s="47"/>
      <c r="RV269" s="47"/>
      <c r="RW269" s="47"/>
      <c r="RX269" s="47"/>
      <c r="RY269" s="47"/>
      <c r="RZ269" s="47"/>
      <c r="SA269" s="47"/>
      <c r="SB269" s="47"/>
      <c r="SC269" s="47"/>
      <c r="SD269" s="47"/>
      <c r="SE269" s="47"/>
      <c r="SF269" s="47"/>
      <c r="SG269" s="47"/>
      <c r="SH269" s="47"/>
      <c r="SI269" s="47"/>
      <c r="SJ269" s="47"/>
      <c r="SK269" s="47"/>
      <c r="SL269" s="47"/>
      <c r="SM269" s="47"/>
      <c r="SN269" s="47"/>
      <c r="SO269" s="47"/>
      <c r="SP269" s="47"/>
      <c r="SQ269" s="47"/>
      <c r="SR269" s="47"/>
      <c r="SS269" s="47"/>
      <c r="ST269" s="47"/>
      <c r="SU269" s="47"/>
      <c r="SV269" s="47"/>
      <c r="SW269" s="47"/>
      <c r="SX269" s="47"/>
      <c r="SY269" s="47"/>
      <c r="SZ269" s="47"/>
      <c r="TA269" s="47"/>
      <c r="TB269" s="47"/>
      <c r="TC269" s="47"/>
      <c r="TD269" s="47"/>
      <c r="TE269" s="47"/>
      <c r="TF269" s="47"/>
      <c r="TG269" s="47"/>
      <c r="TH269" s="47"/>
      <c r="TI269" s="47"/>
      <c r="TJ269" s="47"/>
      <c r="TK269" s="47"/>
      <c r="TL269" s="47"/>
      <c r="TM269" s="47"/>
      <c r="TN269" s="47"/>
      <c r="TO269" s="47"/>
      <c r="TP269" s="47"/>
      <c r="TQ269" s="47"/>
      <c r="TR269" s="47"/>
      <c r="TS269" s="47"/>
      <c r="TT269" s="47"/>
      <c r="TU269" s="47"/>
      <c r="TV269" s="47"/>
      <c r="TW269" s="47"/>
      <c r="TX269" s="47"/>
      <c r="TY269" s="47"/>
      <c r="TZ269" s="47"/>
      <c r="UA269" s="47"/>
      <c r="UB269" s="47"/>
      <c r="UC269" s="47"/>
      <c r="UD269" s="47"/>
      <c r="UE269" s="47"/>
      <c r="UF269" s="47"/>
      <c r="UG269" s="47"/>
      <c r="UH269" s="47"/>
      <c r="UI269" s="47"/>
      <c r="UJ269" s="47"/>
      <c r="UK269" s="47"/>
      <c r="UL269" s="47"/>
      <c r="UM269" s="47"/>
      <c r="UN269" s="47"/>
      <c r="UO269" s="47"/>
      <c r="UP269" s="47"/>
      <c r="UQ269" s="47"/>
      <c r="UR269" s="47"/>
      <c r="US269" s="47"/>
      <c r="UT269" s="47"/>
      <c r="UU269" s="47"/>
      <c r="UV269" s="47"/>
      <c r="UW269" s="47"/>
      <c r="UX269" s="47"/>
      <c r="UY269" s="47"/>
      <c r="UZ269" s="47"/>
      <c r="VA269" s="47"/>
      <c r="VB269" s="47"/>
      <c r="VC269" s="47"/>
      <c r="VD269" s="47"/>
      <c r="VE269" s="47"/>
      <c r="VF269" s="47"/>
    </row>
    <row r="270" spans="1:578" s="41" customFormat="1" ht="10.5" hidden="1" customHeight="1" x14ac:dyDescent="0.2">
      <c r="A270" s="39" t="s">
        <v>521</v>
      </c>
      <c r="B270" s="93" t="str">
        <f>'дод 3'!A167</f>
        <v>7350</v>
      </c>
      <c r="C270" s="93" t="str">
        <f>'дод 3'!B167</f>
        <v>0443</v>
      </c>
      <c r="D270" s="42" t="str">
        <f>'дод 3'!C167</f>
        <v>Розроблення схем планування та забудови територій (містобудівної документації)</v>
      </c>
      <c r="E270" s="65">
        <v>0</v>
      </c>
      <c r="F270" s="65"/>
      <c r="G270" s="65"/>
      <c r="H270" s="65"/>
      <c r="I270" s="65"/>
      <c r="J270" s="65"/>
      <c r="K270" s="130" t="e">
        <f t="shared" si="70"/>
        <v>#DIV/0!</v>
      </c>
      <c r="L270" s="65">
        <f t="shared" si="73"/>
        <v>0</v>
      </c>
      <c r="M270" s="65"/>
      <c r="N270" s="65"/>
      <c r="O270" s="65"/>
      <c r="P270" s="65"/>
      <c r="Q270" s="65"/>
      <c r="R270" s="65">
        <f t="shared" si="74"/>
        <v>0</v>
      </c>
      <c r="S270" s="65"/>
      <c r="T270" s="65"/>
      <c r="U270" s="65"/>
      <c r="V270" s="65"/>
      <c r="W270" s="65"/>
      <c r="X270" s="132" t="e">
        <f t="shared" si="68"/>
        <v>#DIV/0!</v>
      </c>
      <c r="Y270" s="65">
        <f t="shared" si="69"/>
        <v>0</v>
      </c>
      <c r="Z270" s="202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  <c r="IW270" s="47"/>
      <c r="IX270" s="47"/>
      <c r="IY270" s="47"/>
      <c r="IZ270" s="47"/>
      <c r="JA270" s="47"/>
      <c r="JB270" s="47"/>
      <c r="JC270" s="47"/>
      <c r="JD270" s="47"/>
      <c r="JE270" s="47"/>
      <c r="JF270" s="47"/>
      <c r="JG270" s="47"/>
      <c r="JH270" s="47"/>
      <c r="JI270" s="47"/>
      <c r="JJ270" s="47"/>
      <c r="JK270" s="47"/>
      <c r="JL270" s="47"/>
      <c r="JM270" s="47"/>
      <c r="JN270" s="47"/>
      <c r="JO270" s="47"/>
      <c r="JP270" s="47"/>
      <c r="JQ270" s="47"/>
      <c r="JR270" s="47"/>
      <c r="JS270" s="47"/>
      <c r="JT270" s="47"/>
      <c r="JU270" s="47"/>
      <c r="JV270" s="47"/>
      <c r="JW270" s="47"/>
      <c r="JX270" s="47"/>
      <c r="JY270" s="47"/>
      <c r="JZ270" s="47"/>
      <c r="KA270" s="47"/>
      <c r="KB270" s="47"/>
      <c r="KC270" s="47"/>
      <c r="KD270" s="47"/>
      <c r="KE270" s="47"/>
      <c r="KF270" s="47"/>
      <c r="KG270" s="47"/>
      <c r="KH270" s="47"/>
      <c r="KI270" s="47"/>
      <c r="KJ270" s="47"/>
      <c r="KK270" s="47"/>
      <c r="KL270" s="47"/>
      <c r="KM270" s="47"/>
      <c r="KN270" s="47"/>
      <c r="KO270" s="47"/>
      <c r="KP270" s="47"/>
      <c r="KQ270" s="47"/>
      <c r="KR270" s="47"/>
      <c r="KS270" s="47"/>
      <c r="KT270" s="47"/>
      <c r="KU270" s="47"/>
      <c r="KV270" s="47"/>
      <c r="KW270" s="47"/>
      <c r="KX270" s="47"/>
      <c r="KY270" s="47"/>
      <c r="KZ270" s="47"/>
      <c r="LA270" s="47"/>
      <c r="LB270" s="47"/>
      <c r="LC270" s="47"/>
      <c r="LD270" s="47"/>
      <c r="LE270" s="47"/>
      <c r="LF270" s="47"/>
      <c r="LG270" s="47"/>
      <c r="LH270" s="47"/>
      <c r="LI270" s="47"/>
      <c r="LJ270" s="47"/>
      <c r="LK270" s="47"/>
      <c r="LL270" s="47"/>
      <c r="LM270" s="47"/>
      <c r="LN270" s="47"/>
      <c r="LO270" s="47"/>
      <c r="LP270" s="47"/>
      <c r="LQ270" s="47"/>
      <c r="LR270" s="47"/>
      <c r="LS270" s="47"/>
      <c r="LT270" s="47"/>
      <c r="LU270" s="47"/>
      <c r="LV270" s="47"/>
      <c r="LW270" s="47"/>
      <c r="LX270" s="47"/>
      <c r="LY270" s="47"/>
      <c r="LZ270" s="47"/>
      <c r="MA270" s="47"/>
      <c r="MB270" s="47"/>
      <c r="MC270" s="47"/>
      <c r="MD270" s="47"/>
      <c r="ME270" s="47"/>
      <c r="MF270" s="47"/>
      <c r="MG270" s="47"/>
      <c r="MH270" s="47"/>
      <c r="MI270" s="47"/>
      <c r="MJ270" s="47"/>
      <c r="MK270" s="47"/>
      <c r="ML270" s="47"/>
      <c r="MM270" s="47"/>
      <c r="MN270" s="47"/>
      <c r="MO270" s="47"/>
      <c r="MP270" s="47"/>
      <c r="MQ270" s="47"/>
      <c r="MR270" s="47"/>
      <c r="MS270" s="47"/>
      <c r="MT270" s="47"/>
      <c r="MU270" s="47"/>
      <c r="MV270" s="47"/>
      <c r="MW270" s="47"/>
      <c r="MX270" s="47"/>
      <c r="MY270" s="47"/>
      <c r="MZ270" s="47"/>
      <c r="NA270" s="47"/>
      <c r="NB270" s="47"/>
      <c r="NC270" s="47"/>
      <c r="ND270" s="47"/>
      <c r="NE270" s="47"/>
      <c r="NF270" s="47"/>
      <c r="NG270" s="47"/>
      <c r="NH270" s="47"/>
      <c r="NI270" s="47"/>
      <c r="NJ270" s="47"/>
      <c r="NK270" s="47"/>
      <c r="NL270" s="47"/>
      <c r="NM270" s="47"/>
      <c r="NN270" s="47"/>
      <c r="NO270" s="47"/>
      <c r="NP270" s="47"/>
      <c r="NQ270" s="47"/>
      <c r="NR270" s="47"/>
      <c r="NS270" s="47"/>
      <c r="NT270" s="47"/>
      <c r="NU270" s="47"/>
      <c r="NV270" s="47"/>
      <c r="NW270" s="47"/>
      <c r="NX270" s="47"/>
      <c r="NY270" s="47"/>
      <c r="NZ270" s="47"/>
      <c r="OA270" s="47"/>
      <c r="OB270" s="47"/>
      <c r="OC270" s="47"/>
      <c r="OD270" s="47"/>
      <c r="OE270" s="47"/>
      <c r="OF270" s="47"/>
      <c r="OG270" s="47"/>
      <c r="OH270" s="47"/>
      <c r="OI270" s="47"/>
      <c r="OJ270" s="47"/>
      <c r="OK270" s="47"/>
      <c r="OL270" s="47"/>
      <c r="OM270" s="47"/>
      <c r="ON270" s="47"/>
      <c r="OO270" s="47"/>
      <c r="OP270" s="47"/>
      <c r="OQ270" s="47"/>
      <c r="OR270" s="47"/>
      <c r="OS270" s="47"/>
      <c r="OT270" s="47"/>
      <c r="OU270" s="47"/>
      <c r="OV270" s="47"/>
      <c r="OW270" s="47"/>
      <c r="OX270" s="47"/>
      <c r="OY270" s="47"/>
      <c r="OZ270" s="47"/>
      <c r="PA270" s="47"/>
      <c r="PB270" s="47"/>
      <c r="PC270" s="47"/>
      <c r="PD270" s="47"/>
      <c r="PE270" s="47"/>
      <c r="PF270" s="47"/>
      <c r="PG270" s="47"/>
      <c r="PH270" s="47"/>
      <c r="PI270" s="47"/>
      <c r="PJ270" s="47"/>
      <c r="PK270" s="47"/>
      <c r="PL270" s="47"/>
      <c r="PM270" s="47"/>
      <c r="PN270" s="47"/>
      <c r="PO270" s="47"/>
      <c r="PP270" s="47"/>
      <c r="PQ270" s="47"/>
      <c r="PR270" s="47"/>
      <c r="PS270" s="47"/>
      <c r="PT270" s="47"/>
      <c r="PU270" s="47"/>
      <c r="PV270" s="47"/>
      <c r="PW270" s="47"/>
      <c r="PX270" s="47"/>
      <c r="PY270" s="47"/>
      <c r="PZ270" s="47"/>
      <c r="QA270" s="47"/>
      <c r="QB270" s="47"/>
      <c r="QC270" s="47"/>
      <c r="QD270" s="47"/>
      <c r="QE270" s="47"/>
      <c r="QF270" s="47"/>
      <c r="QG270" s="47"/>
      <c r="QH270" s="47"/>
      <c r="QI270" s="47"/>
      <c r="QJ270" s="47"/>
      <c r="QK270" s="47"/>
      <c r="QL270" s="47"/>
      <c r="QM270" s="47"/>
      <c r="QN270" s="47"/>
      <c r="QO270" s="47"/>
      <c r="QP270" s="47"/>
      <c r="QQ270" s="47"/>
      <c r="QR270" s="47"/>
      <c r="QS270" s="47"/>
      <c r="QT270" s="47"/>
      <c r="QU270" s="47"/>
      <c r="QV270" s="47"/>
      <c r="QW270" s="47"/>
      <c r="QX270" s="47"/>
      <c r="QY270" s="47"/>
      <c r="QZ270" s="47"/>
      <c r="RA270" s="47"/>
      <c r="RB270" s="47"/>
      <c r="RC270" s="47"/>
      <c r="RD270" s="47"/>
      <c r="RE270" s="47"/>
      <c r="RF270" s="47"/>
      <c r="RG270" s="47"/>
      <c r="RH270" s="47"/>
      <c r="RI270" s="47"/>
      <c r="RJ270" s="47"/>
      <c r="RK270" s="47"/>
      <c r="RL270" s="47"/>
      <c r="RM270" s="47"/>
      <c r="RN270" s="47"/>
      <c r="RO270" s="47"/>
      <c r="RP270" s="47"/>
      <c r="RQ270" s="47"/>
      <c r="RR270" s="47"/>
      <c r="RS270" s="47"/>
      <c r="RT270" s="47"/>
      <c r="RU270" s="47"/>
      <c r="RV270" s="47"/>
      <c r="RW270" s="47"/>
      <c r="RX270" s="47"/>
      <c r="RY270" s="47"/>
      <c r="RZ270" s="47"/>
      <c r="SA270" s="47"/>
      <c r="SB270" s="47"/>
      <c r="SC270" s="47"/>
      <c r="SD270" s="47"/>
      <c r="SE270" s="47"/>
      <c r="SF270" s="47"/>
      <c r="SG270" s="47"/>
      <c r="SH270" s="47"/>
      <c r="SI270" s="47"/>
      <c r="SJ270" s="47"/>
      <c r="SK270" s="47"/>
      <c r="SL270" s="47"/>
      <c r="SM270" s="47"/>
      <c r="SN270" s="47"/>
      <c r="SO270" s="47"/>
      <c r="SP270" s="47"/>
      <c r="SQ270" s="47"/>
      <c r="SR270" s="47"/>
      <c r="SS270" s="47"/>
      <c r="ST270" s="47"/>
      <c r="SU270" s="47"/>
      <c r="SV270" s="47"/>
      <c r="SW270" s="47"/>
      <c r="SX270" s="47"/>
      <c r="SY270" s="47"/>
      <c r="SZ270" s="47"/>
      <c r="TA270" s="47"/>
      <c r="TB270" s="47"/>
      <c r="TC270" s="47"/>
      <c r="TD270" s="47"/>
      <c r="TE270" s="47"/>
      <c r="TF270" s="47"/>
      <c r="TG270" s="47"/>
      <c r="TH270" s="47"/>
      <c r="TI270" s="47"/>
      <c r="TJ270" s="47"/>
      <c r="TK270" s="47"/>
      <c r="TL270" s="47"/>
      <c r="TM270" s="47"/>
      <c r="TN270" s="47"/>
      <c r="TO270" s="47"/>
      <c r="TP270" s="47"/>
      <c r="TQ270" s="47"/>
      <c r="TR270" s="47"/>
      <c r="TS270" s="47"/>
      <c r="TT270" s="47"/>
      <c r="TU270" s="47"/>
      <c r="TV270" s="47"/>
      <c r="TW270" s="47"/>
      <c r="TX270" s="47"/>
      <c r="TY270" s="47"/>
      <c r="TZ270" s="47"/>
      <c r="UA270" s="47"/>
      <c r="UB270" s="47"/>
      <c r="UC270" s="47"/>
      <c r="UD270" s="47"/>
      <c r="UE270" s="47"/>
      <c r="UF270" s="47"/>
      <c r="UG270" s="47"/>
      <c r="UH270" s="47"/>
      <c r="UI270" s="47"/>
      <c r="UJ270" s="47"/>
      <c r="UK270" s="47"/>
      <c r="UL270" s="47"/>
      <c r="UM270" s="47"/>
      <c r="UN270" s="47"/>
      <c r="UO270" s="47"/>
      <c r="UP270" s="47"/>
      <c r="UQ270" s="47"/>
      <c r="UR270" s="47"/>
      <c r="US270" s="47"/>
      <c r="UT270" s="47"/>
      <c r="UU270" s="47"/>
      <c r="UV270" s="47"/>
      <c r="UW270" s="47"/>
      <c r="UX270" s="47"/>
      <c r="UY270" s="47"/>
      <c r="UZ270" s="47"/>
      <c r="VA270" s="47"/>
      <c r="VB270" s="47"/>
      <c r="VC270" s="47"/>
      <c r="VD270" s="47"/>
      <c r="VE270" s="47"/>
      <c r="VF270" s="47"/>
    </row>
    <row r="271" spans="1:578" s="41" customFormat="1" ht="39" customHeight="1" x14ac:dyDescent="0.2">
      <c r="A271" s="39" t="s">
        <v>553</v>
      </c>
      <c r="B271" s="93" t="str">
        <f>'дод 3'!A171</f>
        <v>7370</v>
      </c>
      <c r="C271" s="93" t="str">
        <f>'дод 3'!B171</f>
        <v>0490</v>
      </c>
      <c r="D271" s="42" t="str">
        <f>'дод 3'!C171</f>
        <v>Реалізація інших заходів щодо соціально-економічного розвитку територій</v>
      </c>
      <c r="E271" s="65">
        <v>935200</v>
      </c>
      <c r="F271" s="65"/>
      <c r="G271" s="65"/>
      <c r="H271" s="65">
        <v>80000</v>
      </c>
      <c r="I271" s="65"/>
      <c r="J271" s="65"/>
      <c r="K271" s="130">
        <f t="shared" si="70"/>
        <v>8.5543199315654412</v>
      </c>
      <c r="L271" s="65">
        <f t="shared" si="73"/>
        <v>0</v>
      </c>
      <c r="M271" s="65"/>
      <c r="N271" s="65"/>
      <c r="O271" s="65"/>
      <c r="P271" s="65"/>
      <c r="Q271" s="65"/>
      <c r="R271" s="65">
        <f t="shared" si="74"/>
        <v>0</v>
      </c>
      <c r="S271" s="65"/>
      <c r="T271" s="65"/>
      <c r="U271" s="65"/>
      <c r="V271" s="65"/>
      <c r="W271" s="65"/>
      <c r="X271" s="132"/>
      <c r="Y271" s="65">
        <f t="shared" si="69"/>
        <v>80000</v>
      </c>
      <c r="Z271" s="202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  <c r="IW271" s="47"/>
      <c r="IX271" s="47"/>
      <c r="IY271" s="47"/>
      <c r="IZ271" s="47"/>
      <c r="JA271" s="47"/>
      <c r="JB271" s="47"/>
      <c r="JC271" s="47"/>
      <c r="JD271" s="47"/>
      <c r="JE271" s="47"/>
      <c r="JF271" s="47"/>
      <c r="JG271" s="47"/>
      <c r="JH271" s="47"/>
      <c r="JI271" s="47"/>
      <c r="JJ271" s="47"/>
      <c r="JK271" s="47"/>
      <c r="JL271" s="47"/>
      <c r="JM271" s="47"/>
      <c r="JN271" s="47"/>
      <c r="JO271" s="47"/>
      <c r="JP271" s="47"/>
      <c r="JQ271" s="47"/>
      <c r="JR271" s="47"/>
      <c r="JS271" s="47"/>
      <c r="JT271" s="47"/>
      <c r="JU271" s="47"/>
      <c r="JV271" s="47"/>
      <c r="JW271" s="47"/>
      <c r="JX271" s="47"/>
      <c r="JY271" s="47"/>
      <c r="JZ271" s="47"/>
      <c r="KA271" s="47"/>
      <c r="KB271" s="47"/>
      <c r="KC271" s="47"/>
      <c r="KD271" s="47"/>
      <c r="KE271" s="47"/>
      <c r="KF271" s="47"/>
      <c r="KG271" s="47"/>
      <c r="KH271" s="47"/>
      <c r="KI271" s="47"/>
      <c r="KJ271" s="47"/>
      <c r="KK271" s="47"/>
      <c r="KL271" s="47"/>
      <c r="KM271" s="47"/>
      <c r="KN271" s="47"/>
      <c r="KO271" s="47"/>
      <c r="KP271" s="47"/>
      <c r="KQ271" s="47"/>
      <c r="KR271" s="47"/>
      <c r="KS271" s="47"/>
      <c r="KT271" s="47"/>
      <c r="KU271" s="47"/>
      <c r="KV271" s="47"/>
      <c r="KW271" s="47"/>
      <c r="KX271" s="47"/>
      <c r="KY271" s="47"/>
      <c r="KZ271" s="47"/>
      <c r="LA271" s="47"/>
      <c r="LB271" s="47"/>
      <c r="LC271" s="47"/>
      <c r="LD271" s="47"/>
      <c r="LE271" s="47"/>
      <c r="LF271" s="47"/>
      <c r="LG271" s="47"/>
      <c r="LH271" s="47"/>
      <c r="LI271" s="47"/>
      <c r="LJ271" s="47"/>
      <c r="LK271" s="47"/>
      <c r="LL271" s="47"/>
      <c r="LM271" s="47"/>
      <c r="LN271" s="47"/>
      <c r="LO271" s="47"/>
      <c r="LP271" s="47"/>
      <c r="LQ271" s="47"/>
      <c r="LR271" s="47"/>
      <c r="LS271" s="47"/>
      <c r="LT271" s="47"/>
      <c r="LU271" s="47"/>
      <c r="LV271" s="47"/>
      <c r="LW271" s="47"/>
      <c r="LX271" s="47"/>
      <c r="LY271" s="47"/>
      <c r="LZ271" s="47"/>
      <c r="MA271" s="47"/>
      <c r="MB271" s="47"/>
      <c r="MC271" s="47"/>
      <c r="MD271" s="47"/>
      <c r="ME271" s="47"/>
      <c r="MF271" s="47"/>
      <c r="MG271" s="47"/>
      <c r="MH271" s="47"/>
      <c r="MI271" s="47"/>
      <c r="MJ271" s="47"/>
      <c r="MK271" s="47"/>
      <c r="ML271" s="47"/>
      <c r="MM271" s="47"/>
      <c r="MN271" s="47"/>
      <c r="MO271" s="47"/>
      <c r="MP271" s="47"/>
      <c r="MQ271" s="47"/>
      <c r="MR271" s="47"/>
      <c r="MS271" s="47"/>
      <c r="MT271" s="47"/>
      <c r="MU271" s="47"/>
      <c r="MV271" s="47"/>
      <c r="MW271" s="47"/>
      <c r="MX271" s="47"/>
      <c r="MY271" s="47"/>
      <c r="MZ271" s="47"/>
      <c r="NA271" s="47"/>
      <c r="NB271" s="47"/>
      <c r="NC271" s="47"/>
      <c r="ND271" s="47"/>
      <c r="NE271" s="47"/>
      <c r="NF271" s="47"/>
      <c r="NG271" s="47"/>
      <c r="NH271" s="47"/>
      <c r="NI271" s="47"/>
      <c r="NJ271" s="47"/>
      <c r="NK271" s="47"/>
      <c r="NL271" s="47"/>
      <c r="NM271" s="47"/>
      <c r="NN271" s="47"/>
      <c r="NO271" s="47"/>
      <c r="NP271" s="47"/>
      <c r="NQ271" s="47"/>
      <c r="NR271" s="47"/>
      <c r="NS271" s="47"/>
      <c r="NT271" s="47"/>
      <c r="NU271" s="47"/>
      <c r="NV271" s="47"/>
      <c r="NW271" s="47"/>
      <c r="NX271" s="47"/>
      <c r="NY271" s="47"/>
      <c r="NZ271" s="47"/>
      <c r="OA271" s="47"/>
      <c r="OB271" s="47"/>
      <c r="OC271" s="47"/>
      <c r="OD271" s="47"/>
      <c r="OE271" s="47"/>
      <c r="OF271" s="47"/>
      <c r="OG271" s="47"/>
      <c r="OH271" s="47"/>
      <c r="OI271" s="47"/>
      <c r="OJ271" s="47"/>
      <c r="OK271" s="47"/>
      <c r="OL271" s="47"/>
      <c r="OM271" s="47"/>
      <c r="ON271" s="47"/>
      <c r="OO271" s="47"/>
      <c r="OP271" s="47"/>
      <c r="OQ271" s="47"/>
      <c r="OR271" s="47"/>
      <c r="OS271" s="47"/>
      <c r="OT271" s="47"/>
      <c r="OU271" s="47"/>
      <c r="OV271" s="47"/>
      <c r="OW271" s="47"/>
      <c r="OX271" s="47"/>
      <c r="OY271" s="47"/>
      <c r="OZ271" s="47"/>
      <c r="PA271" s="47"/>
      <c r="PB271" s="47"/>
      <c r="PC271" s="47"/>
      <c r="PD271" s="47"/>
      <c r="PE271" s="47"/>
      <c r="PF271" s="47"/>
      <c r="PG271" s="47"/>
      <c r="PH271" s="47"/>
      <c r="PI271" s="47"/>
      <c r="PJ271" s="47"/>
      <c r="PK271" s="47"/>
      <c r="PL271" s="47"/>
      <c r="PM271" s="47"/>
      <c r="PN271" s="47"/>
      <c r="PO271" s="47"/>
      <c r="PP271" s="47"/>
      <c r="PQ271" s="47"/>
      <c r="PR271" s="47"/>
      <c r="PS271" s="47"/>
      <c r="PT271" s="47"/>
      <c r="PU271" s="47"/>
      <c r="PV271" s="47"/>
      <c r="PW271" s="47"/>
      <c r="PX271" s="47"/>
      <c r="PY271" s="47"/>
      <c r="PZ271" s="47"/>
      <c r="QA271" s="47"/>
      <c r="QB271" s="47"/>
      <c r="QC271" s="47"/>
      <c r="QD271" s="47"/>
      <c r="QE271" s="47"/>
      <c r="QF271" s="47"/>
      <c r="QG271" s="47"/>
      <c r="QH271" s="47"/>
      <c r="QI271" s="47"/>
      <c r="QJ271" s="47"/>
      <c r="QK271" s="47"/>
      <c r="QL271" s="47"/>
      <c r="QM271" s="47"/>
      <c r="QN271" s="47"/>
      <c r="QO271" s="47"/>
      <c r="QP271" s="47"/>
      <c r="QQ271" s="47"/>
      <c r="QR271" s="47"/>
      <c r="QS271" s="47"/>
      <c r="QT271" s="47"/>
      <c r="QU271" s="47"/>
      <c r="QV271" s="47"/>
      <c r="QW271" s="47"/>
      <c r="QX271" s="47"/>
      <c r="QY271" s="47"/>
      <c r="QZ271" s="47"/>
      <c r="RA271" s="47"/>
      <c r="RB271" s="47"/>
      <c r="RC271" s="47"/>
      <c r="RD271" s="47"/>
      <c r="RE271" s="47"/>
      <c r="RF271" s="47"/>
      <c r="RG271" s="47"/>
      <c r="RH271" s="47"/>
      <c r="RI271" s="47"/>
      <c r="RJ271" s="47"/>
      <c r="RK271" s="47"/>
      <c r="RL271" s="47"/>
      <c r="RM271" s="47"/>
      <c r="RN271" s="47"/>
      <c r="RO271" s="47"/>
      <c r="RP271" s="47"/>
      <c r="RQ271" s="47"/>
      <c r="RR271" s="47"/>
      <c r="RS271" s="47"/>
      <c r="RT271" s="47"/>
      <c r="RU271" s="47"/>
      <c r="RV271" s="47"/>
      <c r="RW271" s="47"/>
      <c r="RX271" s="47"/>
      <c r="RY271" s="47"/>
      <c r="RZ271" s="47"/>
      <c r="SA271" s="47"/>
      <c r="SB271" s="47"/>
      <c r="SC271" s="47"/>
      <c r="SD271" s="47"/>
      <c r="SE271" s="47"/>
      <c r="SF271" s="47"/>
      <c r="SG271" s="47"/>
      <c r="SH271" s="47"/>
      <c r="SI271" s="47"/>
      <c r="SJ271" s="47"/>
      <c r="SK271" s="47"/>
      <c r="SL271" s="47"/>
      <c r="SM271" s="47"/>
      <c r="SN271" s="47"/>
      <c r="SO271" s="47"/>
      <c r="SP271" s="47"/>
      <c r="SQ271" s="47"/>
      <c r="SR271" s="47"/>
      <c r="SS271" s="47"/>
      <c r="ST271" s="47"/>
      <c r="SU271" s="47"/>
      <c r="SV271" s="47"/>
      <c r="SW271" s="47"/>
      <c r="SX271" s="47"/>
      <c r="SY271" s="47"/>
      <c r="SZ271" s="47"/>
      <c r="TA271" s="47"/>
      <c r="TB271" s="47"/>
      <c r="TC271" s="47"/>
      <c r="TD271" s="47"/>
      <c r="TE271" s="47"/>
      <c r="TF271" s="47"/>
      <c r="TG271" s="47"/>
      <c r="TH271" s="47"/>
      <c r="TI271" s="47"/>
      <c r="TJ271" s="47"/>
      <c r="TK271" s="47"/>
      <c r="TL271" s="47"/>
      <c r="TM271" s="47"/>
      <c r="TN271" s="47"/>
      <c r="TO271" s="47"/>
      <c r="TP271" s="47"/>
      <c r="TQ271" s="47"/>
      <c r="TR271" s="47"/>
      <c r="TS271" s="47"/>
      <c r="TT271" s="47"/>
      <c r="TU271" s="47"/>
      <c r="TV271" s="47"/>
      <c r="TW271" s="47"/>
      <c r="TX271" s="47"/>
      <c r="TY271" s="47"/>
      <c r="TZ271" s="47"/>
      <c r="UA271" s="47"/>
      <c r="UB271" s="47"/>
      <c r="UC271" s="47"/>
      <c r="UD271" s="47"/>
      <c r="UE271" s="47"/>
      <c r="UF271" s="47"/>
      <c r="UG271" s="47"/>
      <c r="UH271" s="47"/>
      <c r="UI271" s="47"/>
      <c r="UJ271" s="47"/>
      <c r="UK271" s="47"/>
      <c r="UL271" s="47"/>
      <c r="UM271" s="47"/>
      <c r="UN271" s="47"/>
      <c r="UO271" s="47"/>
      <c r="UP271" s="47"/>
      <c r="UQ271" s="47"/>
      <c r="UR271" s="47"/>
      <c r="US271" s="47"/>
      <c r="UT271" s="47"/>
      <c r="UU271" s="47"/>
      <c r="UV271" s="47"/>
      <c r="UW271" s="47"/>
      <c r="UX271" s="47"/>
      <c r="UY271" s="47"/>
      <c r="UZ271" s="47"/>
      <c r="VA271" s="47"/>
      <c r="VB271" s="47"/>
      <c r="VC271" s="47"/>
      <c r="VD271" s="47"/>
      <c r="VE271" s="47"/>
      <c r="VF271" s="47"/>
    </row>
    <row r="272" spans="1:578" s="41" customFormat="1" ht="97.5" customHeight="1" x14ac:dyDescent="0.2">
      <c r="A272" s="43" t="s">
        <v>391</v>
      </c>
      <c r="B272" s="96" t="str">
        <f>'дод 3'!A190</f>
        <v>7691</v>
      </c>
      <c r="C272" s="96" t="str">
        <f>'дод 3'!B190</f>
        <v>0490</v>
      </c>
      <c r="D272" s="40" t="s">
        <v>415</v>
      </c>
      <c r="E272" s="65">
        <v>0</v>
      </c>
      <c r="F272" s="65"/>
      <c r="G272" s="65"/>
      <c r="H272" s="65"/>
      <c r="I272" s="65"/>
      <c r="J272" s="65"/>
      <c r="K272" s="130"/>
      <c r="L272" s="65">
        <f t="shared" si="73"/>
        <v>2019807.3399999999</v>
      </c>
      <c r="M272" s="65"/>
      <c r="N272" s="65">
        <f>369000+719807.34</f>
        <v>1088807.3399999999</v>
      </c>
      <c r="O272" s="65"/>
      <c r="P272" s="65"/>
      <c r="Q272" s="65">
        <f>901000+30000</f>
        <v>931000</v>
      </c>
      <c r="R272" s="65">
        <f t="shared" si="74"/>
        <v>19086</v>
      </c>
      <c r="S272" s="65"/>
      <c r="T272" s="65">
        <v>19086</v>
      </c>
      <c r="U272" s="65"/>
      <c r="V272" s="65"/>
      <c r="W272" s="65"/>
      <c r="X272" s="132">
        <f t="shared" ref="X272:X300" si="91">SUM(R272/L272)*100</f>
        <v>0.94494161012406275</v>
      </c>
      <c r="Y272" s="65">
        <f t="shared" ref="Y272:Y300" si="92">SUM(H272+R272)</f>
        <v>19086</v>
      </c>
      <c r="Z272" s="202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  <c r="IW272" s="47"/>
      <c r="IX272" s="47"/>
      <c r="IY272" s="47"/>
      <c r="IZ272" s="47"/>
      <c r="JA272" s="47"/>
      <c r="JB272" s="47"/>
      <c r="JC272" s="47"/>
      <c r="JD272" s="47"/>
      <c r="JE272" s="47"/>
      <c r="JF272" s="47"/>
      <c r="JG272" s="47"/>
      <c r="JH272" s="47"/>
      <c r="JI272" s="47"/>
      <c r="JJ272" s="47"/>
      <c r="JK272" s="47"/>
      <c r="JL272" s="47"/>
      <c r="JM272" s="47"/>
      <c r="JN272" s="47"/>
      <c r="JO272" s="47"/>
      <c r="JP272" s="47"/>
      <c r="JQ272" s="47"/>
      <c r="JR272" s="47"/>
      <c r="JS272" s="47"/>
      <c r="JT272" s="47"/>
      <c r="JU272" s="47"/>
      <c r="JV272" s="47"/>
      <c r="JW272" s="47"/>
      <c r="JX272" s="47"/>
      <c r="JY272" s="47"/>
      <c r="JZ272" s="47"/>
      <c r="KA272" s="47"/>
      <c r="KB272" s="47"/>
      <c r="KC272" s="47"/>
      <c r="KD272" s="47"/>
      <c r="KE272" s="47"/>
      <c r="KF272" s="47"/>
      <c r="KG272" s="47"/>
      <c r="KH272" s="47"/>
      <c r="KI272" s="47"/>
      <c r="KJ272" s="47"/>
      <c r="KK272" s="47"/>
      <c r="KL272" s="47"/>
      <c r="KM272" s="47"/>
      <c r="KN272" s="47"/>
      <c r="KO272" s="47"/>
      <c r="KP272" s="47"/>
      <c r="KQ272" s="47"/>
      <c r="KR272" s="47"/>
      <c r="KS272" s="47"/>
      <c r="KT272" s="47"/>
      <c r="KU272" s="47"/>
      <c r="KV272" s="47"/>
      <c r="KW272" s="47"/>
      <c r="KX272" s="47"/>
      <c r="KY272" s="47"/>
      <c r="KZ272" s="47"/>
      <c r="LA272" s="47"/>
      <c r="LB272" s="47"/>
      <c r="LC272" s="47"/>
      <c r="LD272" s="47"/>
      <c r="LE272" s="47"/>
      <c r="LF272" s="47"/>
      <c r="LG272" s="47"/>
      <c r="LH272" s="47"/>
      <c r="LI272" s="47"/>
      <c r="LJ272" s="47"/>
      <c r="LK272" s="47"/>
      <c r="LL272" s="47"/>
      <c r="LM272" s="47"/>
      <c r="LN272" s="47"/>
      <c r="LO272" s="47"/>
      <c r="LP272" s="47"/>
      <c r="LQ272" s="47"/>
      <c r="LR272" s="47"/>
      <c r="LS272" s="47"/>
      <c r="LT272" s="47"/>
      <c r="LU272" s="47"/>
      <c r="LV272" s="47"/>
      <c r="LW272" s="47"/>
      <c r="LX272" s="47"/>
      <c r="LY272" s="47"/>
      <c r="LZ272" s="47"/>
      <c r="MA272" s="47"/>
      <c r="MB272" s="47"/>
      <c r="MC272" s="47"/>
      <c r="MD272" s="47"/>
      <c r="ME272" s="47"/>
      <c r="MF272" s="47"/>
      <c r="MG272" s="47"/>
      <c r="MH272" s="47"/>
      <c r="MI272" s="47"/>
      <c r="MJ272" s="47"/>
      <c r="MK272" s="47"/>
      <c r="ML272" s="47"/>
      <c r="MM272" s="47"/>
      <c r="MN272" s="47"/>
      <c r="MO272" s="47"/>
      <c r="MP272" s="47"/>
      <c r="MQ272" s="47"/>
      <c r="MR272" s="47"/>
      <c r="MS272" s="47"/>
      <c r="MT272" s="47"/>
      <c r="MU272" s="47"/>
      <c r="MV272" s="47"/>
      <c r="MW272" s="47"/>
      <c r="MX272" s="47"/>
      <c r="MY272" s="47"/>
      <c r="MZ272" s="47"/>
      <c r="NA272" s="47"/>
      <c r="NB272" s="47"/>
      <c r="NC272" s="47"/>
      <c r="ND272" s="47"/>
      <c r="NE272" s="47"/>
      <c r="NF272" s="47"/>
      <c r="NG272" s="47"/>
      <c r="NH272" s="47"/>
      <c r="NI272" s="47"/>
      <c r="NJ272" s="47"/>
      <c r="NK272" s="47"/>
      <c r="NL272" s="47"/>
      <c r="NM272" s="47"/>
      <c r="NN272" s="47"/>
      <c r="NO272" s="47"/>
      <c r="NP272" s="47"/>
      <c r="NQ272" s="47"/>
      <c r="NR272" s="47"/>
      <c r="NS272" s="47"/>
      <c r="NT272" s="47"/>
      <c r="NU272" s="47"/>
      <c r="NV272" s="47"/>
      <c r="NW272" s="47"/>
      <c r="NX272" s="47"/>
      <c r="NY272" s="47"/>
      <c r="NZ272" s="47"/>
      <c r="OA272" s="47"/>
      <c r="OB272" s="47"/>
      <c r="OC272" s="47"/>
      <c r="OD272" s="47"/>
      <c r="OE272" s="47"/>
      <c r="OF272" s="47"/>
      <c r="OG272" s="47"/>
      <c r="OH272" s="47"/>
      <c r="OI272" s="47"/>
      <c r="OJ272" s="47"/>
      <c r="OK272" s="47"/>
      <c r="OL272" s="47"/>
      <c r="OM272" s="47"/>
      <c r="ON272" s="47"/>
      <c r="OO272" s="47"/>
      <c r="OP272" s="47"/>
      <c r="OQ272" s="47"/>
      <c r="OR272" s="47"/>
      <c r="OS272" s="47"/>
      <c r="OT272" s="47"/>
      <c r="OU272" s="47"/>
      <c r="OV272" s="47"/>
      <c r="OW272" s="47"/>
      <c r="OX272" s="47"/>
      <c r="OY272" s="47"/>
      <c r="OZ272" s="47"/>
      <c r="PA272" s="47"/>
      <c r="PB272" s="47"/>
      <c r="PC272" s="47"/>
      <c r="PD272" s="47"/>
      <c r="PE272" s="47"/>
      <c r="PF272" s="47"/>
      <c r="PG272" s="47"/>
      <c r="PH272" s="47"/>
      <c r="PI272" s="47"/>
      <c r="PJ272" s="47"/>
      <c r="PK272" s="47"/>
      <c r="PL272" s="47"/>
      <c r="PM272" s="47"/>
      <c r="PN272" s="47"/>
      <c r="PO272" s="47"/>
      <c r="PP272" s="47"/>
      <c r="PQ272" s="47"/>
      <c r="PR272" s="47"/>
      <c r="PS272" s="47"/>
      <c r="PT272" s="47"/>
      <c r="PU272" s="47"/>
      <c r="PV272" s="47"/>
      <c r="PW272" s="47"/>
      <c r="PX272" s="47"/>
      <c r="PY272" s="47"/>
      <c r="PZ272" s="47"/>
      <c r="QA272" s="47"/>
      <c r="QB272" s="47"/>
      <c r="QC272" s="47"/>
      <c r="QD272" s="47"/>
      <c r="QE272" s="47"/>
      <c r="QF272" s="47"/>
      <c r="QG272" s="47"/>
      <c r="QH272" s="47"/>
      <c r="QI272" s="47"/>
      <c r="QJ272" s="47"/>
      <c r="QK272" s="47"/>
      <c r="QL272" s="47"/>
      <c r="QM272" s="47"/>
      <c r="QN272" s="47"/>
      <c r="QO272" s="47"/>
      <c r="QP272" s="47"/>
      <c r="QQ272" s="47"/>
      <c r="QR272" s="47"/>
      <c r="QS272" s="47"/>
      <c r="QT272" s="47"/>
      <c r="QU272" s="47"/>
      <c r="QV272" s="47"/>
      <c r="QW272" s="47"/>
      <c r="QX272" s="47"/>
      <c r="QY272" s="47"/>
      <c r="QZ272" s="47"/>
      <c r="RA272" s="47"/>
      <c r="RB272" s="47"/>
      <c r="RC272" s="47"/>
      <c r="RD272" s="47"/>
      <c r="RE272" s="47"/>
      <c r="RF272" s="47"/>
      <c r="RG272" s="47"/>
      <c r="RH272" s="47"/>
      <c r="RI272" s="47"/>
      <c r="RJ272" s="47"/>
      <c r="RK272" s="47"/>
      <c r="RL272" s="47"/>
      <c r="RM272" s="47"/>
      <c r="RN272" s="47"/>
      <c r="RO272" s="47"/>
      <c r="RP272" s="47"/>
      <c r="RQ272" s="47"/>
      <c r="RR272" s="47"/>
      <c r="RS272" s="47"/>
      <c r="RT272" s="47"/>
      <c r="RU272" s="47"/>
      <c r="RV272" s="47"/>
      <c r="RW272" s="47"/>
      <c r="RX272" s="47"/>
      <c r="RY272" s="47"/>
      <c r="RZ272" s="47"/>
      <c r="SA272" s="47"/>
      <c r="SB272" s="47"/>
      <c r="SC272" s="47"/>
      <c r="SD272" s="47"/>
      <c r="SE272" s="47"/>
      <c r="SF272" s="47"/>
      <c r="SG272" s="47"/>
      <c r="SH272" s="47"/>
      <c r="SI272" s="47"/>
      <c r="SJ272" s="47"/>
      <c r="SK272" s="47"/>
      <c r="SL272" s="47"/>
      <c r="SM272" s="47"/>
      <c r="SN272" s="47"/>
      <c r="SO272" s="47"/>
      <c r="SP272" s="47"/>
      <c r="SQ272" s="47"/>
      <c r="SR272" s="47"/>
      <c r="SS272" s="47"/>
      <c r="ST272" s="47"/>
      <c r="SU272" s="47"/>
      <c r="SV272" s="47"/>
      <c r="SW272" s="47"/>
      <c r="SX272" s="47"/>
      <c r="SY272" s="47"/>
      <c r="SZ272" s="47"/>
      <c r="TA272" s="47"/>
      <c r="TB272" s="47"/>
      <c r="TC272" s="47"/>
      <c r="TD272" s="47"/>
      <c r="TE272" s="47"/>
      <c r="TF272" s="47"/>
      <c r="TG272" s="47"/>
      <c r="TH272" s="47"/>
      <c r="TI272" s="47"/>
      <c r="TJ272" s="47"/>
      <c r="TK272" s="47"/>
      <c r="TL272" s="47"/>
      <c r="TM272" s="47"/>
      <c r="TN272" s="47"/>
      <c r="TO272" s="47"/>
      <c r="TP272" s="47"/>
      <c r="TQ272" s="47"/>
      <c r="TR272" s="47"/>
      <c r="TS272" s="47"/>
      <c r="TT272" s="47"/>
      <c r="TU272" s="47"/>
      <c r="TV272" s="47"/>
      <c r="TW272" s="47"/>
      <c r="TX272" s="47"/>
      <c r="TY272" s="47"/>
      <c r="TZ272" s="47"/>
      <c r="UA272" s="47"/>
      <c r="UB272" s="47"/>
      <c r="UC272" s="47"/>
      <c r="UD272" s="47"/>
      <c r="UE272" s="47"/>
      <c r="UF272" s="47"/>
      <c r="UG272" s="47"/>
      <c r="UH272" s="47"/>
      <c r="UI272" s="47"/>
      <c r="UJ272" s="47"/>
      <c r="UK272" s="47"/>
      <c r="UL272" s="47"/>
      <c r="UM272" s="47"/>
      <c r="UN272" s="47"/>
      <c r="UO272" s="47"/>
      <c r="UP272" s="47"/>
      <c r="UQ272" s="47"/>
      <c r="UR272" s="47"/>
      <c r="US272" s="47"/>
      <c r="UT272" s="47"/>
      <c r="UU272" s="47"/>
      <c r="UV272" s="47"/>
      <c r="UW272" s="47"/>
      <c r="UX272" s="47"/>
      <c r="UY272" s="47"/>
      <c r="UZ272" s="47"/>
      <c r="VA272" s="47"/>
      <c r="VB272" s="47"/>
      <c r="VC272" s="47"/>
      <c r="VD272" s="47"/>
      <c r="VE272" s="47"/>
      <c r="VF272" s="47"/>
    </row>
    <row r="273" spans="1:578" s="57" customFormat="1" ht="36.75" customHeight="1" x14ac:dyDescent="0.2">
      <c r="A273" s="55" t="s">
        <v>279</v>
      </c>
      <c r="B273" s="99"/>
      <c r="C273" s="99"/>
      <c r="D273" s="56" t="s">
        <v>66</v>
      </c>
      <c r="E273" s="79">
        <v>4313300</v>
      </c>
      <c r="F273" s="79">
        <f t="shared" ref="F273:W274" si="93">F274</f>
        <v>3340172</v>
      </c>
      <c r="G273" s="79">
        <f t="shared" si="93"/>
        <v>51274</v>
      </c>
      <c r="H273" s="79">
        <f t="shared" si="93"/>
        <v>1130271.32</v>
      </c>
      <c r="I273" s="79">
        <f t="shared" si="93"/>
        <v>890911.88</v>
      </c>
      <c r="J273" s="79">
        <f t="shared" si="93"/>
        <v>15559.83</v>
      </c>
      <c r="K273" s="129">
        <f t="shared" ref="K273:K300" si="94">SUM(H273/E273)*100</f>
        <v>26.204328936081424</v>
      </c>
      <c r="L273" s="79">
        <f t="shared" si="93"/>
        <v>15000</v>
      </c>
      <c r="M273" s="79">
        <f t="shared" si="93"/>
        <v>15000</v>
      </c>
      <c r="N273" s="79">
        <f t="shared" si="93"/>
        <v>0</v>
      </c>
      <c r="O273" s="79">
        <f t="shared" si="93"/>
        <v>0</v>
      </c>
      <c r="P273" s="79">
        <f t="shared" si="93"/>
        <v>0</v>
      </c>
      <c r="Q273" s="79">
        <f t="shared" si="93"/>
        <v>15000</v>
      </c>
      <c r="R273" s="79">
        <f t="shared" si="93"/>
        <v>0</v>
      </c>
      <c r="S273" s="79">
        <f t="shared" si="93"/>
        <v>0</v>
      </c>
      <c r="T273" s="79">
        <f t="shared" si="93"/>
        <v>0</v>
      </c>
      <c r="U273" s="79">
        <f t="shared" si="93"/>
        <v>0</v>
      </c>
      <c r="V273" s="79">
        <f t="shared" si="93"/>
        <v>0</v>
      </c>
      <c r="W273" s="79">
        <f t="shared" si="93"/>
        <v>0</v>
      </c>
      <c r="X273" s="131">
        <f t="shared" si="91"/>
        <v>0</v>
      </c>
      <c r="Y273" s="79">
        <f t="shared" si="92"/>
        <v>1130271.32</v>
      </c>
      <c r="Z273" s="202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  <c r="GX273" s="73"/>
      <c r="GY273" s="73"/>
      <c r="GZ273" s="73"/>
      <c r="HA273" s="73"/>
      <c r="HB273" s="73"/>
      <c r="HC273" s="73"/>
      <c r="HD273" s="73"/>
      <c r="HE273" s="73"/>
      <c r="HF273" s="73"/>
      <c r="HG273" s="73"/>
      <c r="HH273" s="73"/>
      <c r="HI273" s="73"/>
      <c r="HJ273" s="73"/>
      <c r="HK273" s="73"/>
      <c r="HL273" s="73"/>
      <c r="HM273" s="73"/>
      <c r="HN273" s="73"/>
      <c r="HO273" s="73"/>
      <c r="HP273" s="73"/>
      <c r="HQ273" s="73"/>
      <c r="HR273" s="73"/>
      <c r="HS273" s="73"/>
      <c r="HT273" s="73"/>
      <c r="HU273" s="73"/>
      <c r="HV273" s="73"/>
      <c r="HW273" s="73"/>
      <c r="HX273" s="73"/>
      <c r="HY273" s="73"/>
      <c r="HZ273" s="73"/>
      <c r="IA273" s="73"/>
      <c r="IB273" s="73"/>
      <c r="IC273" s="73"/>
      <c r="ID273" s="73"/>
      <c r="IE273" s="73"/>
      <c r="IF273" s="73"/>
      <c r="IG273" s="73"/>
      <c r="IH273" s="73"/>
      <c r="II273" s="73"/>
      <c r="IJ273" s="73"/>
      <c r="IK273" s="73"/>
      <c r="IL273" s="73"/>
      <c r="IM273" s="73"/>
      <c r="IN273" s="73"/>
      <c r="IO273" s="73"/>
      <c r="IP273" s="73"/>
      <c r="IQ273" s="73"/>
      <c r="IR273" s="73"/>
      <c r="IS273" s="73"/>
      <c r="IT273" s="73"/>
      <c r="IU273" s="73"/>
      <c r="IV273" s="73"/>
      <c r="IW273" s="73"/>
      <c r="IX273" s="73"/>
      <c r="IY273" s="73"/>
      <c r="IZ273" s="73"/>
      <c r="JA273" s="73"/>
      <c r="JB273" s="73"/>
      <c r="JC273" s="73"/>
      <c r="JD273" s="73"/>
      <c r="JE273" s="73"/>
      <c r="JF273" s="73"/>
      <c r="JG273" s="73"/>
      <c r="JH273" s="73"/>
      <c r="JI273" s="73"/>
      <c r="JJ273" s="73"/>
      <c r="JK273" s="73"/>
      <c r="JL273" s="73"/>
      <c r="JM273" s="73"/>
      <c r="JN273" s="73"/>
      <c r="JO273" s="73"/>
      <c r="JP273" s="73"/>
      <c r="JQ273" s="73"/>
      <c r="JR273" s="73"/>
      <c r="JS273" s="73"/>
      <c r="JT273" s="73"/>
      <c r="JU273" s="73"/>
      <c r="JV273" s="73"/>
      <c r="JW273" s="73"/>
      <c r="JX273" s="73"/>
      <c r="JY273" s="73"/>
      <c r="JZ273" s="73"/>
      <c r="KA273" s="73"/>
      <c r="KB273" s="73"/>
      <c r="KC273" s="73"/>
      <c r="KD273" s="73"/>
      <c r="KE273" s="73"/>
      <c r="KF273" s="73"/>
      <c r="KG273" s="73"/>
      <c r="KH273" s="73"/>
      <c r="KI273" s="73"/>
      <c r="KJ273" s="73"/>
      <c r="KK273" s="73"/>
      <c r="KL273" s="73"/>
      <c r="KM273" s="73"/>
      <c r="KN273" s="73"/>
      <c r="KO273" s="73"/>
      <c r="KP273" s="73"/>
      <c r="KQ273" s="73"/>
      <c r="KR273" s="73"/>
      <c r="KS273" s="73"/>
      <c r="KT273" s="73"/>
      <c r="KU273" s="73"/>
      <c r="KV273" s="73"/>
      <c r="KW273" s="73"/>
      <c r="KX273" s="73"/>
      <c r="KY273" s="73"/>
      <c r="KZ273" s="73"/>
      <c r="LA273" s="73"/>
      <c r="LB273" s="73"/>
      <c r="LC273" s="73"/>
      <c r="LD273" s="73"/>
      <c r="LE273" s="73"/>
      <c r="LF273" s="73"/>
      <c r="LG273" s="73"/>
      <c r="LH273" s="73"/>
      <c r="LI273" s="73"/>
      <c r="LJ273" s="73"/>
      <c r="LK273" s="73"/>
      <c r="LL273" s="73"/>
      <c r="LM273" s="73"/>
      <c r="LN273" s="73"/>
      <c r="LO273" s="73"/>
      <c r="LP273" s="73"/>
      <c r="LQ273" s="73"/>
      <c r="LR273" s="73"/>
      <c r="LS273" s="73"/>
      <c r="LT273" s="73"/>
      <c r="LU273" s="73"/>
      <c r="LV273" s="73"/>
      <c r="LW273" s="73"/>
      <c r="LX273" s="73"/>
      <c r="LY273" s="73"/>
      <c r="LZ273" s="73"/>
      <c r="MA273" s="73"/>
      <c r="MB273" s="73"/>
      <c r="MC273" s="73"/>
      <c r="MD273" s="73"/>
      <c r="ME273" s="73"/>
      <c r="MF273" s="73"/>
      <c r="MG273" s="73"/>
      <c r="MH273" s="73"/>
      <c r="MI273" s="73"/>
      <c r="MJ273" s="73"/>
      <c r="MK273" s="73"/>
      <c r="ML273" s="73"/>
      <c r="MM273" s="73"/>
      <c r="MN273" s="73"/>
      <c r="MO273" s="73"/>
      <c r="MP273" s="73"/>
      <c r="MQ273" s="73"/>
      <c r="MR273" s="73"/>
      <c r="MS273" s="73"/>
      <c r="MT273" s="73"/>
      <c r="MU273" s="73"/>
      <c r="MV273" s="73"/>
      <c r="MW273" s="73"/>
      <c r="MX273" s="73"/>
      <c r="MY273" s="73"/>
      <c r="MZ273" s="73"/>
      <c r="NA273" s="73"/>
      <c r="NB273" s="73"/>
      <c r="NC273" s="73"/>
      <c r="ND273" s="73"/>
      <c r="NE273" s="73"/>
      <c r="NF273" s="73"/>
      <c r="NG273" s="73"/>
      <c r="NH273" s="73"/>
      <c r="NI273" s="73"/>
      <c r="NJ273" s="73"/>
      <c r="NK273" s="73"/>
      <c r="NL273" s="73"/>
      <c r="NM273" s="73"/>
      <c r="NN273" s="73"/>
      <c r="NO273" s="73"/>
      <c r="NP273" s="73"/>
      <c r="NQ273" s="73"/>
      <c r="NR273" s="73"/>
      <c r="NS273" s="73"/>
      <c r="NT273" s="73"/>
      <c r="NU273" s="73"/>
      <c r="NV273" s="73"/>
      <c r="NW273" s="73"/>
      <c r="NX273" s="73"/>
      <c r="NY273" s="73"/>
      <c r="NZ273" s="73"/>
      <c r="OA273" s="73"/>
      <c r="OB273" s="73"/>
      <c r="OC273" s="73"/>
      <c r="OD273" s="73"/>
      <c r="OE273" s="73"/>
      <c r="OF273" s="73"/>
      <c r="OG273" s="73"/>
      <c r="OH273" s="73"/>
      <c r="OI273" s="73"/>
      <c r="OJ273" s="73"/>
      <c r="OK273" s="73"/>
      <c r="OL273" s="73"/>
      <c r="OM273" s="73"/>
      <c r="ON273" s="73"/>
      <c r="OO273" s="73"/>
      <c r="OP273" s="73"/>
      <c r="OQ273" s="73"/>
      <c r="OR273" s="73"/>
      <c r="OS273" s="73"/>
      <c r="OT273" s="73"/>
      <c r="OU273" s="73"/>
      <c r="OV273" s="73"/>
      <c r="OW273" s="73"/>
      <c r="OX273" s="73"/>
      <c r="OY273" s="73"/>
      <c r="OZ273" s="73"/>
      <c r="PA273" s="73"/>
      <c r="PB273" s="73"/>
      <c r="PC273" s="73"/>
      <c r="PD273" s="73"/>
      <c r="PE273" s="73"/>
      <c r="PF273" s="73"/>
      <c r="PG273" s="73"/>
      <c r="PH273" s="73"/>
      <c r="PI273" s="73"/>
      <c r="PJ273" s="73"/>
      <c r="PK273" s="73"/>
      <c r="PL273" s="73"/>
      <c r="PM273" s="73"/>
      <c r="PN273" s="73"/>
      <c r="PO273" s="73"/>
      <c r="PP273" s="73"/>
      <c r="PQ273" s="73"/>
      <c r="PR273" s="73"/>
      <c r="PS273" s="73"/>
      <c r="PT273" s="73"/>
      <c r="PU273" s="73"/>
      <c r="PV273" s="73"/>
      <c r="PW273" s="73"/>
      <c r="PX273" s="73"/>
      <c r="PY273" s="73"/>
      <c r="PZ273" s="73"/>
      <c r="QA273" s="73"/>
      <c r="QB273" s="73"/>
      <c r="QC273" s="73"/>
      <c r="QD273" s="73"/>
      <c r="QE273" s="73"/>
      <c r="QF273" s="73"/>
      <c r="QG273" s="73"/>
      <c r="QH273" s="73"/>
      <c r="QI273" s="73"/>
      <c r="QJ273" s="73"/>
      <c r="QK273" s="73"/>
      <c r="QL273" s="73"/>
      <c r="QM273" s="73"/>
      <c r="QN273" s="73"/>
      <c r="QO273" s="73"/>
      <c r="QP273" s="73"/>
      <c r="QQ273" s="73"/>
      <c r="QR273" s="73"/>
      <c r="QS273" s="73"/>
      <c r="QT273" s="73"/>
      <c r="QU273" s="73"/>
      <c r="QV273" s="73"/>
      <c r="QW273" s="73"/>
      <c r="QX273" s="73"/>
      <c r="QY273" s="73"/>
      <c r="QZ273" s="73"/>
      <c r="RA273" s="73"/>
      <c r="RB273" s="73"/>
      <c r="RC273" s="73"/>
      <c r="RD273" s="73"/>
      <c r="RE273" s="73"/>
      <c r="RF273" s="73"/>
      <c r="RG273" s="73"/>
      <c r="RH273" s="73"/>
      <c r="RI273" s="73"/>
      <c r="RJ273" s="73"/>
      <c r="RK273" s="73"/>
      <c r="RL273" s="73"/>
      <c r="RM273" s="73"/>
      <c r="RN273" s="73"/>
      <c r="RO273" s="73"/>
      <c r="RP273" s="73"/>
      <c r="RQ273" s="73"/>
      <c r="RR273" s="73"/>
      <c r="RS273" s="73"/>
      <c r="RT273" s="73"/>
      <c r="RU273" s="73"/>
      <c r="RV273" s="73"/>
      <c r="RW273" s="73"/>
      <c r="RX273" s="73"/>
      <c r="RY273" s="73"/>
      <c r="RZ273" s="73"/>
      <c r="SA273" s="73"/>
      <c r="SB273" s="73"/>
      <c r="SC273" s="73"/>
      <c r="SD273" s="73"/>
      <c r="SE273" s="73"/>
      <c r="SF273" s="73"/>
      <c r="SG273" s="73"/>
      <c r="SH273" s="73"/>
      <c r="SI273" s="73"/>
      <c r="SJ273" s="73"/>
      <c r="SK273" s="73"/>
      <c r="SL273" s="73"/>
      <c r="SM273" s="73"/>
      <c r="SN273" s="73"/>
      <c r="SO273" s="73"/>
      <c r="SP273" s="73"/>
      <c r="SQ273" s="73"/>
      <c r="SR273" s="73"/>
      <c r="SS273" s="73"/>
      <c r="ST273" s="73"/>
      <c r="SU273" s="73"/>
      <c r="SV273" s="73"/>
      <c r="SW273" s="73"/>
      <c r="SX273" s="73"/>
      <c r="SY273" s="73"/>
      <c r="SZ273" s="73"/>
      <c r="TA273" s="73"/>
      <c r="TB273" s="73"/>
      <c r="TC273" s="73"/>
      <c r="TD273" s="73"/>
      <c r="TE273" s="73"/>
      <c r="TF273" s="73"/>
      <c r="TG273" s="73"/>
      <c r="TH273" s="73"/>
      <c r="TI273" s="73"/>
      <c r="TJ273" s="73"/>
      <c r="TK273" s="73"/>
      <c r="TL273" s="73"/>
      <c r="TM273" s="73"/>
      <c r="TN273" s="73"/>
      <c r="TO273" s="73"/>
      <c r="TP273" s="73"/>
      <c r="TQ273" s="73"/>
      <c r="TR273" s="73"/>
      <c r="TS273" s="73"/>
      <c r="TT273" s="73"/>
      <c r="TU273" s="73"/>
      <c r="TV273" s="73"/>
      <c r="TW273" s="73"/>
      <c r="TX273" s="73"/>
      <c r="TY273" s="73"/>
      <c r="TZ273" s="73"/>
      <c r="UA273" s="73"/>
      <c r="UB273" s="73"/>
      <c r="UC273" s="73"/>
      <c r="UD273" s="73"/>
      <c r="UE273" s="73"/>
      <c r="UF273" s="73"/>
      <c r="UG273" s="73"/>
      <c r="UH273" s="73"/>
      <c r="UI273" s="73"/>
      <c r="UJ273" s="73"/>
      <c r="UK273" s="73"/>
      <c r="UL273" s="73"/>
      <c r="UM273" s="73"/>
      <c r="UN273" s="73"/>
      <c r="UO273" s="73"/>
      <c r="UP273" s="73"/>
      <c r="UQ273" s="73"/>
      <c r="UR273" s="73"/>
      <c r="US273" s="73"/>
      <c r="UT273" s="73"/>
      <c r="UU273" s="73"/>
      <c r="UV273" s="73"/>
      <c r="UW273" s="73"/>
      <c r="UX273" s="73"/>
      <c r="UY273" s="73"/>
      <c r="UZ273" s="73"/>
      <c r="VA273" s="73"/>
      <c r="VB273" s="73"/>
      <c r="VC273" s="73"/>
      <c r="VD273" s="73"/>
      <c r="VE273" s="73"/>
      <c r="VF273" s="73"/>
    </row>
    <row r="274" spans="1:578" s="75" customFormat="1" ht="30" customHeight="1" x14ac:dyDescent="0.2">
      <c r="A274" s="60" t="s">
        <v>277</v>
      </c>
      <c r="B274" s="100"/>
      <c r="C274" s="100"/>
      <c r="D274" s="61" t="s">
        <v>66</v>
      </c>
      <c r="E274" s="78">
        <v>4313300</v>
      </c>
      <c r="F274" s="78">
        <f t="shared" si="93"/>
        <v>3340172</v>
      </c>
      <c r="G274" s="78">
        <f t="shared" si="93"/>
        <v>51274</v>
      </c>
      <c r="H274" s="78">
        <f t="shared" si="93"/>
        <v>1130271.32</v>
      </c>
      <c r="I274" s="78">
        <f t="shared" si="93"/>
        <v>890911.88</v>
      </c>
      <c r="J274" s="78">
        <f t="shared" si="93"/>
        <v>15559.83</v>
      </c>
      <c r="K274" s="129">
        <f t="shared" si="94"/>
        <v>26.204328936081424</v>
      </c>
      <c r="L274" s="78">
        <f t="shared" si="93"/>
        <v>15000</v>
      </c>
      <c r="M274" s="78">
        <f t="shared" si="93"/>
        <v>15000</v>
      </c>
      <c r="N274" s="78">
        <f t="shared" si="93"/>
        <v>0</v>
      </c>
      <c r="O274" s="78">
        <f t="shared" si="93"/>
        <v>0</v>
      </c>
      <c r="P274" s="78">
        <f t="shared" si="93"/>
        <v>0</v>
      </c>
      <c r="Q274" s="78">
        <f t="shared" si="93"/>
        <v>15000</v>
      </c>
      <c r="R274" s="78">
        <f t="shared" si="93"/>
        <v>0</v>
      </c>
      <c r="S274" s="78">
        <f t="shared" si="93"/>
        <v>0</v>
      </c>
      <c r="T274" s="78">
        <f t="shared" si="93"/>
        <v>0</v>
      </c>
      <c r="U274" s="78">
        <f t="shared" si="93"/>
        <v>0</v>
      </c>
      <c r="V274" s="78">
        <f t="shared" si="93"/>
        <v>0</v>
      </c>
      <c r="W274" s="78">
        <f t="shared" si="93"/>
        <v>0</v>
      </c>
      <c r="X274" s="131">
        <f t="shared" si="91"/>
        <v>0</v>
      </c>
      <c r="Y274" s="79">
        <f t="shared" si="92"/>
        <v>1130271.32</v>
      </c>
      <c r="Z274" s="202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  <c r="FS274" s="74"/>
      <c r="FT274" s="74"/>
      <c r="FU274" s="74"/>
      <c r="FV274" s="74"/>
      <c r="FW274" s="74"/>
      <c r="FX274" s="74"/>
      <c r="FY274" s="74"/>
      <c r="FZ274" s="74"/>
      <c r="GA274" s="74"/>
      <c r="GB274" s="74"/>
      <c r="GC274" s="74"/>
      <c r="GD274" s="74"/>
      <c r="GE274" s="74"/>
      <c r="GF274" s="74"/>
      <c r="GG274" s="74"/>
      <c r="GH274" s="74"/>
      <c r="GI274" s="74"/>
      <c r="GJ274" s="74"/>
      <c r="GK274" s="74"/>
      <c r="GL274" s="74"/>
      <c r="GM274" s="74"/>
      <c r="GN274" s="74"/>
      <c r="GO274" s="74"/>
      <c r="GP274" s="74"/>
      <c r="GQ274" s="74"/>
      <c r="GR274" s="74"/>
      <c r="GS274" s="74"/>
      <c r="GT274" s="74"/>
      <c r="GU274" s="74"/>
      <c r="GV274" s="74"/>
      <c r="GW274" s="74"/>
      <c r="GX274" s="74"/>
      <c r="GY274" s="74"/>
      <c r="GZ274" s="74"/>
      <c r="HA274" s="74"/>
      <c r="HB274" s="74"/>
      <c r="HC274" s="74"/>
      <c r="HD274" s="74"/>
      <c r="HE274" s="74"/>
      <c r="HF274" s="74"/>
      <c r="HG274" s="74"/>
      <c r="HH274" s="74"/>
      <c r="HI274" s="74"/>
      <c r="HJ274" s="74"/>
      <c r="HK274" s="74"/>
      <c r="HL274" s="74"/>
      <c r="HM274" s="74"/>
      <c r="HN274" s="74"/>
      <c r="HO274" s="74"/>
      <c r="HP274" s="74"/>
      <c r="HQ274" s="74"/>
      <c r="HR274" s="74"/>
      <c r="HS274" s="74"/>
      <c r="HT274" s="74"/>
      <c r="HU274" s="74"/>
      <c r="HV274" s="74"/>
      <c r="HW274" s="74"/>
      <c r="HX274" s="74"/>
      <c r="HY274" s="74"/>
      <c r="HZ274" s="74"/>
      <c r="IA274" s="74"/>
      <c r="IB274" s="74"/>
      <c r="IC274" s="74"/>
      <c r="ID274" s="74"/>
      <c r="IE274" s="74"/>
      <c r="IF274" s="74"/>
      <c r="IG274" s="74"/>
      <c r="IH274" s="74"/>
      <c r="II274" s="74"/>
      <c r="IJ274" s="74"/>
      <c r="IK274" s="74"/>
      <c r="IL274" s="74"/>
      <c r="IM274" s="74"/>
      <c r="IN274" s="74"/>
      <c r="IO274" s="74"/>
      <c r="IP274" s="74"/>
      <c r="IQ274" s="74"/>
      <c r="IR274" s="74"/>
      <c r="IS274" s="74"/>
      <c r="IT274" s="74"/>
      <c r="IU274" s="74"/>
      <c r="IV274" s="74"/>
      <c r="IW274" s="74"/>
      <c r="IX274" s="74"/>
      <c r="IY274" s="74"/>
      <c r="IZ274" s="74"/>
      <c r="JA274" s="74"/>
      <c r="JB274" s="74"/>
      <c r="JC274" s="74"/>
      <c r="JD274" s="74"/>
      <c r="JE274" s="74"/>
      <c r="JF274" s="74"/>
      <c r="JG274" s="74"/>
      <c r="JH274" s="74"/>
      <c r="JI274" s="74"/>
      <c r="JJ274" s="74"/>
      <c r="JK274" s="74"/>
      <c r="JL274" s="74"/>
      <c r="JM274" s="74"/>
      <c r="JN274" s="74"/>
      <c r="JO274" s="74"/>
      <c r="JP274" s="74"/>
      <c r="JQ274" s="74"/>
      <c r="JR274" s="74"/>
      <c r="JS274" s="74"/>
      <c r="JT274" s="74"/>
      <c r="JU274" s="74"/>
      <c r="JV274" s="74"/>
      <c r="JW274" s="74"/>
      <c r="JX274" s="74"/>
      <c r="JY274" s="74"/>
      <c r="JZ274" s="74"/>
      <c r="KA274" s="74"/>
      <c r="KB274" s="74"/>
      <c r="KC274" s="74"/>
      <c r="KD274" s="74"/>
      <c r="KE274" s="74"/>
      <c r="KF274" s="74"/>
      <c r="KG274" s="74"/>
      <c r="KH274" s="74"/>
      <c r="KI274" s="74"/>
      <c r="KJ274" s="74"/>
      <c r="KK274" s="74"/>
      <c r="KL274" s="74"/>
      <c r="KM274" s="74"/>
      <c r="KN274" s="74"/>
      <c r="KO274" s="74"/>
      <c r="KP274" s="74"/>
      <c r="KQ274" s="74"/>
      <c r="KR274" s="74"/>
      <c r="KS274" s="74"/>
      <c r="KT274" s="74"/>
      <c r="KU274" s="74"/>
      <c r="KV274" s="74"/>
      <c r="KW274" s="74"/>
      <c r="KX274" s="74"/>
      <c r="KY274" s="74"/>
      <c r="KZ274" s="74"/>
      <c r="LA274" s="74"/>
      <c r="LB274" s="74"/>
      <c r="LC274" s="74"/>
      <c r="LD274" s="74"/>
      <c r="LE274" s="74"/>
      <c r="LF274" s="74"/>
      <c r="LG274" s="74"/>
      <c r="LH274" s="74"/>
      <c r="LI274" s="74"/>
      <c r="LJ274" s="74"/>
      <c r="LK274" s="74"/>
      <c r="LL274" s="74"/>
      <c r="LM274" s="74"/>
      <c r="LN274" s="74"/>
      <c r="LO274" s="74"/>
      <c r="LP274" s="74"/>
      <c r="LQ274" s="74"/>
      <c r="LR274" s="74"/>
      <c r="LS274" s="74"/>
      <c r="LT274" s="74"/>
      <c r="LU274" s="74"/>
      <c r="LV274" s="74"/>
      <c r="LW274" s="74"/>
      <c r="LX274" s="74"/>
      <c r="LY274" s="74"/>
      <c r="LZ274" s="74"/>
      <c r="MA274" s="74"/>
      <c r="MB274" s="74"/>
      <c r="MC274" s="74"/>
      <c r="MD274" s="74"/>
      <c r="ME274" s="74"/>
      <c r="MF274" s="74"/>
      <c r="MG274" s="74"/>
      <c r="MH274" s="74"/>
      <c r="MI274" s="74"/>
      <c r="MJ274" s="74"/>
      <c r="MK274" s="74"/>
      <c r="ML274" s="74"/>
      <c r="MM274" s="74"/>
      <c r="MN274" s="74"/>
      <c r="MO274" s="74"/>
      <c r="MP274" s="74"/>
      <c r="MQ274" s="74"/>
      <c r="MR274" s="74"/>
      <c r="MS274" s="74"/>
      <c r="MT274" s="74"/>
      <c r="MU274" s="74"/>
      <c r="MV274" s="74"/>
      <c r="MW274" s="74"/>
      <c r="MX274" s="74"/>
      <c r="MY274" s="74"/>
      <c r="MZ274" s="74"/>
      <c r="NA274" s="74"/>
      <c r="NB274" s="74"/>
      <c r="NC274" s="74"/>
      <c r="ND274" s="74"/>
      <c r="NE274" s="74"/>
      <c r="NF274" s="74"/>
      <c r="NG274" s="74"/>
      <c r="NH274" s="74"/>
      <c r="NI274" s="74"/>
      <c r="NJ274" s="74"/>
      <c r="NK274" s="74"/>
      <c r="NL274" s="74"/>
      <c r="NM274" s="74"/>
      <c r="NN274" s="74"/>
      <c r="NO274" s="74"/>
      <c r="NP274" s="74"/>
      <c r="NQ274" s="74"/>
      <c r="NR274" s="74"/>
      <c r="NS274" s="74"/>
      <c r="NT274" s="74"/>
      <c r="NU274" s="74"/>
      <c r="NV274" s="74"/>
      <c r="NW274" s="74"/>
      <c r="NX274" s="74"/>
      <c r="NY274" s="74"/>
      <c r="NZ274" s="74"/>
      <c r="OA274" s="74"/>
      <c r="OB274" s="74"/>
      <c r="OC274" s="74"/>
      <c r="OD274" s="74"/>
      <c r="OE274" s="74"/>
      <c r="OF274" s="74"/>
      <c r="OG274" s="74"/>
      <c r="OH274" s="74"/>
      <c r="OI274" s="74"/>
      <c r="OJ274" s="74"/>
      <c r="OK274" s="74"/>
      <c r="OL274" s="74"/>
      <c r="OM274" s="74"/>
      <c r="ON274" s="74"/>
      <c r="OO274" s="74"/>
      <c r="OP274" s="74"/>
      <c r="OQ274" s="74"/>
      <c r="OR274" s="74"/>
      <c r="OS274" s="74"/>
      <c r="OT274" s="74"/>
      <c r="OU274" s="74"/>
      <c r="OV274" s="74"/>
      <c r="OW274" s="74"/>
      <c r="OX274" s="74"/>
      <c r="OY274" s="74"/>
      <c r="OZ274" s="74"/>
      <c r="PA274" s="74"/>
      <c r="PB274" s="74"/>
      <c r="PC274" s="74"/>
      <c r="PD274" s="74"/>
      <c r="PE274" s="74"/>
      <c r="PF274" s="74"/>
      <c r="PG274" s="74"/>
      <c r="PH274" s="74"/>
      <c r="PI274" s="74"/>
      <c r="PJ274" s="74"/>
      <c r="PK274" s="74"/>
      <c r="PL274" s="74"/>
      <c r="PM274" s="74"/>
      <c r="PN274" s="74"/>
      <c r="PO274" s="74"/>
      <c r="PP274" s="74"/>
      <c r="PQ274" s="74"/>
      <c r="PR274" s="74"/>
      <c r="PS274" s="74"/>
      <c r="PT274" s="74"/>
      <c r="PU274" s="74"/>
      <c r="PV274" s="74"/>
      <c r="PW274" s="74"/>
      <c r="PX274" s="74"/>
      <c r="PY274" s="74"/>
      <c r="PZ274" s="74"/>
      <c r="QA274" s="74"/>
      <c r="QB274" s="74"/>
      <c r="QC274" s="74"/>
      <c r="QD274" s="74"/>
      <c r="QE274" s="74"/>
      <c r="QF274" s="74"/>
      <c r="QG274" s="74"/>
      <c r="QH274" s="74"/>
      <c r="QI274" s="74"/>
      <c r="QJ274" s="74"/>
      <c r="QK274" s="74"/>
      <c r="QL274" s="74"/>
      <c r="QM274" s="74"/>
      <c r="QN274" s="74"/>
      <c r="QO274" s="74"/>
      <c r="QP274" s="74"/>
      <c r="QQ274" s="74"/>
      <c r="QR274" s="74"/>
      <c r="QS274" s="74"/>
      <c r="QT274" s="74"/>
      <c r="QU274" s="74"/>
      <c r="QV274" s="74"/>
      <c r="QW274" s="74"/>
      <c r="QX274" s="74"/>
      <c r="QY274" s="74"/>
      <c r="QZ274" s="74"/>
      <c r="RA274" s="74"/>
      <c r="RB274" s="74"/>
      <c r="RC274" s="74"/>
      <c r="RD274" s="74"/>
      <c r="RE274" s="74"/>
      <c r="RF274" s="74"/>
      <c r="RG274" s="74"/>
      <c r="RH274" s="74"/>
      <c r="RI274" s="74"/>
      <c r="RJ274" s="74"/>
      <c r="RK274" s="74"/>
      <c r="RL274" s="74"/>
      <c r="RM274" s="74"/>
      <c r="RN274" s="74"/>
      <c r="RO274" s="74"/>
      <c r="RP274" s="74"/>
      <c r="RQ274" s="74"/>
      <c r="RR274" s="74"/>
      <c r="RS274" s="74"/>
      <c r="RT274" s="74"/>
      <c r="RU274" s="74"/>
      <c r="RV274" s="74"/>
      <c r="RW274" s="74"/>
      <c r="RX274" s="74"/>
      <c r="RY274" s="74"/>
      <c r="RZ274" s="74"/>
      <c r="SA274" s="74"/>
      <c r="SB274" s="74"/>
      <c r="SC274" s="74"/>
      <c r="SD274" s="74"/>
      <c r="SE274" s="74"/>
      <c r="SF274" s="74"/>
      <c r="SG274" s="74"/>
      <c r="SH274" s="74"/>
      <c r="SI274" s="74"/>
      <c r="SJ274" s="74"/>
      <c r="SK274" s="74"/>
      <c r="SL274" s="74"/>
      <c r="SM274" s="74"/>
      <c r="SN274" s="74"/>
      <c r="SO274" s="74"/>
      <c r="SP274" s="74"/>
      <c r="SQ274" s="74"/>
      <c r="SR274" s="74"/>
      <c r="SS274" s="74"/>
      <c r="ST274" s="74"/>
      <c r="SU274" s="74"/>
      <c r="SV274" s="74"/>
      <c r="SW274" s="74"/>
      <c r="SX274" s="74"/>
      <c r="SY274" s="74"/>
      <c r="SZ274" s="74"/>
      <c r="TA274" s="74"/>
      <c r="TB274" s="74"/>
      <c r="TC274" s="74"/>
      <c r="TD274" s="74"/>
      <c r="TE274" s="74"/>
      <c r="TF274" s="74"/>
      <c r="TG274" s="74"/>
      <c r="TH274" s="74"/>
      <c r="TI274" s="74"/>
      <c r="TJ274" s="74"/>
      <c r="TK274" s="74"/>
      <c r="TL274" s="74"/>
      <c r="TM274" s="74"/>
      <c r="TN274" s="74"/>
      <c r="TO274" s="74"/>
      <c r="TP274" s="74"/>
      <c r="TQ274" s="74"/>
      <c r="TR274" s="74"/>
      <c r="TS274" s="74"/>
      <c r="TT274" s="74"/>
      <c r="TU274" s="74"/>
      <c r="TV274" s="74"/>
      <c r="TW274" s="74"/>
      <c r="TX274" s="74"/>
      <c r="TY274" s="74"/>
      <c r="TZ274" s="74"/>
      <c r="UA274" s="74"/>
      <c r="UB274" s="74"/>
      <c r="UC274" s="74"/>
      <c r="UD274" s="74"/>
      <c r="UE274" s="74"/>
      <c r="UF274" s="74"/>
      <c r="UG274" s="74"/>
      <c r="UH274" s="74"/>
      <c r="UI274" s="74"/>
      <c r="UJ274" s="74"/>
      <c r="UK274" s="74"/>
      <c r="UL274" s="74"/>
      <c r="UM274" s="74"/>
      <c r="UN274" s="74"/>
      <c r="UO274" s="74"/>
      <c r="UP274" s="74"/>
      <c r="UQ274" s="74"/>
      <c r="UR274" s="74"/>
      <c r="US274" s="74"/>
      <c r="UT274" s="74"/>
      <c r="UU274" s="74"/>
      <c r="UV274" s="74"/>
      <c r="UW274" s="74"/>
      <c r="UX274" s="74"/>
      <c r="UY274" s="74"/>
      <c r="UZ274" s="74"/>
      <c r="VA274" s="74"/>
      <c r="VB274" s="74"/>
      <c r="VC274" s="74"/>
      <c r="VD274" s="74"/>
      <c r="VE274" s="74"/>
      <c r="VF274" s="74"/>
    </row>
    <row r="275" spans="1:578" s="41" customFormat="1" ht="43.5" customHeight="1" x14ac:dyDescent="0.2">
      <c r="A275" s="39" t="s">
        <v>278</v>
      </c>
      <c r="B275" s="90" t="str">
        <f>'дод 3'!A16</f>
        <v>0160</v>
      </c>
      <c r="C275" s="90" t="str">
        <f>'дод 3'!B16</f>
        <v>0111</v>
      </c>
      <c r="D275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75" s="65">
        <v>4313300</v>
      </c>
      <c r="F275" s="65">
        <v>3340172</v>
      </c>
      <c r="G275" s="65">
        <f>50452+822</f>
        <v>51274</v>
      </c>
      <c r="H275" s="65">
        <v>1130271.32</v>
      </c>
      <c r="I275" s="65">
        <v>890911.88</v>
      </c>
      <c r="J275" s="65">
        <v>15559.83</v>
      </c>
      <c r="K275" s="130">
        <f t="shared" si="94"/>
        <v>26.204328936081424</v>
      </c>
      <c r="L275" s="65">
        <f t="shared" si="73"/>
        <v>15000</v>
      </c>
      <c r="M275" s="65">
        <v>15000</v>
      </c>
      <c r="N275" s="65"/>
      <c r="O275" s="65"/>
      <c r="P275" s="65"/>
      <c r="Q275" s="65">
        <f>15000</f>
        <v>15000</v>
      </c>
      <c r="R275" s="65">
        <f t="shared" si="74"/>
        <v>0</v>
      </c>
      <c r="S275" s="65"/>
      <c r="T275" s="65"/>
      <c r="U275" s="65"/>
      <c r="V275" s="65"/>
      <c r="W275" s="65"/>
      <c r="X275" s="132">
        <f t="shared" si="91"/>
        <v>0</v>
      </c>
      <c r="Y275" s="65">
        <f t="shared" si="92"/>
        <v>1130271.32</v>
      </c>
      <c r="Z275" s="202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  <c r="IW275" s="47"/>
      <c r="IX275" s="47"/>
      <c r="IY275" s="47"/>
      <c r="IZ275" s="47"/>
      <c r="JA275" s="47"/>
      <c r="JB275" s="47"/>
      <c r="JC275" s="47"/>
      <c r="JD275" s="47"/>
      <c r="JE275" s="47"/>
      <c r="JF275" s="47"/>
      <c r="JG275" s="47"/>
      <c r="JH275" s="47"/>
      <c r="JI275" s="47"/>
      <c r="JJ275" s="47"/>
      <c r="JK275" s="47"/>
      <c r="JL275" s="47"/>
      <c r="JM275" s="47"/>
      <c r="JN275" s="47"/>
      <c r="JO275" s="47"/>
      <c r="JP275" s="47"/>
      <c r="JQ275" s="47"/>
      <c r="JR275" s="47"/>
      <c r="JS275" s="47"/>
      <c r="JT275" s="47"/>
      <c r="JU275" s="47"/>
      <c r="JV275" s="47"/>
      <c r="JW275" s="47"/>
      <c r="JX275" s="47"/>
      <c r="JY275" s="47"/>
      <c r="JZ275" s="47"/>
      <c r="KA275" s="47"/>
      <c r="KB275" s="47"/>
      <c r="KC275" s="47"/>
      <c r="KD275" s="47"/>
      <c r="KE275" s="47"/>
      <c r="KF275" s="47"/>
      <c r="KG275" s="47"/>
      <c r="KH275" s="47"/>
      <c r="KI275" s="47"/>
      <c r="KJ275" s="47"/>
      <c r="KK275" s="47"/>
      <c r="KL275" s="47"/>
      <c r="KM275" s="47"/>
      <c r="KN275" s="47"/>
      <c r="KO275" s="47"/>
      <c r="KP275" s="47"/>
      <c r="KQ275" s="47"/>
      <c r="KR275" s="47"/>
      <c r="KS275" s="47"/>
      <c r="KT275" s="47"/>
      <c r="KU275" s="47"/>
      <c r="KV275" s="47"/>
      <c r="KW275" s="47"/>
      <c r="KX275" s="47"/>
      <c r="KY275" s="47"/>
      <c r="KZ275" s="47"/>
      <c r="LA275" s="47"/>
      <c r="LB275" s="47"/>
      <c r="LC275" s="47"/>
      <c r="LD275" s="47"/>
      <c r="LE275" s="47"/>
      <c r="LF275" s="47"/>
      <c r="LG275" s="47"/>
      <c r="LH275" s="47"/>
      <c r="LI275" s="47"/>
      <c r="LJ275" s="47"/>
      <c r="LK275" s="47"/>
      <c r="LL275" s="47"/>
      <c r="LM275" s="47"/>
      <c r="LN275" s="47"/>
      <c r="LO275" s="47"/>
      <c r="LP275" s="47"/>
      <c r="LQ275" s="47"/>
      <c r="LR275" s="47"/>
      <c r="LS275" s="47"/>
      <c r="LT275" s="47"/>
      <c r="LU275" s="47"/>
      <c r="LV275" s="47"/>
      <c r="LW275" s="47"/>
      <c r="LX275" s="47"/>
      <c r="LY275" s="47"/>
      <c r="LZ275" s="47"/>
      <c r="MA275" s="47"/>
      <c r="MB275" s="47"/>
      <c r="MC275" s="47"/>
      <c r="MD275" s="47"/>
      <c r="ME275" s="47"/>
      <c r="MF275" s="47"/>
      <c r="MG275" s="47"/>
      <c r="MH275" s="47"/>
      <c r="MI275" s="47"/>
      <c r="MJ275" s="47"/>
      <c r="MK275" s="47"/>
      <c r="ML275" s="47"/>
      <c r="MM275" s="47"/>
      <c r="MN275" s="47"/>
      <c r="MO275" s="47"/>
      <c r="MP275" s="47"/>
      <c r="MQ275" s="47"/>
      <c r="MR275" s="47"/>
      <c r="MS275" s="47"/>
      <c r="MT275" s="47"/>
      <c r="MU275" s="47"/>
      <c r="MV275" s="47"/>
      <c r="MW275" s="47"/>
      <c r="MX275" s="47"/>
      <c r="MY275" s="47"/>
      <c r="MZ275" s="47"/>
      <c r="NA275" s="47"/>
      <c r="NB275" s="47"/>
      <c r="NC275" s="47"/>
      <c r="ND275" s="47"/>
      <c r="NE275" s="47"/>
      <c r="NF275" s="47"/>
      <c r="NG275" s="47"/>
      <c r="NH275" s="47"/>
      <c r="NI275" s="47"/>
      <c r="NJ275" s="47"/>
      <c r="NK275" s="47"/>
      <c r="NL275" s="47"/>
      <c r="NM275" s="47"/>
      <c r="NN275" s="47"/>
      <c r="NO275" s="47"/>
      <c r="NP275" s="47"/>
      <c r="NQ275" s="47"/>
      <c r="NR275" s="47"/>
      <c r="NS275" s="47"/>
      <c r="NT275" s="47"/>
      <c r="NU275" s="47"/>
      <c r="NV275" s="47"/>
      <c r="NW275" s="47"/>
      <c r="NX275" s="47"/>
      <c r="NY275" s="47"/>
      <c r="NZ275" s="47"/>
      <c r="OA275" s="47"/>
      <c r="OB275" s="47"/>
      <c r="OC275" s="47"/>
      <c r="OD275" s="47"/>
      <c r="OE275" s="47"/>
      <c r="OF275" s="47"/>
      <c r="OG275" s="47"/>
      <c r="OH275" s="47"/>
      <c r="OI275" s="47"/>
      <c r="OJ275" s="47"/>
      <c r="OK275" s="47"/>
      <c r="OL275" s="47"/>
      <c r="OM275" s="47"/>
      <c r="ON275" s="47"/>
      <c r="OO275" s="47"/>
      <c r="OP275" s="47"/>
      <c r="OQ275" s="47"/>
      <c r="OR275" s="47"/>
      <c r="OS275" s="47"/>
      <c r="OT275" s="47"/>
      <c r="OU275" s="47"/>
      <c r="OV275" s="47"/>
      <c r="OW275" s="47"/>
      <c r="OX275" s="47"/>
      <c r="OY275" s="47"/>
      <c r="OZ275" s="47"/>
      <c r="PA275" s="47"/>
      <c r="PB275" s="47"/>
      <c r="PC275" s="47"/>
      <c r="PD275" s="47"/>
      <c r="PE275" s="47"/>
      <c r="PF275" s="47"/>
      <c r="PG275" s="47"/>
      <c r="PH275" s="47"/>
      <c r="PI275" s="47"/>
      <c r="PJ275" s="47"/>
      <c r="PK275" s="47"/>
      <c r="PL275" s="47"/>
      <c r="PM275" s="47"/>
      <c r="PN275" s="47"/>
      <c r="PO275" s="47"/>
      <c r="PP275" s="47"/>
      <c r="PQ275" s="47"/>
      <c r="PR275" s="47"/>
      <c r="PS275" s="47"/>
      <c r="PT275" s="47"/>
      <c r="PU275" s="47"/>
      <c r="PV275" s="47"/>
      <c r="PW275" s="47"/>
      <c r="PX275" s="47"/>
      <c r="PY275" s="47"/>
      <c r="PZ275" s="47"/>
      <c r="QA275" s="47"/>
      <c r="QB275" s="47"/>
      <c r="QC275" s="47"/>
      <c r="QD275" s="47"/>
      <c r="QE275" s="47"/>
      <c r="QF275" s="47"/>
      <c r="QG275" s="47"/>
      <c r="QH275" s="47"/>
      <c r="QI275" s="47"/>
      <c r="QJ275" s="47"/>
      <c r="QK275" s="47"/>
      <c r="QL275" s="47"/>
      <c r="QM275" s="47"/>
      <c r="QN275" s="47"/>
      <c r="QO275" s="47"/>
      <c r="QP275" s="47"/>
      <c r="QQ275" s="47"/>
      <c r="QR275" s="47"/>
      <c r="QS275" s="47"/>
      <c r="QT275" s="47"/>
      <c r="QU275" s="47"/>
      <c r="QV275" s="47"/>
      <c r="QW275" s="47"/>
      <c r="QX275" s="47"/>
      <c r="QY275" s="47"/>
      <c r="QZ275" s="47"/>
      <c r="RA275" s="47"/>
      <c r="RB275" s="47"/>
      <c r="RC275" s="47"/>
      <c r="RD275" s="47"/>
      <c r="RE275" s="47"/>
      <c r="RF275" s="47"/>
      <c r="RG275" s="47"/>
      <c r="RH275" s="47"/>
      <c r="RI275" s="47"/>
      <c r="RJ275" s="47"/>
      <c r="RK275" s="47"/>
      <c r="RL275" s="47"/>
      <c r="RM275" s="47"/>
      <c r="RN275" s="47"/>
      <c r="RO275" s="47"/>
      <c r="RP275" s="47"/>
      <c r="RQ275" s="47"/>
      <c r="RR275" s="47"/>
      <c r="RS275" s="47"/>
      <c r="RT275" s="47"/>
      <c r="RU275" s="47"/>
      <c r="RV275" s="47"/>
      <c r="RW275" s="47"/>
      <c r="RX275" s="47"/>
      <c r="RY275" s="47"/>
      <c r="RZ275" s="47"/>
      <c r="SA275" s="47"/>
      <c r="SB275" s="47"/>
      <c r="SC275" s="47"/>
      <c r="SD275" s="47"/>
      <c r="SE275" s="47"/>
      <c r="SF275" s="47"/>
      <c r="SG275" s="47"/>
      <c r="SH275" s="47"/>
      <c r="SI275" s="47"/>
      <c r="SJ275" s="47"/>
      <c r="SK275" s="47"/>
      <c r="SL275" s="47"/>
      <c r="SM275" s="47"/>
      <c r="SN275" s="47"/>
      <c r="SO275" s="47"/>
      <c r="SP275" s="47"/>
      <c r="SQ275" s="47"/>
      <c r="SR275" s="47"/>
      <c r="SS275" s="47"/>
      <c r="ST275" s="47"/>
      <c r="SU275" s="47"/>
      <c r="SV275" s="47"/>
      <c r="SW275" s="47"/>
      <c r="SX275" s="47"/>
      <c r="SY275" s="47"/>
      <c r="SZ275" s="47"/>
      <c r="TA275" s="47"/>
      <c r="TB275" s="47"/>
      <c r="TC275" s="47"/>
      <c r="TD275" s="47"/>
      <c r="TE275" s="47"/>
      <c r="TF275" s="47"/>
      <c r="TG275" s="47"/>
      <c r="TH275" s="47"/>
      <c r="TI275" s="47"/>
      <c r="TJ275" s="47"/>
      <c r="TK275" s="47"/>
      <c r="TL275" s="47"/>
      <c r="TM275" s="47"/>
      <c r="TN275" s="47"/>
      <c r="TO275" s="47"/>
      <c r="TP275" s="47"/>
      <c r="TQ275" s="47"/>
      <c r="TR275" s="47"/>
      <c r="TS275" s="47"/>
      <c r="TT275" s="47"/>
      <c r="TU275" s="47"/>
      <c r="TV275" s="47"/>
      <c r="TW275" s="47"/>
      <c r="TX275" s="47"/>
      <c r="TY275" s="47"/>
      <c r="TZ275" s="47"/>
      <c r="UA275" s="47"/>
      <c r="UB275" s="47"/>
      <c r="UC275" s="47"/>
      <c r="UD275" s="47"/>
      <c r="UE275" s="47"/>
      <c r="UF275" s="47"/>
      <c r="UG275" s="47"/>
      <c r="UH275" s="47"/>
      <c r="UI275" s="47"/>
      <c r="UJ275" s="47"/>
      <c r="UK275" s="47"/>
      <c r="UL275" s="47"/>
      <c r="UM275" s="47"/>
      <c r="UN275" s="47"/>
      <c r="UO275" s="47"/>
      <c r="UP275" s="47"/>
      <c r="UQ275" s="47"/>
      <c r="UR275" s="47"/>
      <c r="US275" s="47"/>
      <c r="UT275" s="47"/>
      <c r="UU275" s="47"/>
      <c r="UV275" s="47"/>
      <c r="UW275" s="47"/>
      <c r="UX275" s="47"/>
      <c r="UY275" s="47"/>
      <c r="UZ275" s="47"/>
      <c r="VA275" s="47"/>
      <c r="VB275" s="47"/>
      <c r="VC275" s="47"/>
      <c r="VD275" s="47"/>
      <c r="VE275" s="47"/>
      <c r="VF275" s="47"/>
    </row>
    <row r="276" spans="1:578" s="57" customFormat="1" ht="28.5" x14ac:dyDescent="0.2">
      <c r="A276" s="55" t="s">
        <v>280</v>
      </c>
      <c r="B276" s="99"/>
      <c r="C276" s="99"/>
      <c r="D276" s="56" t="s">
        <v>62</v>
      </c>
      <c r="E276" s="79">
        <v>21995000</v>
      </c>
      <c r="F276" s="79">
        <f t="shared" ref="F276:W276" si="95">F277</f>
        <v>15454866</v>
      </c>
      <c r="G276" s="79">
        <f t="shared" si="95"/>
        <v>239800</v>
      </c>
      <c r="H276" s="79">
        <f t="shared" si="95"/>
        <v>4403284.93</v>
      </c>
      <c r="I276" s="79">
        <f t="shared" si="95"/>
        <v>3394146.44</v>
      </c>
      <c r="J276" s="79">
        <f t="shared" si="95"/>
        <v>67007.289999999994</v>
      </c>
      <c r="K276" s="129">
        <f t="shared" si="94"/>
        <v>20.019481382132302</v>
      </c>
      <c r="L276" s="79">
        <f t="shared" si="95"/>
        <v>12977743.33</v>
      </c>
      <c r="M276" s="79">
        <f t="shared" si="95"/>
        <v>12963400</v>
      </c>
      <c r="N276" s="79">
        <f t="shared" si="95"/>
        <v>14343.33</v>
      </c>
      <c r="O276" s="79">
        <f t="shared" si="95"/>
        <v>0</v>
      </c>
      <c r="P276" s="79">
        <f t="shared" si="95"/>
        <v>0</v>
      </c>
      <c r="Q276" s="79">
        <f t="shared" si="95"/>
        <v>12963400</v>
      </c>
      <c r="R276" s="79">
        <f t="shared" si="95"/>
        <v>12888400</v>
      </c>
      <c r="S276" s="79">
        <f t="shared" si="95"/>
        <v>12888400</v>
      </c>
      <c r="T276" s="79">
        <f t="shared" si="95"/>
        <v>0</v>
      </c>
      <c r="U276" s="79">
        <f t="shared" si="95"/>
        <v>0</v>
      </c>
      <c r="V276" s="79">
        <f t="shared" si="95"/>
        <v>0</v>
      </c>
      <c r="W276" s="79">
        <f t="shared" si="95"/>
        <v>12888400</v>
      </c>
      <c r="X276" s="131">
        <f t="shared" si="91"/>
        <v>99.311564979148031</v>
      </c>
      <c r="Y276" s="79">
        <f t="shared" si="92"/>
        <v>17291684.93</v>
      </c>
      <c r="Z276" s="202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  <c r="GN276" s="73"/>
      <c r="GO276" s="73"/>
      <c r="GP276" s="73"/>
      <c r="GQ276" s="73"/>
      <c r="GR276" s="73"/>
      <c r="GS276" s="73"/>
      <c r="GT276" s="73"/>
      <c r="GU276" s="73"/>
      <c r="GV276" s="73"/>
      <c r="GW276" s="73"/>
      <c r="GX276" s="73"/>
      <c r="GY276" s="73"/>
      <c r="GZ276" s="73"/>
      <c r="HA276" s="73"/>
      <c r="HB276" s="73"/>
      <c r="HC276" s="73"/>
      <c r="HD276" s="73"/>
      <c r="HE276" s="73"/>
      <c r="HF276" s="73"/>
      <c r="HG276" s="73"/>
      <c r="HH276" s="73"/>
      <c r="HI276" s="73"/>
      <c r="HJ276" s="73"/>
      <c r="HK276" s="73"/>
      <c r="HL276" s="73"/>
      <c r="HM276" s="73"/>
      <c r="HN276" s="73"/>
      <c r="HO276" s="73"/>
      <c r="HP276" s="73"/>
      <c r="HQ276" s="73"/>
      <c r="HR276" s="73"/>
      <c r="HS276" s="73"/>
      <c r="HT276" s="73"/>
      <c r="HU276" s="73"/>
      <c r="HV276" s="73"/>
      <c r="HW276" s="73"/>
      <c r="HX276" s="73"/>
      <c r="HY276" s="73"/>
      <c r="HZ276" s="73"/>
      <c r="IA276" s="73"/>
      <c r="IB276" s="73"/>
      <c r="IC276" s="73"/>
      <c r="ID276" s="73"/>
      <c r="IE276" s="73"/>
      <c r="IF276" s="73"/>
      <c r="IG276" s="73"/>
      <c r="IH276" s="73"/>
      <c r="II276" s="73"/>
      <c r="IJ276" s="73"/>
      <c r="IK276" s="73"/>
      <c r="IL276" s="73"/>
      <c r="IM276" s="73"/>
      <c r="IN276" s="73"/>
      <c r="IO276" s="73"/>
      <c r="IP276" s="73"/>
      <c r="IQ276" s="73"/>
      <c r="IR276" s="73"/>
      <c r="IS276" s="73"/>
      <c r="IT276" s="73"/>
      <c r="IU276" s="73"/>
      <c r="IV276" s="73"/>
      <c r="IW276" s="73"/>
      <c r="IX276" s="73"/>
      <c r="IY276" s="73"/>
      <c r="IZ276" s="73"/>
      <c r="JA276" s="73"/>
      <c r="JB276" s="73"/>
      <c r="JC276" s="73"/>
      <c r="JD276" s="73"/>
      <c r="JE276" s="73"/>
      <c r="JF276" s="73"/>
      <c r="JG276" s="73"/>
      <c r="JH276" s="73"/>
      <c r="JI276" s="73"/>
      <c r="JJ276" s="73"/>
      <c r="JK276" s="73"/>
      <c r="JL276" s="73"/>
      <c r="JM276" s="73"/>
      <c r="JN276" s="73"/>
      <c r="JO276" s="73"/>
      <c r="JP276" s="73"/>
      <c r="JQ276" s="73"/>
      <c r="JR276" s="73"/>
      <c r="JS276" s="73"/>
      <c r="JT276" s="73"/>
      <c r="JU276" s="73"/>
      <c r="JV276" s="73"/>
      <c r="JW276" s="73"/>
      <c r="JX276" s="73"/>
      <c r="JY276" s="73"/>
      <c r="JZ276" s="73"/>
      <c r="KA276" s="73"/>
      <c r="KB276" s="73"/>
      <c r="KC276" s="73"/>
      <c r="KD276" s="73"/>
      <c r="KE276" s="73"/>
      <c r="KF276" s="73"/>
      <c r="KG276" s="73"/>
      <c r="KH276" s="73"/>
      <c r="KI276" s="73"/>
      <c r="KJ276" s="73"/>
      <c r="KK276" s="73"/>
      <c r="KL276" s="73"/>
      <c r="KM276" s="73"/>
      <c r="KN276" s="73"/>
      <c r="KO276" s="73"/>
      <c r="KP276" s="73"/>
      <c r="KQ276" s="73"/>
      <c r="KR276" s="73"/>
      <c r="KS276" s="73"/>
      <c r="KT276" s="73"/>
      <c r="KU276" s="73"/>
      <c r="KV276" s="73"/>
      <c r="KW276" s="73"/>
      <c r="KX276" s="73"/>
      <c r="KY276" s="73"/>
      <c r="KZ276" s="73"/>
      <c r="LA276" s="73"/>
      <c r="LB276" s="73"/>
      <c r="LC276" s="73"/>
      <c r="LD276" s="73"/>
      <c r="LE276" s="73"/>
      <c r="LF276" s="73"/>
      <c r="LG276" s="73"/>
      <c r="LH276" s="73"/>
      <c r="LI276" s="73"/>
      <c r="LJ276" s="73"/>
      <c r="LK276" s="73"/>
      <c r="LL276" s="73"/>
      <c r="LM276" s="73"/>
      <c r="LN276" s="73"/>
      <c r="LO276" s="73"/>
      <c r="LP276" s="73"/>
      <c r="LQ276" s="73"/>
      <c r="LR276" s="73"/>
      <c r="LS276" s="73"/>
      <c r="LT276" s="73"/>
      <c r="LU276" s="73"/>
      <c r="LV276" s="73"/>
      <c r="LW276" s="73"/>
      <c r="LX276" s="73"/>
      <c r="LY276" s="73"/>
      <c r="LZ276" s="73"/>
      <c r="MA276" s="73"/>
      <c r="MB276" s="73"/>
      <c r="MC276" s="73"/>
      <c r="MD276" s="73"/>
      <c r="ME276" s="73"/>
      <c r="MF276" s="73"/>
      <c r="MG276" s="73"/>
      <c r="MH276" s="73"/>
      <c r="MI276" s="73"/>
      <c r="MJ276" s="73"/>
      <c r="MK276" s="73"/>
      <c r="ML276" s="73"/>
      <c r="MM276" s="73"/>
      <c r="MN276" s="73"/>
      <c r="MO276" s="73"/>
      <c r="MP276" s="73"/>
      <c r="MQ276" s="73"/>
      <c r="MR276" s="73"/>
      <c r="MS276" s="73"/>
      <c r="MT276" s="73"/>
      <c r="MU276" s="73"/>
      <c r="MV276" s="73"/>
      <c r="MW276" s="73"/>
      <c r="MX276" s="73"/>
      <c r="MY276" s="73"/>
      <c r="MZ276" s="73"/>
      <c r="NA276" s="73"/>
      <c r="NB276" s="73"/>
      <c r="NC276" s="73"/>
      <c r="ND276" s="73"/>
      <c r="NE276" s="73"/>
      <c r="NF276" s="73"/>
      <c r="NG276" s="73"/>
      <c r="NH276" s="73"/>
      <c r="NI276" s="73"/>
      <c r="NJ276" s="73"/>
      <c r="NK276" s="73"/>
      <c r="NL276" s="73"/>
      <c r="NM276" s="73"/>
      <c r="NN276" s="73"/>
      <c r="NO276" s="73"/>
      <c r="NP276" s="73"/>
      <c r="NQ276" s="73"/>
      <c r="NR276" s="73"/>
      <c r="NS276" s="73"/>
      <c r="NT276" s="73"/>
      <c r="NU276" s="73"/>
      <c r="NV276" s="73"/>
      <c r="NW276" s="73"/>
      <c r="NX276" s="73"/>
      <c r="NY276" s="73"/>
      <c r="NZ276" s="73"/>
      <c r="OA276" s="73"/>
      <c r="OB276" s="73"/>
      <c r="OC276" s="73"/>
      <c r="OD276" s="73"/>
      <c r="OE276" s="73"/>
      <c r="OF276" s="73"/>
      <c r="OG276" s="73"/>
      <c r="OH276" s="73"/>
      <c r="OI276" s="73"/>
      <c r="OJ276" s="73"/>
      <c r="OK276" s="73"/>
      <c r="OL276" s="73"/>
      <c r="OM276" s="73"/>
      <c r="ON276" s="73"/>
      <c r="OO276" s="73"/>
      <c r="OP276" s="73"/>
      <c r="OQ276" s="73"/>
      <c r="OR276" s="73"/>
      <c r="OS276" s="73"/>
      <c r="OT276" s="73"/>
      <c r="OU276" s="73"/>
      <c r="OV276" s="73"/>
      <c r="OW276" s="73"/>
      <c r="OX276" s="73"/>
      <c r="OY276" s="73"/>
      <c r="OZ276" s="73"/>
      <c r="PA276" s="73"/>
      <c r="PB276" s="73"/>
      <c r="PC276" s="73"/>
      <c r="PD276" s="73"/>
      <c r="PE276" s="73"/>
      <c r="PF276" s="73"/>
      <c r="PG276" s="73"/>
      <c r="PH276" s="73"/>
      <c r="PI276" s="73"/>
      <c r="PJ276" s="73"/>
      <c r="PK276" s="73"/>
      <c r="PL276" s="73"/>
      <c r="PM276" s="73"/>
      <c r="PN276" s="73"/>
      <c r="PO276" s="73"/>
      <c r="PP276" s="73"/>
      <c r="PQ276" s="73"/>
      <c r="PR276" s="73"/>
      <c r="PS276" s="73"/>
      <c r="PT276" s="73"/>
      <c r="PU276" s="73"/>
      <c r="PV276" s="73"/>
      <c r="PW276" s="73"/>
      <c r="PX276" s="73"/>
      <c r="PY276" s="73"/>
      <c r="PZ276" s="73"/>
      <c r="QA276" s="73"/>
      <c r="QB276" s="73"/>
      <c r="QC276" s="73"/>
      <c r="QD276" s="73"/>
      <c r="QE276" s="73"/>
      <c r="QF276" s="73"/>
      <c r="QG276" s="73"/>
      <c r="QH276" s="73"/>
      <c r="QI276" s="73"/>
      <c r="QJ276" s="73"/>
      <c r="QK276" s="73"/>
      <c r="QL276" s="73"/>
      <c r="QM276" s="73"/>
      <c r="QN276" s="73"/>
      <c r="QO276" s="73"/>
      <c r="QP276" s="73"/>
      <c r="QQ276" s="73"/>
      <c r="QR276" s="73"/>
      <c r="QS276" s="73"/>
      <c r="QT276" s="73"/>
      <c r="QU276" s="73"/>
      <c r="QV276" s="73"/>
      <c r="QW276" s="73"/>
      <c r="QX276" s="73"/>
      <c r="QY276" s="73"/>
      <c r="QZ276" s="73"/>
      <c r="RA276" s="73"/>
      <c r="RB276" s="73"/>
      <c r="RC276" s="73"/>
      <c r="RD276" s="73"/>
      <c r="RE276" s="73"/>
      <c r="RF276" s="73"/>
      <c r="RG276" s="73"/>
      <c r="RH276" s="73"/>
      <c r="RI276" s="73"/>
      <c r="RJ276" s="73"/>
      <c r="RK276" s="73"/>
      <c r="RL276" s="73"/>
      <c r="RM276" s="73"/>
      <c r="RN276" s="73"/>
      <c r="RO276" s="73"/>
      <c r="RP276" s="73"/>
      <c r="RQ276" s="73"/>
      <c r="RR276" s="73"/>
      <c r="RS276" s="73"/>
      <c r="RT276" s="73"/>
      <c r="RU276" s="73"/>
      <c r="RV276" s="73"/>
      <c r="RW276" s="73"/>
      <c r="RX276" s="73"/>
      <c r="RY276" s="73"/>
      <c r="RZ276" s="73"/>
      <c r="SA276" s="73"/>
      <c r="SB276" s="73"/>
      <c r="SC276" s="73"/>
      <c r="SD276" s="73"/>
      <c r="SE276" s="73"/>
      <c r="SF276" s="73"/>
      <c r="SG276" s="73"/>
      <c r="SH276" s="73"/>
      <c r="SI276" s="73"/>
      <c r="SJ276" s="73"/>
      <c r="SK276" s="73"/>
      <c r="SL276" s="73"/>
      <c r="SM276" s="73"/>
      <c r="SN276" s="73"/>
      <c r="SO276" s="73"/>
      <c r="SP276" s="73"/>
      <c r="SQ276" s="73"/>
      <c r="SR276" s="73"/>
      <c r="SS276" s="73"/>
      <c r="ST276" s="73"/>
      <c r="SU276" s="73"/>
      <c r="SV276" s="73"/>
      <c r="SW276" s="73"/>
      <c r="SX276" s="73"/>
      <c r="SY276" s="73"/>
      <c r="SZ276" s="73"/>
      <c r="TA276" s="73"/>
      <c r="TB276" s="73"/>
      <c r="TC276" s="73"/>
      <c r="TD276" s="73"/>
      <c r="TE276" s="73"/>
      <c r="TF276" s="73"/>
      <c r="TG276" s="73"/>
      <c r="TH276" s="73"/>
      <c r="TI276" s="73"/>
      <c r="TJ276" s="73"/>
      <c r="TK276" s="73"/>
      <c r="TL276" s="73"/>
      <c r="TM276" s="73"/>
      <c r="TN276" s="73"/>
      <c r="TO276" s="73"/>
      <c r="TP276" s="73"/>
      <c r="TQ276" s="73"/>
      <c r="TR276" s="73"/>
      <c r="TS276" s="73"/>
      <c r="TT276" s="73"/>
      <c r="TU276" s="73"/>
      <c r="TV276" s="73"/>
      <c r="TW276" s="73"/>
      <c r="TX276" s="73"/>
      <c r="TY276" s="73"/>
      <c r="TZ276" s="73"/>
      <c r="UA276" s="73"/>
      <c r="UB276" s="73"/>
      <c r="UC276" s="73"/>
      <c r="UD276" s="73"/>
      <c r="UE276" s="73"/>
      <c r="UF276" s="73"/>
      <c r="UG276" s="73"/>
      <c r="UH276" s="73"/>
      <c r="UI276" s="73"/>
      <c r="UJ276" s="73"/>
      <c r="UK276" s="73"/>
      <c r="UL276" s="73"/>
      <c r="UM276" s="73"/>
      <c r="UN276" s="73"/>
      <c r="UO276" s="73"/>
      <c r="UP276" s="73"/>
      <c r="UQ276" s="73"/>
      <c r="UR276" s="73"/>
      <c r="US276" s="73"/>
      <c r="UT276" s="73"/>
      <c r="UU276" s="73"/>
      <c r="UV276" s="73"/>
      <c r="UW276" s="73"/>
      <c r="UX276" s="73"/>
      <c r="UY276" s="73"/>
      <c r="UZ276" s="73"/>
      <c r="VA276" s="73"/>
      <c r="VB276" s="73"/>
      <c r="VC276" s="73"/>
      <c r="VD276" s="73"/>
      <c r="VE276" s="73"/>
      <c r="VF276" s="73"/>
    </row>
    <row r="277" spans="1:578" s="75" customFormat="1" ht="30.75" customHeight="1" x14ac:dyDescent="0.2">
      <c r="A277" s="60" t="s">
        <v>281</v>
      </c>
      <c r="B277" s="100"/>
      <c r="C277" s="100"/>
      <c r="D277" s="61" t="s">
        <v>62</v>
      </c>
      <c r="E277" s="78">
        <v>21995000</v>
      </c>
      <c r="F277" s="78">
        <f t="shared" ref="F277:Q277" si="96">F278+F279+F280+F281+F282+F283+F284+F285</f>
        <v>15454866</v>
      </c>
      <c r="G277" s="78">
        <f t="shared" si="96"/>
        <v>239800</v>
      </c>
      <c r="H277" s="78">
        <f>H278+H279+H280+H281+H282+H283+H284+H285</f>
        <v>4403284.93</v>
      </c>
      <c r="I277" s="78">
        <f>I278+I279+I280+I281+I282+I283+I284+I285</f>
        <v>3394146.44</v>
      </c>
      <c r="J277" s="78">
        <f>J278+J279+J280+J281+J282+J283+J284+J285</f>
        <v>67007.289999999994</v>
      </c>
      <c r="K277" s="129">
        <f t="shared" si="94"/>
        <v>20.019481382132302</v>
      </c>
      <c r="L277" s="78">
        <f t="shared" si="96"/>
        <v>12977743.33</v>
      </c>
      <c r="M277" s="78">
        <f t="shared" ref="M277" si="97">M278+M279+M280+M281+M282+M283+M284+M285</f>
        <v>12963400</v>
      </c>
      <c r="N277" s="78">
        <f t="shared" si="96"/>
        <v>14343.33</v>
      </c>
      <c r="O277" s="78">
        <f t="shared" si="96"/>
        <v>0</v>
      </c>
      <c r="P277" s="78">
        <f t="shared" si="96"/>
        <v>0</v>
      </c>
      <c r="Q277" s="78">
        <f t="shared" si="96"/>
        <v>12963400</v>
      </c>
      <c r="R277" s="78">
        <f t="shared" ref="R277:W277" si="98">R278+R279+R280+R281+R282+R283+R284+R285</f>
        <v>12888400</v>
      </c>
      <c r="S277" s="78">
        <f t="shared" ref="S277" si="99">S278+S279+S280+S281+S282+S283+S284+S285</f>
        <v>12888400</v>
      </c>
      <c r="T277" s="78">
        <f t="shared" si="98"/>
        <v>0</v>
      </c>
      <c r="U277" s="78">
        <f t="shared" si="98"/>
        <v>0</v>
      </c>
      <c r="V277" s="78">
        <f t="shared" si="98"/>
        <v>0</v>
      </c>
      <c r="W277" s="78">
        <f t="shared" si="98"/>
        <v>12888400</v>
      </c>
      <c r="X277" s="131">
        <f t="shared" si="91"/>
        <v>99.311564979148031</v>
      </c>
      <c r="Y277" s="79">
        <f t="shared" si="92"/>
        <v>17291684.93</v>
      </c>
      <c r="Z277" s="202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  <c r="FS277" s="74"/>
      <c r="FT277" s="74"/>
      <c r="FU277" s="74"/>
      <c r="FV277" s="74"/>
      <c r="FW277" s="74"/>
      <c r="FX277" s="74"/>
      <c r="FY277" s="74"/>
      <c r="FZ277" s="74"/>
      <c r="GA277" s="74"/>
      <c r="GB277" s="74"/>
      <c r="GC277" s="74"/>
      <c r="GD277" s="74"/>
      <c r="GE277" s="74"/>
      <c r="GF277" s="74"/>
      <c r="GG277" s="74"/>
      <c r="GH277" s="74"/>
      <c r="GI277" s="74"/>
      <c r="GJ277" s="74"/>
      <c r="GK277" s="74"/>
      <c r="GL277" s="74"/>
      <c r="GM277" s="74"/>
      <c r="GN277" s="74"/>
      <c r="GO277" s="74"/>
      <c r="GP277" s="74"/>
      <c r="GQ277" s="74"/>
      <c r="GR277" s="74"/>
      <c r="GS277" s="74"/>
      <c r="GT277" s="74"/>
      <c r="GU277" s="74"/>
      <c r="GV277" s="74"/>
      <c r="GW277" s="74"/>
      <c r="GX277" s="74"/>
      <c r="GY277" s="74"/>
      <c r="GZ277" s="74"/>
      <c r="HA277" s="74"/>
      <c r="HB277" s="74"/>
      <c r="HC277" s="74"/>
      <c r="HD277" s="74"/>
      <c r="HE277" s="74"/>
      <c r="HF277" s="74"/>
      <c r="HG277" s="74"/>
      <c r="HH277" s="74"/>
      <c r="HI277" s="74"/>
      <c r="HJ277" s="74"/>
      <c r="HK277" s="74"/>
      <c r="HL277" s="74"/>
      <c r="HM277" s="74"/>
      <c r="HN277" s="74"/>
      <c r="HO277" s="74"/>
      <c r="HP277" s="74"/>
      <c r="HQ277" s="74"/>
      <c r="HR277" s="74"/>
      <c r="HS277" s="74"/>
      <c r="HT277" s="74"/>
      <c r="HU277" s="74"/>
      <c r="HV277" s="74"/>
      <c r="HW277" s="74"/>
      <c r="HX277" s="74"/>
      <c r="HY277" s="74"/>
      <c r="HZ277" s="74"/>
      <c r="IA277" s="74"/>
      <c r="IB277" s="74"/>
      <c r="IC277" s="74"/>
      <c r="ID277" s="74"/>
      <c r="IE277" s="74"/>
      <c r="IF277" s="74"/>
      <c r="IG277" s="74"/>
      <c r="IH277" s="74"/>
      <c r="II277" s="74"/>
      <c r="IJ277" s="74"/>
      <c r="IK277" s="74"/>
      <c r="IL277" s="74"/>
      <c r="IM277" s="74"/>
      <c r="IN277" s="74"/>
      <c r="IO277" s="74"/>
      <c r="IP277" s="74"/>
      <c r="IQ277" s="74"/>
      <c r="IR277" s="74"/>
      <c r="IS277" s="74"/>
      <c r="IT277" s="74"/>
      <c r="IU277" s="74"/>
      <c r="IV277" s="74"/>
      <c r="IW277" s="74"/>
      <c r="IX277" s="74"/>
      <c r="IY277" s="74"/>
      <c r="IZ277" s="74"/>
      <c r="JA277" s="74"/>
      <c r="JB277" s="74"/>
      <c r="JC277" s="74"/>
      <c r="JD277" s="74"/>
      <c r="JE277" s="74"/>
      <c r="JF277" s="74"/>
      <c r="JG277" s="74"/>
      <c r="JH277" s="74"/>
      <c r="JI277" s="74"/>
      <c r="JJ277" s="74"/>
      <c r="JK277" s="74"/>
      <c r="JL277" s="74"/>
      <c r="JM277" s="74"/>
      <c r="JN277" s="74"/>
      <c r="JO277" s="74"/>
      <c r="JP277" s="74"/>
      <c r="JQ277" s="74"/>
      <c r="JR277" s="74"/>
      <c r="JS277" s="74"/>
      <c r="JT277" s="74"/>
      <c r="JU277" s="74"/>
      <c r="JV277" s="74"/>
      <c r="JW277" s="74"/>
      <c r="JX277" s="74"/>
      <c r="JY277" s="74"/>
      <c r="JZ277" s="74"/>
      <c r="KA277" s="74"/>
      <c r="KB277" s="74"/>
      <c r="KC277" s="74"/>
      <c r="KD277" s="74"/>
      <c r="KE277" s="74"/>
      <c r="KF277" s="74"/>
      <c r="KG277" s="74"/>
      <c r="KH277" s="74"/>
      <c r="KI277" s="74"/>
      <c r="KJ277" s="74"/>
      <c r="KK277" s="74"/>
      <c r="KL277" s="74"/>
      <c r="KM277" s="74"/>
      <c r="KN277" s="74"/>
      <c r="KO277" s="74"/>
      <c r="KP277" s="74"/>
      <c r="KQ277" s="74"/>
      <c r="KR277" s="74"/>
      <c r="KS277" s="74"/>
      <c r="KT277" s="74"/>
      <c r="KU277" s="74"/>
      <c r="KV277" s="74"/>
      <c r="KW277" s="74"/>
      <c r="KX277" s="74"/>
      <c r="KY277" s="74"/>
      <c r="KZ277" s="74"/>
      <c r="LA277" s="74"/>
      <c r="LB277" s="74"/>
      <c r="LC277" s="74"/>
      <c r="LD277" s="74"/>
      <c r="LE277" s="74"/>
      <c r="LF277" s="74"/>
      <c r="LG277" s="74"/>
      <c r="LH277" s="74"/>
      <c r="LI277" s="74"/>
      <c r="LJ277" s="74"/>
      <c r="LK277" s="74"/>
      <c r="LL277" s="74"/>
      <c r="LM277" s="74"/>
      <c r="LN277" s="74"/>
      <c r="LO277" s="74"/>
      <c r="LP277" s="74"/>
      <c r="LQ277" s="74"/>
      <c r="LR277" s="74"/>
      <c r="LS277" s="74"/>
      <c r="LT277" s="74"/>
      <c r="LU277" s="74"/>
      <c r="LV277" s="74"/>
      <c r="LW277" s="74"/>
      <c r="LX277" s="74"/>
      <c r="LY277" s="74"/>
      <c r="LZ277" s="74"/>
      <c r="MA277" s="74"/>
      <c r="MB277" s="74"/>
      <c r="MC277" s="74"/>
      <c r="MD277" s="74"/>
      <c r="ME277" s="74"/>
      <c r="MF277" s="74"/>
      <c r="MG277" s="74"/>
      <c r="MH277" s="74"/>
      <c r="MI277" s="74"/>
      <c r="MJ277" s="74"/>
      <c r="MK277" s="74"/>
      <c r="ML277" s="74"/>
      <c r="MM277" s="74"/>
      <c r="MN277" s="74"/>
      <c r="MO277" s="74"/>
      <c r="MP277" s="74"/>
      <c r="MQ277" s="74"/>
      <c r="MR277" s="74"/>
      <c r="MS277" s="74"/>
      <c r="MT277" s="74"/>
      <c r="MU277" s="74"/>
      <c r="MV277" s="74"/>
      <c r="MW277" s="74"/>
      <c r="MX277" s="74"/>
      <c r="MY277" s="74"/>
      <c r="MZ277" s="74"/>
      <c r="NA277" s="74"/>
      <c r="NB277" s="74"/>
      <c r="NC277" s="74"/>
      <c r="ND277" s="74"/>
      <c r="NE277" s="74"/>
      <c r="NF277" s="74"/>
      <c r="NG277" s="74"/>
      <c r="NH277" s="74"/>
      <c r="NI277" s="74"/>
      <c r="NJ277" s="74"/>
      <c r="NK277" s="74"/>
      <c r="NL277" s="74"/>
      <c r="NM277" s="74"/>
      <c r="NN277" s="74"/>
      <c r="NO277" s="74"/>
      <c r="NP277" s="74"/>
      <c r="NQ277" s="74"/>
      <c r="NR277" s="74"/>
      <c r="NS277" s="74"/>
      <c r="NT277" s="74"/>
      <c r="NU277" s="74"/>
      <c r="NV277" s="74"/>
      <c r="NW277" s="74"/>
      <c r="NX277" s="74"/>
      <c r="NY277" s="74"/>
      <c r="NZ277" s="74"/>
      <c r="OA277" s="74"/>
      <c r="OB277" s="74"/>
      <c r="OC277" s="74"/>
      <c r="OD277" s="74"/>
      <c r="OE277" s="74"/>
      <c r="OF277" s="74"/>
      <c r="OG277" s="74"/>
      <c r="OH277" s="74"/>
      <c r="OI277" s="74"/>
      <c r="OJ277" s="74"/>
      <c r="OK277" s="74"/>
      <c r="OL277" s="74"/>
      <c r="OM277" s="74"/>
      <c r="ON277" s="74"/>
      <c r="OO277" s="74"/>
      <c r="OP277" s="74"/>
      <c r="OQ277" s="74"/>
      <c r="OR277" s="74"/>
      <c r="OS277" s="74"/>
      <c r="OT277" s="74"/>
      <c r="OU277" s="74"/>
      <c r="OV277" s="74"/>
      <c r="OW277" s="74"/>
      <c r="OX277" s="74"/>
      <c r="OY277" s="74"/>
      <c r="OZ277" s="74"/>
      <c r="PA277" s="74"/>
      <c r="PB277" s="74"/>
      <c r="PC277" s="74"/>
      <c r="PD277" s="74"/>
      <c r="PE277" s="74"/>
      <c r="PF277" s="74"/>
      <c r="PG277" s="74"/>
      <c r="PH277" s="74"/>
      <c r="PI277" s="74"/>
      <c r="PJ277" s="74"/>
      <c r="PK277" s="74"/>
      <c r="PL277" s="74"/>
      <c r="PM277" s="74"/>
      <c r="PN277" s="74"/>
      <c r="PO277" s="74"/>
      <c r="PP277" s="74"/>
      <c r="PQ277" s="74"/>
      <c r="PR277" s="74"/>
      <c r="PS277" s="74"/>
      <c r="PT277" s="74"/>
      <c r="PU277" s="74"/>
      <c r="PV277" s="74"/>
      <c r="PW277" s="74"/>
      <c r="PX277" s="74"/>
      <c r="PY277" s="74"/>
      <c r="PZ277" s="74"/>
      <c r="QA277" s="74"/>
      <c r="QB277" s="74"/>
      <c r="QC277" s="74"/>
      <c r="QD277" s="74"/>
      <c r="QE277" s="74"/>
      <c r="QF277" s="74"/>
      <c r="QG277" s="74"/>
      <c r="QH277" s="74"/>
      <c r="QI277" s="74"/>
      <c r="QJ277" s="74"/>
      <c r="QK277" s="74"/>
      <c r="QL277" s="74"/>
      <c r="QM277" s="74"/>
      <c r="QN277" s="74"/>
      <c r="QO277" s="74"/>
      <c r="QP277" s="74"/>
      <c r="QQ277" s="74"/>
      <c r="QR277" s="74"/>
      <c r="QS277" s="74"/>
      <c r="QT277" s="74"/>
      <c r="QU277" s="74"/>
      <c r="QV277" s="74"/>
      <c r="QW277" s="74"/>
      <c r="QX277" s="74"/>
      <c r="QY277" s="74"/>
      <c r="QZ277" s="74"/>
      <c r="RA277" s="74"/>
      <c r="RB277" s="74"/>
      <c r="RC277" s="74"/>
      <c r="RD277" s="74"/>
      <c r="RE277" s="74"/>
      <c r="RF277" s="74"/>
      <c r="RG277" s="74"/>
      <c r="RH277" s="74"/>
      <c r="RI277" s="74"/>
      <c r="RJ277" s="74"/>
      <c r="RK277" s="74"/>
      <c r="RL277" s="74"/>
      <c r="RM277" s="74"/>
      <c r="RN277" s="74"/>
      <c r="RO277" s="74"/>
      <c r="RP277" s="74"/>
      <c r="RQ277" s="74"/>
      <c r="RR277" s="74"/>
      <c r="RS277" s="74"/>
      <c r="RT277" s="74"/>
      <c r="RU277" s="74"/>
      <c r="RV277" s="74"/>
      <c r="RW277" s="74"/>
      <c r="RX277" s="74"/>
      <c r="RY277" s="74"/>
      <c r="RZ277" s="74"/>
      <c r="SA277" s="74"/>
      <c r="SB277" s="74"/>
      <c r="SC277" s="74"/>
      <c r="SD277" s="74"/>
      <c r="SE277" s="74"/>
      <c r="SF277" s="74"/>
      <c r="SG277" s="74"/>
      <c r="SH277" s="74"/>
      <c r="SI277" s="74"/>
      <c r="SJ277" s="74"/>
      <c r="SK277" s="74"/>
      <c r="SL277" s="74"/>
      <c r="SM277" s="74"/>
      <c r="SN277" s="74"/>
      <c r="SO277" s="74"/>
      <c r="SP277" s="74"/>
      <c r="SQ277" s="74"/>
      <c r="SR277" s="74"/>
      <c r="SS277" s="74"/>
      <c r="ST277" s="74"/>
      <c r="SU277" s="74"/>
      <c r="SV277" s="74"/>
      <c r="SW277" s="74"/>
      <c r="SX277" s="74"/>
      <c r="SY277" s="74"/>
      <c r="SZ277" s="74"/>
      <c r="TA277" s="74"/>
      <c r="TB277" s="74"/>
      <c r="TC277" s="74"/>
      <c r="TD277" s="74"/>
      <c r="TE277" s="74"/>
      <c r="TF277" s="74"/>
      <c r="TG277" s="74"/>
      <c r="TH277" s="74"/>
      <c r="TI277" s="74"/>
      <c r="TJ277" s="74"/>
      <c r="TK277" s="74"/>
      <c r="TL277" s="74"/>
      <c r="TM277" s="74"/>
      <c r="TN277" s="74"/>
      <c r="TO277" s="74"/>
      <c r="TP277" s="74"/>
      <c r="TQ277" s="74"/>
      <c r="TR277" s="74"/>
      <c r="TS277" s="74"/>
      <c r="TT277" s="74"/>
      <c r="TU277" s="74"/>
      <c r="TV277" s="74"/>
      <c r="TW277" s="74"/>
      <c r="TX277" s="74"/>
      <c r="TY277" s="74"/>
      <c r="TZ277" s="74"/>
      <c r="UA277" s="74"/>
      <c r="UB277" s="74"/>
      <c r="UC277" s="74"/>
      <c r="UD277" s="74"/>
      <c r="UE277" s="74"/>
      <c r="UF277" s="74"/>
      <c r="UG277" s="74"/>
      <c r="UH277" s="74"/>
      <c r="UI277" s="74"/>
      <c r="UJ277" s="74"/>
      <c r="UK277" s="74"/>
      <c r="UL277" s="74"/>
      <c r="UM277" s="74"/>
      <c r="UN277" s="74"/>
      <c r="UO277" s="74"/>
      <c r="UP277" s="74"/>
      <c r="UQ277" s="74"/>
      <c r="UR277" s="74"/>
      <c r="US277" s="74"/>
      <c r="UT277" s="74"/>
      <c r="UU277" s="74"/>
      <c r="UV277" s="74"/>
      <c r="UW277" s="74"/>
      <c r="UX277" s="74"/>
      <c r="UY277" s="74"/>
      <c r="UZ277" s="74"/>
      <c r="VA277" s="74"/>
      <c r="VB277" s="74"/>
      <c r="VC277" s="74"/>
      <c r="VD277" s="74"/>
      <c r="VE277" s="74"/>
      <c r="VF277" s="74"/>
    </row>
    <row r="278" spans="1:578" s="41" customFormat="1" ht="39" customHeight="1" x14ac:dyDescent="0.2">
      <c r="A278" s="39" t="s">
        <v>282</v>
      </c>
      <c r="B278" s="90" t="str">
        <f>'дод 3'!A16</f>
        <v>0160</v>
      </c>
      <c r="C278" s="90" t="str">
        <f>'дод 3'!B16</f>
        <v>0111</v>
      </c>
      <c r="D278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78" s="65">
        <v>19692000</v>
      </c>
      <c r="F278" s="65">
        <v>15454866</v>
      </c>
      <c r="G278" s="65">
        <f>235000+4800</f>
        <v>239800</v>
      </c>
      <c r="H278" s="65">
        <v>4309351.91</v>
      </c>
      <c r="I278" s="65">
        <v>3394146.44</v>
      </c>
      <c r="J278" s="65">
        <v>67007.289999999994</v>
      </c>
      <c r="K278" s="130">
        <f t="shared" si="94"/>
        <v>21.883769601868782</v>
      </c>
      <c r="L278" s="65">
        <f t="shared" si="73"/>
        <v>0</v>
      </c>
      <c r="M278" s="65"/>
      <c r="N278" s="65"/>
      <c r="O278" s="65"/>
      <c r="P278" s="65"/>
      <c r="Q278" s="65"/>
      <c r="R278" s="65">
        <f t="shared" si="74"/>
        <v>0</v>
      </c>
      <c r="S278" s="65"/>
      <c r="T278" s="65"/>
      <c r="U278" s="65"/>
      <c r="V278" s="65"/>
      <c r="W278" s="65"/>
      <c r="X278" s="132"/>
      <c r="Y278" s="65">
        <f t="shared" si="92"/>
        <v>4309351.91</v>
      </c>
      <c r="Z278" s="202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  <c r="IW278" s="47"/>
      <c r="IX278" s="47"/>
      <c r="IY278" s="47"/>
      <c r="IZ278" s="47"/>
      <c r="JA278" s="47"/>
      <c r="JB278" s="47"/>
      <c r="JC278" s="47"/>
      <c r="JD278" s="47"/>
      <c r="JE278" s="47"/>
      <c r="JF278" s="47"/>
      <c r="JG278" s="47"/>
      <c r="JH278" s="47"/>
      <c r="JI278" s="47"/>
      <c r="JJ278" s="47"/>
      <c r="JK278" s="47"/>
      <c r="JL278" s="47"/>
      <c r="JM278" s="47"/>
      <c r="JN278" s="47"/>
      <c r="JO278" s="47"/>
      <c r="JP278" s="47"/>
      <c r="JQ278" s="47"/>
      <c r="JR278" s="47"/>
      <c r="JS278" s="47"/>
      <c r="JT278" s="47"/>
      <c r="JU278" s="47"/>
      <c r="JV278" s="47"/>
      <c r="JW278" s="47"/>
      <c r="JX278" s="47"/>
      <c r="JY278" s="47"/>
      <c r="JZ278" s="47"/>
      <c r="KA278" s="47"/>
      <c r="KB278" s="47"/>
      <c r="KC278" s="47"/>
      <c r="KD278" s="47"/>
      <c r="KE278" s="47"/>
      <c r="KF278" s="47"/>
      <c r="KG278" s="47"/>
      <c r="KH278" s="47"/>
      <c r="KI278" s="47"/>
      <c r="KJ278" s="47"/>
      <c r="KK278" s="47"/>
      <c r="KL278" s="47"/>
      <c r="KM278" s="47"/>
      <c r="KN278" s="47"/>
      <c r="KO278" s="47"/>
      <c r="KP278" s="47"/>
      <c r="KQ278" s="47"/>
      <c r="KR278" s="47"/>
      <c r="KS278" s="47"/>
      <c r="KT278" s="47"/>
      <c r="KU278" s="47"/>
      <c r="KV278" s="47"/>
      <c r="KW278" s="47"/>
      <c r="KX278" s="47"/>
      <c r="KY278" s="47"/>
      <c r="KZ278" s="47"/>
      <c r="LA278" s="47"/>
      <c r="LB278" s="47"/>
      <c r="LC278" s="47"/>
      <c r="LD278" s="47"/>
      <c r="LE278" s="47"/>
      <c r="LF278" s="47"/>
      <c r="LG278" s="47"/>
      <c r="LH278" s="47"/>
      <c r="LI278" s="47"/>
      <c r="LJ278" s="47"/>
      <c r="LK278" s="47"/>
      <c r="LL278" s="47"/>
      <c r="LM278" s="47"/>
      <c r="LN278" s="47"/>
      <c r="LO278" s="47"/>
      <c r="LP278" s="47"/>
      <c r="LQ278" s="47"/>
      <c r="LR278" s="47"/>
      <c r="LS278" s="47"/>
      <c r="LT278" s="47"/>
      <c r="LU278" s="47"/>
      <c r="LV278" s="47"/>
      <c r="LW278" s="47"/>
      <c r="LX278" s="47"/>
      <c r="LY278" s="47"/>
      <c r="LZ278" s="47"/>
      <c r="MA278" s="47"/>
      <c r="MB278" s="47"/>
      <c r="MC278" s="47"/>
      <c r="MD278" s="47"/>
      <c r="ME278" s="47"/>
      <c r="MF278" s="47"/>
      <c r="MG278" s="47"/>
      <c r="MH278" s="47"/>
      <c r="MI278" s="47"/>
      <c r="MJ278" s="47"/>
      <c r="MK278" s="47"/>
      <c r="ML278" s="47"/>
      <c r="MM278" s="47"/>
      <c r="MN278" s="47"/>
      <c r="MO278" s="47"/>
      <c r="MP278" s="47"/>
      <c r="MQ278" s="47"/>
      <c r="MR278" s="47"/>
      <c r="MS278" s="47"/>
      <c r="MT278" s="47"/>
      <c r="MU278" s="47"/>
      <c r="MV278" s="47"/>
      <c r="MW278" s="47"/>
      <c r="MX278" s="47"/>
      <c r="MY278" s="47"/>
      <c r="MZ278" s="47"/>
      <c r="NA278" s="47"/>
      <c r="NB278" s="47"/>
      <c r="NC278" s="47"/>
      <c r="ND278" s="47"/>
      <c r="NE278" s="47"/>
      <c r="NF278" s="47"/>
      <c r="NG278" s="47"/>
      <c r="NH278" s="47"/>
      <c r="NI278" s="47"/>
      <c r="NJ278" s="47"/>
      <c r="NK278" s="47"/>
      <c r="NL278" s="47"/>
      <c r="NM278" s="47"/>
      <c r="NN278" s="47"/>
      <c r="NO278" s="47"/>
      <c r="NP278" s="47"/>
      <c r="NQ278" s="47"/>
      <c r="NR278" s="47"/>
      <c r="NS278" s="47"/>
      <c r="NT278" s="47"/>
      <c r="NU278" s="47"/>
      <c r="NV278" s="47"/>
      <c r="NW278" s="47"/>
      <c r="NX278" s="47"/>
      <c r="NY278" s="47"/>
      <c r="NZ278" s="47"/>
      <c r="OA278" s="47"/>
      <c r="OB278" s="47"/>
      <c r="OC278" s="47"/>
      <c r="OD278" s="47"/>
      <c r="OE278" s="47"/>
      <c r="OF278" s="47"/>
      <c r="OG278" s="47"/>
      <c r="OH278" s="47"/>
      <c r="OI278" s="47"/>
      <c r="OJ278" s="47"/>
      <c r="OK278" s="47"/>
      <c r="OL278" s="47"/>
      <c r="OM278" s="47"/>
      <c r="ON278" s="47"/>
      <c r="OO278" s="47"/>
      <c r="OP278" s="47"/>
      <c r="OQ278" s="47"/>
      <c r="OR278" s="47"/>
      <c r="OS278" s="47"/>
      <c r="OT278" s="47"/>
      <c r="OU278" s="47"/>
      <c r="OV278" s="47"/>
      <c r="OW278" s="47"/>
      <c r="OX278" s="47"/>
      <c r="OY278" s="47"/>
      <c r="OZ278" s="47"/>
      <c r="PA278" s="47"/>
      <c r="PB278" s="47"/>
      <c r="PC278" s="47"/>
      <c r="PD278" s="47"/>
      <c r="PE278" s="47"/>
      <c r="PF278" s="47"/>
      <c r="PG278" s="47"/>
      <c r="PH278" s="47"/>
      <c r="PI278" s="47"/>
      <c r="PJ278" s="47"/>
      <c r="PK278" s="47"/>
      <c r="PL278" s="47"/>
      <c r="PM278" s="47"/>
      <c r="PN278" s="47"/>
      <c r="PO278" s="47"/>
      <c r="PP278" s="47"/>
      <c r="PQ278" s="47"/>
      <c r="PR278" s="47"/>
      <c r="PS278" s="47"/>
      <c r="PT278" s="47"/>
      <c r="PU278" s="47"/>
      <c r="PV278" s="47"/>
      <c r="PW278" s="47"/>
      <c r="PX278" s="47"/>
      <c r="PY278" s="47"/>
      <c r="PZ278" s="47"/>
      <c r="QA278" s="47"/>
      <c r="QB278" s="47"/>
      <c r="QC278" s="47"/>
      <c r="QD278" s="47"/>
      <c r="QE278" s="47"/>
      <c r="QF278" s="47"/>
      <c r="QG278" s="47"/>
      <c r="QH278" s="47"/>
      <c r="QI278" s="47"/>
      <c r="QJ278" s="47"/>
      <c r="QK278" s="47"/>
      <c r="QL278" s="47"/>
      <c r="QM278" s="47"/>
      <c r="QN278" s="47"/>
      <c r="QO278" s="47"/>
      <c r="QP278" s="47"/>
      <c r="QQ278" s="47"/>
      <c r="QR278" s="47"/>
      <c r="QS278" s="47"/>
      <c r="QT278" s="47"/>
      <c r="QU278" s="47"/>
      <c r="QV278" s="47"/>
      <c r="QW278" s="47"/>
      <c r="QX278" s="47"/>
      <c r="QY278" s="47"/>
      <c r="QZ278" s="47"/>
      <c r="RA278" s="47"/>
      <c r="RB278" s="47"/>
      <c r="RC278" s="47"/>
      <c r="RD278" s="47"/>
      <c r="RE278" s="47"/>
      <c r="RF278" s="47"/>
      <c r="RG278" s="47"/>
      <c r="RH278" s="47"/>
      <c r="RI278" s="47"/>
      <c r="RJ278" s="47"/>
      <c r="RK278" s="47"/>
      <c r="RL278" s="47"/>
      <c r="RM278" s="47"/>
      <c r="RN278" s="47"/>
      <c r="RO278" s="47"/>
      <c r="RP278" s="47"/>
      <c r="RQ278" s="47"/>
      <c r="RR278" s="47"/>
      <c r="RS278" s="47"/>
      <c r="RT278" s="47"/>
      <c r="RU278" s="47"/>
      <c r="RV278" s="47"/>
      <c r="RW278" s="47"/>
      <c r="RX278" s="47"/>
      <c r="RY278" s="47"/>
      <c r="RZ278" s="47"/>
      <c r="SA278" s="47"/>
      <c r="SB278" s="47"/>
      <c r="SC278" s="47"/>
      <c r="SD278" s="47"/>
      <c r="SE278" s="47"/>
      <c r="SF278" s="47"/>
      <c r="SG278" s="47"/>
      <c r="SH278" s="47"/>
      <c r="SI278" s="47"/>
      <c r="SJ278" s="47"/>
      <c r="SK278" s="47"/>
      <c r="SL278" s="47"/>
      <c r="SM278" s="47"/>
      <c r="SN278" s="47"/>
      <c r="SO278" s="47"/>
      <c r="SP278" s="47"/>
      <c r="SQ278" s="47"/>
      <c r="SR278" s="47"/>
      <c r="SS278" s="47"/>
      <c r="ST278" s="47"/>
      <c r="SU278" s="47"/>
      <c r="SV278" s="47"/>
      <c r="SW278" s="47"/>
      <c r="SX278" s="47"/>
      <c r="SY278" s="47"/>
      <c r="SZ278" s="47"/>
      <c r="TA278" s="47"/>
      <c r="TB278" s="47"/>
      <c r="TC278" s="47"/>
      <c r="TD278" s="47"/>
      <c r="TE278" s="47"/>
      <c r="TF278" s="47"/>
      <c r="TG278" s="47"/>
      <c r="TH278" s="47"/>
      <c r="TI278" s="47"/>
      <c r="TJ278" s="47"/>
      <c r="TK278" s="47"/>
      <c r="TL278" s="47"/>
      <c r="TM278" s="47"/>
      <c r="TN278" s="47"/>
      <c r="TO278" s="47"/>
      <c r="TP278" s="47"/>
      <c r="TQ278" s="47"/>
      <c r="TR278" s="47"/>
      <c r="TS278" s="47"/>
      <c r="TT278" s="47"/>
      <c r="TU278" s="47"/>
      <c r="TV278" s="47"/>
      <c r="TW278" s="47"/>
      <c r="TX278" s="47"/>
      <c r="TY278" s="47"/>
      <c r="TZ278" s="47"/>
      <c r="UA278" s="47"/>
      <c r="UB278" s="47"/>
      <c r="UC278" s="47"/>
      <c r="UD278" s="47"/>
      <c r="UE278" s="47"/>
      <c r="UF278" s="47"/>
      <c r="UG278" s="47"/>
      <c r="UH278" s="47"/>
      <c r="UI278" s="47"/>
      <c r="UJ278" s="47"/>
      <c r="UK278" s="47"/>
      <c r="UL278" s="47"/>
      <c r="UM278" s="47"/>
      <c r="UN278" s="47"/>
      <c r="UO278" s="47"/>
      <c r="UP278" s="47"/>
      <c r="UQ278" s="47"/>
      <c r="UR278" s="47"/>
      <c r="US278" s="47"/>
      <c r="UT278" s="47"/>
      <c r="UU278" s="47"/>
      <c r="UV278" s="47"/>
      <c r="UW278" s="47"/>
      <c r="UX278" s="47"/>
      <c r="UY278" s="47"/>
      <c r="UZ278" s="47"/>
      <c r="VA278" s="47"/>
      <c r="VB278" s="47"/>
      <c r="VC278" s="47"/>
      <c r="VD278" s="47"/>
      <c r="VE278" s="47"/>
      <c r="VF278" s="47"/>
    </row>
    <row r="279" spans="1:578" s="52" customFormat="1" ht="29.25" customHeight="1" x14ac:dyDescent="0.2">
      <c r="A279" s="39" t="s">
        <v>283</v>
      </c>
      <c r="B279" s="90" t="str">
        <f>'дод 3'!A158</f>
        <v>7130</v>
      </c>
      <c r="C279" s="90" t="str">
        <f>'дод 3'!B158</f>
        <v>0421</v>
      </c>
      <c r="D279" s="42" t="str">
        <f>'дод 3'!C158</f>
        <v>Здійснення  заходів із землеустрою</v>
      </c>
      <c r="E279" s="65">
        <v>1351000</v>
      </c>
      <c r="F279" s="65"/>
      <c r="G279" s="65"/>
      <c r="H279" s="65">
        <v>4500</v>
      </c>
      <c r="I279" s="65"/>
      <c r="J279" s="65"/>
      <c r="K279" s="130">
        <f t="shared" si="94"/>
        <v>0.33308660251665434</v>
      </c>
      <c r="L279" s="65">
        <f t="shared" si="73"/>
        <v>14343.33</v>
      </c>
      <c r="M279" s="65"/>
      <c r="N279" s="65">
        <v>14343.33</v>
      </c>
      <c r="O279" s="65"/>
      <c r="P279" s="65"/>
      <c r="Q279" s="65"/>
      <c r="R279" s="65">
        <f t="shared" si="74"/>
        <v>0</v>
      </c>
      <c r="S279" s="65"/>
      <c r="T279" s="65"/>
      <c r="U279" s="65"/>
      <c r="V279" s="65"/>
      <c r="W279" s="65"/>
      <c r="X279" s="132">
        <f t="shared" si="91"/>
        <v>0</v>
      </c>
      <c r="Y279" s="65">
        <f t="shared" si="92"/>
        <v>4500</v>
      </c>
      <c r="Z279" s="20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  <c r="GN279" s="72"/>
      <c r="GO279" s="72"/>
      <c r="GP279" s="72"/>
      <c r="GQ279" s="72"/>
      <c r="GR279" s="72"/>
      <c r="GS279" s="72"/>
      <c r="GT279" s="72"/>
      <c r="GU279" s="72"/>
      <c r="GV279" s="72"/>
      <c r="GW279" s="72"/>
      <c r="GX279" s="72"/>
      <c r="GY279" s="72"/>
      <c r="GZ279" s="72"/>
      <c r="HA279" s="72"/>
      <c r="HB279" s="72"/>
      <c r="HC279" s="72"/>
      <c r="HD279" s="72"/>
      <c r="HE279" s="72"/>
      <c r="HF279" s="72"/>
      <c r="HG279" s="72"/>
      <c r="HH279" s="72"/>
      <c r="HI279" s="72"/>
      <c r="HJ279" s="72"/>
      <c r="HK279" s="72"/>
      <c r="HL279" s="72"/>
      <c r="HM279" s="72"/>
      <c r="HN279" s="72"/>
      <c r="HO279" s="72"/>
      <c r="HP279" s="72"/>
      <c r="HQ279" s="72"/>
      <c r="HR279" s="72"/>
      <c r="HS279" s="72"/>
      <c r="HT279" s="72"/>
      <c r="HU279" s="72"/>
      <c r="HV279" s="72"/>
      <c r="HW279" s="72"/>
      <c r="HX279" s="72"/>
      <c r="HY279" s="72"/>
      <c r="HZ279" s="72"/>
      <c r="IA279" s="72"/>
      <c r="IB279" s="72"/>
      <c r="IC279" s="72"/>
      <c r="ID279" s="72"/>
      <c r="IE279" s="72"/>
      <c r="IF279" s="72"/>
      <c r="IG279" s="72"/>
      <c r="IH279" s="72"/>
      <c r="II279" s="72"/>
      <c r="IJ279" s="72"/>
      <c r="IK279" s="72"/>
      <c r="IL279" s="72"/>
      <c r="IM279" s="72"/>
      <c r="IN279" s="72"/>
      <c r="IO279" s="72"/>
      <c r="IP279" s="72"/>
      <c r="IQ279" s="72"/>
      <c r="IR279" s="72"/>
      <c r="IS279" s="72"/>
      <c r="IT279" s="72"/>
      <c r="IU279" s="72"/>
      <c r="IV279" s="72"/>
      <c r="IW279" s="72"/>
      <c r="IX279" s="72"/>
      <c r="IY279" s="72"/>
      <c r="IZ279" s="72"/>
      <c r="JA279" s="72"/>
      <c r="JB279" s="72"/>
      <c r="JC279" s="72"/>
      <c r="JD279" s="72"/>
      <c r="JE279" s="72"/>
      <c r="JF279" s="72"/>
      <c r="JG279" s="72"/>
      <c r="JH279" s="72"/>
      <c r="JI279" s="72"/>
      <c r="JJ279" s="72"/>
      <c r="JK279" s="72"/>
      <c r="JL279" s="72"/>
      <c r="JM279" s="72"/>
      <c r="JN279" s="72"/>
      <c r="JO279" s="72"/>
      <c r="JP279" s="72"/>
      <c r="JQ279" s="72"/>
      <c r="JR279" s="72"/>
      <c r="JS279" s="72"/>
      <c r="JT279" s="72"/>
      <c r="JU279" s="72"/>
      <c r="JV279" s="72"/>
      <c r="JW279" s="72"/>
      <c r="JX279" s="72"/>
      <c r="JY279" s="72"/>
      <c r="JZ279" s="72"/>
      <c r="KA279" s="72"/>
      <c r="KB279" s="72"/>
      <c r="KC279" s="72"/>
      <c r="KD279" s="72"/>
      <c r="KE279" s="72"/>
      <c r="KF279" s="72"/>
      <c r="KG279" s="72"/>
      <c r="KH279" s="72"/>
      <c r="KI279" s="72"/>
      <c r="KJ279" s="72"/>
      <c r="KK279" s="72"/>
      <c r="KL279" s="72"/>
      <c r="KM279" s="72"/>
      <c r="KN279" s="72"/>
      <c r="KO279" s="72"/>
      <c r="KP279" s="72"/>
      <c r="KQ279" s="72"/>
      <c r="KR279" s="72"/>
      <c r="KS279" s="72"/>
      <c r="KT279" s="72"/>
      <c r="KU279" s="72"/>
      <c r="KV279" s="72"/>
      <c r="KW279" s="72"/>
      <c r="KX279" s="72"/>
      <c r="KY279" s="72"/>
      <c r="KZ279" s="72"/>
      <c r="LA279" s="72"/>
      <c r="LB279" s="72"/>
      <c r="LC279" s="72"/>
      <c r="LD279" s="72"/>
      <c r="LE279" s="72"/>
      <c r="LF279" s="72"/>
      <c r="LG279" s="72"/>
      <c r="LH279" s="72"/>
      <c r="LI279" s="72"/>
      <c r="LJ279" s="72"/>
      <c r="LK279" s="72"/>
      <c r="LL279" s="72"/>
      <c r="LM279" s="72"/>
      <c r="LN279" s="72"/>
      <c r="LO279" s="72"/>
      <c r="LP279" s="72"/>
      <c r="LQ279" s="72"/>
      <c r="LR279" s="72"/>
      <c r="LS279" s="72"/>
      <c r="LT279" s="72"/>
      <c r="LU279" s="72"/>
      <c r="LV279" s="72"/>
      <c r="LW279" s="72"/>
      <c r="LX279" s="72"/>
      <c r="LY279" s="72"/>
      <c r="LZ279" s="72"/>
      <c r="MA279" s="72"/>
      <c r="MB279" s="72"/>
      <c r="MC279" s="72"/>
      <c r="MD279" s="72"/>
      <c r="ME279" s="72"/>
      <c r="MF279" s="72"/>
      <c r="MG279" s="72"/>
      <c r="MH279" s="72"/>
      <c r="MI279" s="72"/>
      <c r="MJ279" s="72"/>
      <c r="MK279" s="72"/>
      <c r="ML279" s="72"/>
      <c r="MM279" s="72"/>
      <c r="MN279" s="72"/>
      <c r="MO279" s="72"/>
      <c r="MP279" s="72"/>
      <c r="MQ279" s="72"/>
      <c r="MR279" s="72"/>
      <c r="MS279" s="72"/>
      <c r="MT279" s="72"/>
      <c r="MU279" s="72"/>
      <c r="MV279" s="72"/>
      <c r="MW279" s="72"/>
      <c r="MX279" s="72"/>
      <c r="MY279" s="72"/>
      <c r="MZ279" s="72"/>
      <c r="NA279" s="72"/>
      <c r="NB279" s="72"/>
      <c r="NC279" s="72"/>
      <c r="ND279" s="72"/>
      <c r="NE279" s="72"/>
      <c r="NF279" s="72"/>
      <c r="NG279" s="72"/>
      <c r="NH279" s="72"/>
      <c r="NI279" s="72"/>
      <c r="NJ279" s="72"/>
      <c r="NK279" s="72"/>
      <c r="NL279" s="72"/>
      <c r="NM279" s="72"/>
      <c r="NN279" s="72"/>
      <c r="NO279" s="72"/>
      <c r="NP279" s="72"/>
      <c r="NQ279" s="72"/>
      <c r="NR279" s="72"/>
      <c r="NS279" s="72"/>
      <c r="NT279" s="72"/>
      <c r="NU279" s="72"/>
      <c r="NV279" s="72"/>
      <c r="NW279" s="72"/>
      <c r="NX279" s="72"/>
      <c r="NY279" s="72"/>
      <c r="NZ279" s="72"/>
      <c r="OA279" s="72"/>
      <c r="OB279" s="72"/>
      <c r="OC279" s="72"/>
      <c r="OD279" s="72"/>
      <c r="OE279" s="72"/>
      <c r="OF279" s="72"/>
      <c r="OG279" s="72"/>
      <c r="OH279" s="72"/>
      <c r="OI279" s="72"/>
      <c r="OJ279" s="72"/>
      <c r="OK279" s="72"/>
      <c r="OL279" s="72"/>
      <c r="OM279" s="72"/>
      <c r="ON279" s="72"/>
      <c r="OO279" s="72"/>
      <c r="OP279" s="72"/>
      <c r="OQ279" s="72"/>
      <c r="OR279" s="72"/>
      <c r="OS279" s="72"/>
      <c r="OT279" s="72"/>
      <c r="OU279" s="72"/>
      <c r="OV279" s="72"/>
      <c r="OW279" s="72"/>
      <c r="OX279" s="72"/>
      <c r="OY279" s="72"/>
      <c r="OZ279" s="72"/>
      <c r="PA279" s="72"/>
      <c r="PB279" s="72"/>
      <c r="PC279" s="72"/>
      <c r="PD279" s="72"/>
      <c r="PE279" s="72"/>
      <c r="PF279" s="72"/>
      <c r="PG279" s="72"/>
      <c r="PH279" s="72"/>
      <c r="PI279" s="72"/>
      <c r="PJ279" s="72"/>
      <c r="PK279" s="72"/>
      <c r="PL279" s="72"/>
      <c r="PM279" s="72"/>
      <c r="PN279" s="72"/>
      <c r="PO279" s="72"/>
      <c r="PP279" s="72"/>
      <c r="PQ279" s="72"/>
      <c r="PR279" s="72"/>
      <c r="PS279" s="72"/>
      <c r="PT279" s="72"/>
      <c r="PU279" s="72"/>
      <c r="PV279" s="72"/>
      <c r="PW279" s="72"/>
      <c r="PX279" s="72"/>
      <c r="PY279" s="72"/>
      <c r="PZ279" s="72"/>
      <c r="QA279" s="72"/>
      <c r="QB279" s="72"/>
      <c r="QC279" s="72"/>
      <c r="QD279" s="72"/>
      <c r="QE279" s="72"/>
      <c r="QF279" s="72"/>
      <c r="QG279" s="72"/>
      <c r="QH279" s="72"/>
      <c r="QI279" s="72"/>
      <c r="QJ279" s="72"/>
      <c r="QK279" s="72"/>
      <c r="QL279" s="72"/>
      <c r="QM279" s="72"/>
      <c r="QN279" s="72"/>
      <c r="QO279" s="72"/>
      <c r="QP279" s="72"/>
      <c r="QQ279" s="72"/>
      <c r="QR279" s="72"/>
      <c r="QS279" s="72"/>
      <c r="QT279" s="72"/>
      <c r="QU279" s="72"/>
      <c r="QV279" s="72"/>
      <c r="QW279" s="72"/>
      <c r="QX279" s="72"/>
      <c r="QY279" s="72"/>
      <c r="QZ279" s="72"/>
      <c r="RA279" s="72"/>
      <c r="RB279" s="72"/>
      <c r="RC279" s="72"/>
      <c r="RD279" s="72"/>
      <c r="RE279" s="72"/>
      <c r="RF279" s="72"/>
      <c r="RG279" s="72"/>
      <c r="RH279" s="72"/>
      <c r="RI279" s="72"/>
      <c r="RJ279" s="72"/>
      <c r="RK279" s="72"/>
      <c r="RL279" s="72"/>
      <c r="RM279" s="72"/>
      <c r="RN279" s="72"/>
      <c r="RO279" s="72"/>
      <c r="RP279" s="72"/>
      <c r="RQ279" s="72"/>
      <c r="RR279" s="72"/>
      <c r="RS279" s="72"/>
      <c r="RT279" s="72"/>
      <c r="RU279" s="72"/>
      <c r="RV279" s="72"/>
      <c r="RW279" s="72"/>
      <c r="RX279" s="72"/>
      <c r="RY279" s="72"/>
      <c r="RZ279" s="72"/>
      <c r="SA279" s="72"/>
      <c r="SB279" s="72"/>
      <c r="SC279" s="72"/>
      <c r="SD279" s="72"/>
      <c r="SE279" s="72"/>
      <c r="SF279" s="72"/>
      <c r="SG279" s="72"/>
      <c r="SH279" s="72"/>
      <c r="SI279" s="72"/>
      <c r="SJ279" s="72"/>
      <c r="SK279" s="72"/>
      <c r="SL279" s="72"/>
      <c r="SM279" s="72"/>
      <c r="SN279" s="72"/>
      <c r="SO279" s="72"/>
      <c r="SP279" s="72"/>
      <c r="SQ279" s="72"/>
      <c r="SR279" s="72"/>
      <c r="SS279" s="72"/>
      <c r="ST279" s="72"/>
      <c r="SU279" s="72"/>
      <c r="SV279" s="72"/>
      <c r="SW279" s="72"/>
      <c r="SX279" s="72"/>
      <c r="SY279" s="72"/>
      <c r="SZ279" s="72"/>
      <c r="TA279" s="72"/>
      <c r="TB279" s="72"/>
      <c r="TC279" s="72"/>
      <c r="TD279" s="72"/>
      <c r="TE279" s="72"/>
      <c r="TF279" s="72"/>
      <c r="TG279" s="72"/>
      <c r="TH279" s="72"/>
      <c r="TI279" s="72"/>
      <c r="TJ279" s="72"/>
      <c r="TK279" s="72"/>
      <c r="TL279" s="72"/>
      <c r="TM279" s="72"/>
      <c r="TN279" s="72"/>
      <c r="TO279" s="72"/>
      <c r="TP279" s="72"/>
      <c r="TQ279" s="72"/>
      <c r="TR279" s="72"/>
      <c r="TS279" s="72"/>
      <c r="TT279" s="72"/>
      <c r="TU279" s="72"/>
      <c r="TV279" s="72"/>
      <c r="TW279" s="72"/>
      <c r="TX279" s="72"/>
      <c r="TY279" s="72"/>
      <c r="TZ279" s="72"/>
      <c r="UA279" s="72"/>
      <c r="UB279" s="72"/>
      <c r="UC279" s="72"/>
      <c r="UD279" s="72"/>
      <c r="UE279" s="72"/>
      <c r="UF279" s="72"/>
      <c r="UG279" s="72"/>
      <c r="UH279" s="72"/>
      <c r="UI279" s="72"/>
      <c r="UJ279" s="72"/>
      <c r="UK279" s="72"/>
      <c r="UL279" s="72"/>
      <c r="UM279" s="72"/>
      <c r="UN279" s="72"/>
      <c r="UO279" s="72"/>
      <c r="UP279" s="72"/>
      <c r="UQ279" s="72"/>
      <c r="UR279" s="72"/>
      <c r="US279" s="72"/>
      <c r="UT279" s="72"/>
      <c r="UU279" s="72"/>
      <c r="UV279" s="72"/>
      <c r="UW279" s="72"/>
      <c r="UX279" s="72"/>
      <c r="UY279" s="72"/>
      <c r="UZ279" s="72"/>
      <c r="VA279" s="72"/>
      <c r="VB279" s="72"/>
      <c r="VC279" s="72"/>
      <c r="VD279" s="72"/>
      <c r="VE279" s="72"/>
      <c r="VF279" s="72"/>
    </row>
    <row r="280" spans="1:578" s="52" customFormat="1" ht="33" customHeight="1" x14ac:dyDescent="0.2">
      <c r="A280" s="39" t="s">
        <v>555</v>
      </c>
      <c r="B280" s="90" t="str">
        <f>'дод 3'!A171</f>
        <v>7370</v>
      </c>
      <c r="C280" s="90" t="str">
        <f>'дод 3'!B171</f>
        <v>0490</v>
      </c>
      <c r="D280" s="42" t="str">
        <f>'дод 3'!C171</f>
        <v>Реалізація інших заходів щодо соціально-економічного розвитку територій</v>
      </c>
      <c r="E280" s="65">
        <v>0</v>
      </c>
      <c r="F280" s="65"/>
      <c r="G280" s="65"/>
      <c r="H280" s="65"/>
      <c r="I280" s="65"/>
      <c r="J280" s="65"/>
      <c r="K280" s="130"/>
      <c r="L280" s="65">
        <f t="shared" si="73"/>
        <v>12888400</v>
      </c>
      <c r="M280" s="65">
        <v>12888400</v>
      </c>
      <c r="N280" s="65"/>
      <c r="O280" s="65"/>
      <c r="P280" s="65"/>
      <c r="Q280" s="65">
        <v>12888400</v>
      </c>
      <c r="R280" s="65">
        <f t="shared" si="74"/>
        <v>12888400</v>
      </c>
      <c r="S280" s="65">
        <v>12888400</v>
      </c>
      <c r="T280" s="65"/>
      <c r="U280" s="65"/>
      <c r="V280" s="65"/>
      <c r="W280" s="65">
        <v>12888400</v>
      </c>
      <c r="X280" s="132">
        <f t="shared" si="91"/>
        <v>100</v>
      </c>
      <c r="Y280" s="65">
        <f t="shared" si="92"/>
        <v>12888400</v>
      </c>
      <c r="Z280" s="20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  <c r="GN280" s="72"/>
      <c r="GO280" s="72"/>
      <c r="GP280" s="72"/>
      <c r="GQ280" s="72"/>
      <c r="GR280" s="72"/>
      <c r="GS280" s="72"/>
      <c r="GT280" s="72"/>
      <c r="GU280" s="72"/>
      <c r="GV280" s="72"/>
      <c r="GW280" s="72"/>
      <c r="GX280" s="72"/>
      <c r="GY280" s="72"/>
      <c r="GZ280" s="72"/>
      <c r="HA280" s="72"/>
      <c r="HB280" s="72"/>
      <c r="HC280" s="72"/>
      <c r="HD280" s="72"/>
      <c r="HE280" s="72"/>
      <c r="HF280" s="72"/>
      <c r="HG280" s="72"/>
      <c r="HH280" s="72"/>
      <c r="HI280" s="72"/>
      <c r="HJ280" s="72"/>
      <c r="HK280" s="72"/>
      <c r="HL280" s="72"/>
      <c r="HM280" s="72"/>
      <c r="HN280" s="72"/>
      <c r="HO280" s="72"/>
      <c r="HP280" s="72"/>
      <c r="HQ280" s="72"/>
      <c r="HR280" s="72"/>
      <c r="HS280" s="72"/>
      <c r="HT280" s="72"/>
      <c r="HU280" s="72"/>
      <c r="HV280" s="72"/>
      <c r="HW280" s="72"/>
      <c r="HX280" s="72"/>
      <c r="HY280" s="72"/>
      <c r="HZ280" s="72"/>
      <c r="IA280" s="72"/>
      <c r="IB280" s="72"/>
      <c r="IC280" s="72"/>
      <c r="ID280" s="72"/>
      <c r="IE280" s="72"/>
      <c r="IF280" s="72"/>
      <c r="IG280" s="72"/>
      <c r="IH280" s="72"/>
      <c r="II280" s="72"/>
      <c r="IJ280" s="72"/>
      <c r="IK280" s="72"/>
      <c r="IL280" s="72"/>
      <c r="IM280" s="72"/>
      <c r="IN280" s="72"/>
      <c r="IO280" s="72"/>
      <c r="IP280" s="72"/>
      <c r="IQ280" s="72"/>
      <c r="IR280" s="72"/>
      <c r="IS280" s="72"/>
      <c r="IT280" s="72"/>
      <c r="IU280" s="72"/>
      <c r="IV280" s="72"/>
      <c r="IW280" s="72"/>
      <c r="IX280" s="72"/>
      <c r="IY280" s="72"/>
      <c r="IZ280" s="72"/>
      <c r="JA280" s="72"/>
      <c r="JB280" s="72"/>
      <c r="JC280" s="72"/>
      <c r="JD280" s="72"/>
      <c r="JE280" s="72"/>
      <c r="JF280" s="72"/>
      <c r="JG280" s="72"/>
      <c r="JH280" s="72"/>
      <c r="JI280" s="72"/>
      <c r="JJ280" s="72"/>
      <c r="JK280" s="72"/>
      <c r="JL280" s="72"/>
      <c r="JM280" s="72"/>
      <c r="JN280" s="72"/>
      <c r="JO280" s="72"/>
      <c r="JP280" s="72"/>
      <c r="JQ280" s="72"/>
      <c r="JR280" s="72"/>
      <c r="JS280" s="72"/>
      <c r="JT280" s="72"/>
      <c r="JU280" s="72"/>
      <c r="JV280" s="72"/>
      <c r="JW280" s="72"/>
      <c r="JX280" s="72"/>
      <c r="JY280" s="72"/>
      <c r="JZ280" s="72"/>
      <c r="KA280" s="72"/>
      <c r="KB280" s="72"/>
      <c r="KC280" s="72"/>
      <c r="KD280" s="72"/>
      <c r="KE280" s="72"/>
      <c r="KF280" s="72"/>
      <c r="KG280" s="72"/>
      <c r="KH280" s="72"/>
      <c r="KI280" s="72"/>
      <c r="KJ280" s="72"/>
      <c r="KK280" s="72"/>
      <c r="KL280" s="72"/>
      <c r="KM280" s="72"/>
      <c r="KN280" s="72"/>
      <c r="KO280" s="72"/>
      <c r="KP280" s="72"/>
      <c r="KQ280" s="72"/>
      <c r="KR280" s="72"/>
      <c r="KS280" s="72"/>
      <c r="KT280" s="72"/>
      <c r="KU280" s="72"/>
      <c r="KV280" s="72"/>
      <c r="KW280" s="72"/>
      <c r="KX280" s="72"/>
      <c r="KY280" s="72"/>
      <c r="KZ280" s="72"/>
      <c r="LA280" s="72"/>
      <c r="LB280" s="72"/>
      <c r="LC280" s="72"/>
      <c r="LD280" s="72"/>
      <c r="LE280" s="72"/>
      <c r="LF280" s="72"/>
      <c r="LG280" s="72"/>
      <c r="LH280" s="72"/>
      <c r="LI280" s="72"/>
      <c r="LJ280" s="72"/>
      <c r="LK280" s="72"/>
      <c r="LL280" s="72"/>
      <c r="LM280" s="72"/>
      <c r="LN280" s="72"/>
      <c r="LO280" s="72"/>
      <c r="LP280" s="72"/>
      <c r="LQ280" s="72"/>
      <c r="LR280" s="72"/>
      <c r="LS280" s="72"/>
      <c r="LT280" s="72"/>
      <c r="LU280" s="72"/>
      <c r="LV280" s="72"/>
      <c r="LW280" s="72"/>
      <c r="LX280" s="72"/>
      <c r="LY280" s="72"/>
      <c r="LZ280" s="72"/>
      <c r="MA280" s="72"/>
      <c r="MB280" s="72"/>
      <c r="MC280" s="72"/>
      <c r="MD280" s="72"/>
      <c r="ME280" s="72"/>
      <c r="MF280" s="72"/>
      <c r="MG280" s="72"/>
      <c r="MH280" s="72"/>
      <c r="MI280" s="72"/>
      <c r="MJ280" s="72"/>
      <c r="MK280" s="72"/>
      <c r="ML280" s="72"/>
      <c r="MM280" s="72"/>
      <c r="MN280" s="72"/>
      <c r="MO280" s="72"/>
      <c r="MP280" s="72"/>
      <c r="MQ280" s="72"/>
      <c r="MR280" s="72"/>
      <c r="MS280" s="72"/>
      <c r="MT280" s="72"/>
      <c r="MU280" s="72"/>
      <c r="MV280" s="72"/>
      <c r="MW280" s="72"/>
      <c r="MX280" s="72"/>
      <c r="MY280" s="72"/>
      <c r="MZ280" s="72"/>
      <c r="NA280" s="72"/>
      <c r="NB280" s="72"/>
      <c r="NC280" s="72"/>
      <c r="ND280" s="72"/>
      <c r="NE280" s="72"/>
      <c r="NF280" s="72"/>
      <c r="NG280" s="72"/>
      <c r="NH280" s="72"/>
      <c r="NI280" s="72"/>
      <c r="NJ280" s="72"/>
      <c r="NK280" s="72"/>
      <c r="NL280" s="72"/>
      <c r="NM280" s="72"/>
      <c r="NN280" s="72"/>
      <c r="NO280" s="72"/>
      <c r="NP280" s="72"/>
      <c r="NQ280" s="72"/>
      <c r="NR280" s="72"/>
      <c r="NS280" s="72"/>
      <c r="NT280" s="72"/>
      <c r="NU280" s="72"/>
      <c r="NV280" s="72"/>
      <c r="NW280" s="72"/>
      <c r="NX280" s="72"/>
      <c r="NY280" s="72"/>
      <c r="NZ280" s="72"/>
      <c r="OA280" s="72"/>
      <c r="OB280" s="72"/>
      <c r="OC280" s="72"/>
      <c r="OD280" s="72"/>
      <c r="OE280" s="72"/>
      <c r="OF280" s="72"/>
      <c r="OG280" s="72"/>
      <c r="OH280" s="72"/>
      <c r="OI280" s="72"/>
      <c r="OJ280" s="72"/>
      <c r="OK280" s="72"/>
      <c r="OL280" s="72"/>
      <c r="OM280" s="72"/>
      <c r="ON280" s="72"/>
      <c r="OO280" s="72"/>
      <c r="OP280" s="72"/>
      <c r="OQ280" s="72"/>
      <c r="OR280" s="72"/>
      <c r="OS280" s="72"/>
      <c r="OT280" s="72"/>
      <c r="OU280" s="72"/>
      <c r="OV280" s="72"/>
      <c r="OW280" s="72"/>
      <c r="OX280" s="72"/>
      <c r="OY280" s="72"/>
      <c r="OZ280" s="72"/>
      <c r="PA280" s="72"/>
      <c r="PB280" s="72"/>
      <c r="PC280" s="72"/>
      <c r="PD280" s="72"/>
      <c r="PE280" s="72"/>
      <c r="PF280" s="72"/>
      <c r="PG280" s="72"/>
      <c r="PH280" s="72"/>
      <c r="PI280" s="72"/>
      <c r="PJ280" s="72"/>
      <c r="PK280" s="72"/>
      <c r="PL280" s="72"/>
      <c r="PM280" s="72"/>
      <c r="PN280" s="72"/>
      <c r="PO280" s="72"/>
      <c r="PP280" s="72"/>
      <c r="PQ280" s="72"/>
      <c r="PR280" s="72"/>
      <c r="PS280" s="72"/>
      <c r="PT280" s="72"/>
      <c r="PU280" s="72"/>
      <c r="PV280" s="72"/>
      <c r="PW280" s="72"/>
      <c r="PX280" s="72"/>
      <c r="PY280" s="72"/>
      <c r="PZ280" s="72"/>
      <c r="QA280" s="72"/>
      <c r="QB280" s="72"/>
      <c r="QC280" s="72"/>
      <c r="QD280" s="72"/>
      <c r="QE280" s="72"/>
      <c r="QF280" s="72"/>
      <c r="QG280" s="72"/>
      <c r="QH280" s="72"/>
      <c r="QI280" s="72"/>
      <c r="QJ280" s="72"/>
      <c r="QK280" s="72"/>
      <c r="QL280" s="72"/>
      <c r="QM280" s="72"/>
      <c r="QN280" s="72"/>
      <c r="QO280" s="72"/>
      <c r="QP280" s="72"/>
      <c r="QQ280" s="72"/>
      <c r="QR280" s="72"/>
      <c r="QS280" s="72"/>
      <c r="QT280" s="72"/>
      <c r="QU280" s="72"/>
      <c r="QV280" s="72"/>
      <c r="QW280" s="72"/>
      <c r="QX280" s="72"/>
      <c r="QY280" s="72"/>
      <c r="QZ280" s="72"/>
      <c r="RA280" s="72"/>
      <c r="RB280" s="72"/>
      <c r="RC280" s="72"/>
      <c r="RD280" s="72"/>
      <c r="RE280" s="72"/>
      <c r="RF280" s="72"/>
      <c r="RG280" s="72"/>
      <c r="RH280" s="72"/>
      <c r="RI280" s="72"/>
      <c r="RJ280" s="72"/>
      <c r="RK280" s="72"/>
      <c r="RL280" s="72"/>
      <c r="RM280" s="72"/>
      <c r="RN280" s="72"/>
      <c r="RO280" s="72"/>
      <c r="RP280" s="72"/>
      <c r="RQ280" s="72"/>
      <c r="RR280" s="72"/>
      <c r="RS280" s="72"/>
      <c r="RT280" s="72"/>
      <c r="RU280" s="72"/>
      <c r="RV280" s="72"/>
      <c r="RW280" s="72"/>
      <c r="RX280" s="72"/>
      <c r="RY280" s="72"/>
      <c r="RZ280" s="72"/>
      <c r="SA280" s="72"/>
      <c r="SB280" s="72"/>
      <c r="SC280" s="72"/>
      <c r="SD280" s="72"/>
      <c r="SE280" s="72"/>
      <c r="SF280" s="72"/>
      <c r="SG280" s="72"/>
      <c r="SH280" s="72"/>
      <c r="SI280" s="72"/>
      <c r="SJ280" s="72"/>
      <c r="SK280" s="72"/>
      <c r="SL280" s="72"/>
      <c r="SM280" s="72"/>
      <c r="SN280" s="72"/>
      <c r="SO280" s="72"/>
      <c r="SP280" s="72"/>
      <c r="SQ280" s="72"/>
      <c r="SR280" s="72"/>
      <c r="SS280" s="72"/>
      <c r="ST280" s="72"/>
      <c r="SU280" s="72"/>
      <c r="SV280" s="72"/>
      <c r="SW280" s="72"/>
      <c r="SX280" s="72"/>
      <c r="SY280" s="72"/>
      <c r="SZ280" s="72"/>
      <c r="TA280" s="72"/>
      <c r="TB280" s="72"/>
      <c r="TC280" s="72"/>
      <c r="TD280" s="72"/>
      <c r="TE280" s="72"/>
      <c r="TF280" s="72"/>
      <c r="TG280" s="72"/>
      <c r="TH280" s="72"/>
      <c r="TI280" s="72"/>
      <c r="TJ280" s="72"/>
      <c r="TK280" s="72"/>
      <c r="TL280" s="72"/>
      <c r="TM280" s="72"/>
      <c r="TN280" s="72"/>
      <c r="TO280" s="72"/>
      <c r="TP280" s="72"/>
      <c r="TQ280" s="72"/>
      <c r="TR280" s="72"/>
      <c r="TS280" s="72"/>
      <c r="TT280" s="72"/>
      <c r="TU280" s="72"/>
      <c r="TV280" s="72"/>
      <c r="TW280" s="72"/>
      <c r="TX280" s="72"/>
      <c r="TY280" s="72"/>
      <c r="TZ280" s="72"/>
      <c r="UA280" s="72"/>
      <c r="UB280" s="72"/>
      <c r="UC280" s="72"/>
      <c r="UD280" s="72"/>
      <c r="UE280" s="72"/>
      <c r="UF280" s="72"/>
      <c r="UG280" s="72"/>
      <c r="UH280" s="72"/>
      <c r="UI280" s="72"/>
      <c r="UJ280" s="72"/>
      <c r="UK280" s="72"/>
      <c r="UL280" s="72"/>
      <c r="UM280" s="72"/>
      <c r="UN280" s="72"/>
      <c r="UO280" s="72"/>
      <c r="UP280" s="72"/>
      <c r="UQ280" s="72"/>
      <c r="UR280" s="72"/>
      <c r="US280" s="72"/>
      <c r="UT280" s="72"/>
      <c r="UU280" s="72"/>
      <c r="UV280" s="72"/>
      <c r="UW280" s="72"/>
      <c r="UX280" s="72"/>
      <c r="UY280" s="72"/>
      <c r="UZ280" s="72"/>
      <c r="VA280" s="72"/>
      <c r="VB280" s="72"/>
      <c r="VC280" s="72"/>
      <c r="VD280" s="72"/>
      <c r="VE280" s="72"/>
      <c r="VF280" s="72"/>
    </row>
    <row r="281" spans="1:578" s="41" customFormat="1" ht="29.25" customHeight="1" x14ac:dyDescent="0.2">
      <c r="A281" s="43" t="s">
        <v>284</v>
      </c>
      <c r="B281" s="95" t="str">
        <f>'дод 3'!A184</f>
        <v>7610</v>
      </c>
      <c r="C281" s="95" t="str">
        <f>'дод 3'!B184</f>
        <v>0411</v>
      </c>
      <c r="D281" s="40" t="str">
        <f>'дод 3'!C184</f>
        <v>Сприяння розвитку малого та середнього підприємництва</v>
      </c>
      <c r="E281" s="65">
        <v>322000</v>
      </c>
      <c r="F281" s="65"/>
      <c r="G281" s="65"/>
      <c r="H281" s="65">
        <v>9085</v>
      </c>
      <c r="I281" s="65"/>
      <c r="J281" s="65"/>
      <c r="K281" s="130">
        <f t="shared" si="94"/>
        <v>2.8214285714285712</v>
      </c>
      <c r="L281" s="65">
        <f t="shared" si="73"/>
        <v>0</v>
      </c>
      <c r="M281" s="65"/>
      <c r="N281" s="65"/>
      <c r="O281" s="65"/>
      <c r="P281" s="65"/>
      <c r="Q281" s="65"/>
      <c r="R281" s="65">
        <f t="shared" si="74"/>
        <v>0</v>
      </c>
      <c r="S281" s="65"/>
      <c r="T281" s="65"/>
      <c r="U281" s="65"/>
      <c r="V281" s="65"/>
      <c r="W281" s="65"/>
      <c r="X281" s="132"/>
      <c r="Y281" s="65">
        <f t="shared" si="92"/>
        <v>9085</v>
      </c>
      <c r="Z281" s="202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  <c r="IW281" s="47"/>
      <c r="IX281" s="47"/>
      <c r="IY281" s="47"/>
      <c r="IZ281" s="47"/>
      <c r="JA281" s="47"/>
      <c r="JB281" s="47"/>
      <c r="JC281" s="47"/>
      <c r="JD281" s="47"/>
      <c r="JE281" s="47"/>
      <c r="JF281" s="47"/>
      <c r="JG281" s="47"/>
      <c r="JH281" s="47"/>
      <c r="JI281" s="47"/>
      <c r="JJ281" s="47"/>
      <c r="JK281" s="47"/>
      <c r="JL281" s="47"/>
      <c r="JM281" s="47"/>
      <c r="JN281" s="47"/>
      <c r="JO281" s="47"/>
      <c r="JP281" s="47"/>
      <c r="JQ281" s="47"/>
      <c r="JR281" s="47"/>
      <c r="JS281" s="47"/>
      <c r="JT281" s="47"/>
      <c r="JU281" s="47"/>
      <c r="JV281" s="47"/>
      <c r="JW281" s="47"/>
      <c r="JX281" s="47"/>
      <c r="JY281" s="47"/>
      <c r="JZ281" s="47"/>
      <c r="KA281" s="47"/>
      <c r="KB281" s="47"/>
      <c r="KC281" s="47"/>
      <c r="KD281" s="47"/>
      <c r="KE281" s="47"/>
      <c r="KF281" s="47"/>
      <c r="KG281" s="47"/>
      <c r="KH281" s="47"/>
      <c r="KI281" s="47"/>
      <c r="KJ281" s="47"/>
      <c r="KK281" s="47"/>
      <c r="KL281" s="47"/>
      <c r="KM281" s="47"/>
      <c r="KN281" s="47"/>
      <c r="KO281" s="47"/>
      <c r="KP281" s="47"/>
      <c r="KQ281" s="47"/>
      <c r="KR281" s="47"/>
      <c r="KS281" s="47"/>
      <c r="KT281" s="47"/>
      <c r="KU281" s="47"/>
      <c r="KV281" s="47"/>
      <c r="KW281" s="47"/>
      <c r="KX281" s="47"/>
      <c r="KY281" s="47"/>
      <c r="KZ281" s="47"/>
      <c r="LA281" s="47"/>
      <c r="LB281" s="47"/>
      <c r="LC281" s="47"/>
      <c r="LD281" s="47"/>
      <c r="LE281" s="47"/>
      <c r="LF281" s="47"/>
      <c r="LG281" s="47"/>
      <c r="LH281" s="47"/>
      <c r="LI281" s="47"/>
      <c r="LJ281" s="47"/>
      <c r="LK281" s="47"/>
      <c r="LL281" s="47"/>
      <c r="LM281" s="47"/>
      <c r="LN281" s="47"/>
      <c r="LO281" s="47"/>
      <c r="LP281" s="47"/>
      <c r="LQ281" s="47"/>
      <c r="LR281" s="47"/>
      <c r="LS281" s="47"/>
      <c r="LT281" s="47"/>
      <c r="LU281" s="47"/>
      <c r="LV281" s="47"/>
      <c r="LW281" s="47"/>
      <c r="LX281" s="47"/>
      <c r="LY281" s="47"/>
      <c r="LZ281" s="47"/>
      <c r="MA281" s="47"/>
      <c r="MB281" s="47"/>
      <c r="MC281" s="47"/>
      <c r="MD281" s="47"/>
      <c r="ME281" s="47"/>
      <c r="MF281" s="47"/>
      <c r="MG281" s="47"/>
      <c r="MH281" s="47"/>
      <c r="MI281" s="47"/>
      <c r="MJ281" s="47"/>
      <c r="MK281" s="47"/>
      <c r="ML281" s="47"/>
      <c r="MM281" s="47"/>
      <c r="MN281" s="47"/>
      <c r="MO281" s="47"/>
      <c r="MP281" s="47"/>
      <c r="MQ281" s="47"/>
      <c r="MR281" s="47"/>
      <c r="MS281" s="47"/>
      <c r="MT281" s="47"/>
      <c r="MU281" s="47"/>
      <c r="MV281" s="47"/>
      <c r="MW281" s="47"/>
      <c r="MX281" s="47"/>
      <c r="MY281" s="47"/>
      <c r="MZ281" s="47"/>
      <c r="NA281" s="47"/>
      <c r="NB281" s="47"/>
      <c r="NC281" s="47"/>
      <c r="ND281" s="47"/>
      <c r="NE281" s="47"/>
      <c r="NF281" s="47"/>
      <c r="NG281" s="47"/>
      <c r="NH281" s="47"/>
      <c r="NI281" s="47"/>
      <c r="NJ281" s="47"/>
      <c r="NK281" s="47"/>
      <c r="NL281" s="47"/>
      <c r="NM281" s="47"/>
      <c r="NN281" s="47"/>
      <c r="NO281" s="47"/>
      <c r="NP281" s="47"/>
      <c r="NQ281" s="47"/>
      <c r="NR281" s="47"/>
      <c r="NS281" s="47"/>
      <c r="NT281" s="47"/>
      <c r="NU281" s="47"/>
      <c r="NV281" s="47"/>
      <c r="NW281" s="47"/>
      <c r="NX281" s="47"/>
      <c r="NY281" s="47"/>
      <c r="NZ281" s="47"/>
      <c r="OA281" s="47"/>
      <c r="OB281" s="47"/>
      <c r="OC281" s="47"/>
      <c r="OD281" s="47"/>
      <c r="OE281" s="47"/>
      <c r="OF281" s="47"/>
      <c r="OG281" s="47"/>
      <c r="OH281" s="47"/>
      <c r="OI281" s="47"/>
      <c r="OJ281" s="47"/>
      <c r="OK281" s="47"/>
      <c r="OL281" s="47"/>
      <c r="OM281" s="47"/>
      <c r="ON281" s="47"/>
      <c r="OO281" s="47"/>
      <c r="OP281" s="47"/>
      <c r="OQ281" s="47"/>
      <c r="OR281" s="47"/>
      <c r="OS281" s="47"/>
      <c r="OT281" s="47"/>
      <c r="OU281" s="47"/>
      <c r="OV281" s="47"/>
      <c r="OW281" s="47"/>
      <c r="OX281" s="47"/>
      <c r="OY281" s="47"/>
      <c r="OZ281" s="47"/>
      <c r="PA281" s="47"/>
      <c r="PB281" s="47"/>
      <c r="PC281" s="47"/>
      <c r="PD281" s="47"/>
      <c r="PE281" s="47"/>
      <c r="PF281" s="47"/>
      <c r="PG281" s="47"/>
      <c r="PH281" s="47"/>
      <c r="PI281" s="47"/>
      <c r="PJ281" s="47"/>
      <c r="PK281" s="47"/>
      <c r="PL281" s="47"/>
      <c r="PM281" s="47"/>
      <c r="PN281" s="47"/>
      <c r="PO281" s="47"/>
      <c r="PP281" s="47"/>
      <c r="PQ281" s="47"/>
      <c r="PR281" s="47"/>
      <c r="PS281" s="47"/>
      <c r="PT281" s="47"/>
      <c r="PU281" s="47"/>
      <c r="PV281" s="47"/>
      <c r="PW281" s="47"/>
      <c r="PX281" s="47"/>
      <c r="PY281" s="47"/>
      <c r="PZ281" s="47"/>
      <c r="QA281" s="47"/>
      <c r="QB281" s="47"/>
      <c r="QC281" s="47"/>
      <c r="QD281" s="47"/>
      <c r="QE281" s="47"/>
      <c r="QF281" s="47"/>
      <c r="QG281" s="47"/>
      <c r="QH281" s="47"/>
      <c r="QI281" s="47"/>
      <c r="QJ281" s="47"/>
      <c r="QK281" s="47"/>
      <c r="QL281" s="47"/>
      <c r="QM281" s="47"/>
      <c r="QN281" s="47"/>
      <c r="QO281" s="47"/>
      <c r="QP281" s="47"/>
      <c r="QQ281" s="47"/>
      <c r="QR281" s="47"/>
      <c r="QS281" s="47"/>
      <c r="QT281" s="47"/>
      <c r="QU281" s="47"/>
      <c r="QV281" s="47"/>
      <c r="QW281" s="47"/>
      <c r="QX281" s="47"/>
      <c r="QY281" s="47"/>
      <c r="QZ281" s="47"/>
      <c r="RA281" s="47"/>
      <c r="RB281" s="47"/>
      <c r="RC281" s="47"/>
      <c r="RD281" s="47"/>
      <c r="RE281" s="47"/>
      <c r="RF281" s="47"/>
      <c r="RG281" s="47"/>
      <c r="RH281" s="47"/>
      <c r="RI281" s="47"/>
      <c r="RJ281" s="47"/>
      <c r="RK281" s="47"/>
      <c r="RL281" s="47"/>
      <c r="RM281" s="47"/>
      <c r="RN281" s="47"/>
      <c r="RO281" s="47"/>
      <c r="RP281" s="47"/>
      <c r="RQ281" s="47"/>
      <c r="RR281" s="47"/>
      <c r="RS281" s="47"/>
      <c r="RT281" s="47"/>
      <c r="RU281" s="47"/>
      <c r="RV281" s="47"/>
      <c r="RW281" s="47"/>
      <c r="RX281" s="47"/>
      <c r="RY281" s="47"/>
      <c r="RZ281" s="47"/>
      <c r="SA281" s="47"/>
      <c r="SB281" s="47"/>
      <c r="SC281" s="47"/>
      <c r="SD281" s="47"/>
      <c r="SE281" s="47"/>
      <c r="SF281" s="47"/>
      <c r="SG281" s="47"/>
      <c r="SH281" s="47"/>
      <c r="SI281" s="47"/>
      <c r="SJ281" s="47"/>
      <c r="SK281" s="47"/>
      <c r="SL281" s="47"/>
      <c r="SM281" s="47"/>
      <c r="SN281" s="47"/>
      <c r="SO281" s="47"/>
      <c r="SP281" s="47"/>
      <c r="SQ281" s="47"/>
      <c r="SR281" s="47"/>
      <c r="SS281" s="47"/>
      <c r="ST281" s="47"/>
      <c r="SU281" s="47"/>
      <c r="SV281" s="47"/>
      <c r="SW281" s="47"/>
      <c r="SX281" s="47"/>
      <c r="SY281" s="47"/>
      <c r="SZ281" s="47"/>
      <c r="TA281" s="47"/>
      <c r="TB281" s="47"/>
      <c r="TC281" s="47"/>
      <c r="TD281" s="47"/>
      <c r="TE281" s="47"/>
      <c r="TF281" s="47"/>
      <c r="TG281" s="47"/>
      <c r="TH281" s="47"/>
      <c r="TI281" s="47"/>
      <c r="TJ281" s="47"/>
      <c r="TK281" s="47"/>
      <c r="TL281" s="47"/>
      <c r="TM281" s="47"/>
      <c r="TN281" s="47"/>
      <c r="TO281" s="47"/>
      <c r="TP281" s="47"/>
      <c r="TQ281" s="47"/>
      <c r="TR281" s="47"/>
      <c r="TS281" s="47"/>
      <c r="TT281" s="47"/>
      <c r="TU281" s="47"/>
      <c r="TV281" s="47"/>
      <c r="TW281" s="47"/>
      <c r="TX281" s="47"/>
      <c r="TY281" s="47"/>
      <c r="TZ281" s="47"/>
      <c r="UA281" s="47"/>
      <c r="UB281" s="47"/>
      <c r="UC281" s="47"/>
      <c r="UD281" s="47"/>
      <c r="UE281" s="47"/>
      <c r="UF281" s="47"/>
      <c r="UG281" s="47"/>
      <c r="UH281" s="47"/>
      <c r="UI281" s="47"/>
      <c r="UJ281" s="47"/>
      <c r="UK281" s="47"/>
      <c r="UL281" s="47"/>
      <c r="UM281" s="47"/>
      <c r="UN281" s="47"/>
      <c r="UO281" s="47"/>
      <c r="UP281" s="47"/>
      <c r="UQ281" s="47"/>
      <c r="UR281" s="47"/>
      <c r="US281" s="47"/>
      <c r="UT281" s="47"/>
      <c r="UU281" s="47"/>
      <c r="UV281" s="47"/>
      <c r="UW281" s="47"/>
      <c r="UX281" s="47"/>
      <c r="UY281" s="47"/>
      <c r="UZ281" s="47"/>
      <c r="VA281" s="47"/>
      <c r="VB281" s="47"/>
      <c r="VC281" s="47"/>
      <c r="VD281" s="47"/>
      <c r="VE281" s="47"/>
      <c r="VF281" s="47"/>
    </row>
    <row r="282" spans="1:578" s="41" customFormat="1" ht="37.5" customHeight="1" x14ac:dyDescent="0.2">
      <c r="A282" s="43" t="s">
        <v>345</v>
      </c>
      <c r="B282" s="95" t="str">
        <f>'дод 3'!A186</f>
        <v>7650</v>
      </c>
      <c r="C282" s="95" t="str">
        <f>'дод 3'!B186</f>
        <v>0490</v>
      </c>
      <c r="D282" s="40" t="str">
        <f>'дод 3'!C186</f>
        <v>Проведення експертної  грошової  оцінки  земельної ділянки чи права на неї</v>
      </c>
      <c r="E282" s="65">
        <v>0</v>
      </c>
      <c r="F282" s="65"/>
      <c r="G282" s="65"/>
      <c r="H282" s="65"/>
      <c r="I282" s="65"/>
      <c r="J282" s="65"/>
      <c r="K282" s="130"/>
      <c r="L282" s="65">
        <f t="shared" si="73"/>
        <v>50000</v>
      </c>
      <c r="M282" s="65">
        <v>50000</v>
      </c>
      <c r="N282" s="65"/>
      <c r="O282" s="65"/>
      <c r="P282" s="65"/>
      <c r="Q282" s="65">
        <v>50000</v>
      </c>
      <c r="R282" s="65">
        <f t="shared" si="74"/>
        <v>0</v>
      </c>
      <c r="S282" s="65"/>
      <c r="T282" s="65"/>
      <c r="U282" s="65"/>
      <c r="V282" s="65"/>
      <c r="W282" s="65"/>
      <c r="X282" s="132">
        <f t="shared" si="91"/>
        <v>0</v>
      </c>
      <c r="Y282" s="65">
        <f t="shared" si="92"/>
        <v>0</v>
      </c>
      <c r="Z282" s="202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  <c r="IW282" s="47"/>
      <c r="IX282" s="47"/>
      <c r="IY282" s="47"/>
      <c r="IZ282" s="47"/>
      <c r="JA282" s="47"/>
      <c r="JB282" s="47"/>
      <c r="JC282" s="47"/>
      <c r="JD282" s="47"/>
      <c r="JE282" s="47"/>
      <c r="JF282" s="47"/>
      <c r="JG282" s="47"/>
      <c r="JH282" s="47"/>
      <c r="JI282" s="47"/>
      <c r="JJ282" s="47"/>
      <c r="JK282" s="47"/>
      <c r="JL282" s="47"/>
      <c r="JM282" s="47"/>
      <c r="JN282" s="47"/>
      <c r="JO282" s="47"/>
      <c r="JP282" s="47"/>
      <c r="JQ282" s="47"/>
      <c r="JR282" s="47"/>
      <c r="JS282" s="47"/>
      <c r="JT282" s="47"/>
      <c r="JU282" s="47"/>
      <c r="JV282" s="47"/>
      <c r="JW282" s="47"/>
      <c r="JX282" s="47"/>
      <c r="JY282" s="47"/>
      <c r="JZ282" s="47"/>
      <c r="KA282" s="47"/>
      <c r="KB282" s="47"/>
      <c r="KC282" s="47"/>
      <c r="KD282" s="47"/>
      <c r="KE282" s="47"/>
      <c r="KF282" s="47"/>
      <c r="KG282" s="47"/>
      <c r="KH282" s="47"/>
      <c r="KI282" s="47"/>
      <c r="KJ282" s="47"/>
      <c r="KK282" s="47"/>
      <c r="KL282" s="47"/>
      <c r="KM282" s="47"/>
      <c r="KN282" s="47"/>
      <c r="KO282" s="47"/>
      <c r="KP282" s="47"/>
      <c r="KQ282" s="47"/>
      <c r="KR282" s="47"/>
      <c r="KS282" s="47"/>
      <c r="KT282" s="47"/>
      <c r="KU282" s="47"/>
      <c r="KV282" s="47"/>
      <c r="KW282" s="47"/>
      <c r="KX282" s="47"/>
      <c r="KY282" s="47"/>
      <c r="KZ282" s="47"/>
      <c r="LA282" s="47"/>
      <c r="LB282" s="47"/>
      <c r="LC282" s="47"/>
      <c r="LD282" s="47"/>
      <c r="LE282" s="47"/>
      <c r="LF282" s="47"/>
      <c r="LG282" s="47"/>
      <c r="LH282" s="47"/>
      <c r="LI282" s="47"/>
      <c r="LJ282" s="47"/>
      <c r="LK282" s="47"/>
      <c r="LL282" s="47"/>
      <c r="LM282" s="47"/>
      <c r="LN282" s="47"/>
      <c r="LO282" s="47"/>
      <c r="LP282" s="47"/>
      <c r="LQ282" s="47"/>
      <c r="LR282" s="47"/>
      <c r="LS282" s="47"/>
      <c r="LT282" s="47"/>
      <c r="LU282" s="47"/>
      <c r="LV282" s="47"/>
      <c r="LW282" s="47"/>
      <c r="LX282" s="47"/>
      <c r="LY282" s="47"/>
      <c r="LZ282" s="47"/>
      <c r="MA282" s="47"/>
      <c r="MB282" s="47"/>
      <c r="MC282" s="47"/>
      <c r="MD282" s="47"/>
      <c r="ME282" s="47"/>
      <c r="MF282" s="47"/>
      <c r="MG282" s="47"/>
      <c r="MH282" s="47"/>
      <c r="MI282" s="47"/>
      <c r="MJ282" s="47"/>
      <c r="MK282" s="47"/>
      <c r="ML282" s="47"/>
      <c r="MM282" s="47"/>
      <c r="MN282" s="47"/>
      <c r="MO282" s="47"/>
      <c r="MP282" s="47"/>
      <c r="MQ282" s="47"/>
      <c r="MR282" s="47"/>
      <c r="MS282" s="47"/>
      <c r="MT282" s="47"/>
      <c r="MU282" s="47"/>
      <c r="MV282" s="47"/>
      <c r="MW282" s="47"/>
      <c r="MX282" s="47"/>
      <c r="MY282" s="47"/>
      <c r="MZ282" s="47"/>
      <c r="NA282" s="47"/>
      <c r="NB282" s="47"/>
      <c r="NC282" s="47"/>
      <c r="ND282" s="47"/>
      <c r="NE282" s="47"/>
      <c r="NF282" s="47"/>
      <c r="NG282" s="47"/>
      <c r="NH282" s="47"/>
      <c r="NI282" s="47"/>
      <c r="NJ282" s="47"/>
      <c r="NK282" s="47"/>
      <c r="NL282" s="47"/>
      <c r="NM282" s="47"/>
      <c r="NN282" s="47"/>
      <c r="NO282" s="47"/>
      <c r="NP282" s="47"/>
      <c r="NQ282" s="47"/>
      <c r="NR282" s="47"/>
      <c r="NS282" s="47"/>
      <c r="NT282" s="47"/>
      <c r="NU282" s="47"/>
      <c r="NV282" s="47"/>
      <c r="NW282" s="47"/>
      <c r="NX282" s="47"/>
      <c r="NY282" s="47"/>
      <c r="NZ282" s="47"/>
      <c r="OA282" s="47"/>
      <c r="OB282" s="47"/>
      <c r="OC282" s="47"/>
      <c r="OD282" s="47"/>
      <c r="OE282" s="47"/>
      <c r="OF282" s="47"/>
      <c r="OG282" s="47"/>
      <c r="OH282" s="47"/>
      <c r="OI282" s="47"/>
      <c r="OJ282" s="47"/>
      <c r="OK282" s="47"/>
      <c r="OL282" s="47"/>
      <c r="OM282" s="47"/>
      <c r="ON282" s="47"/>
      <c r="OO282" s="47"/>
      <c r="OP282" s="47"/>
      <c r="OQ282" s="47"/>
      <c r="OR282" s="47"/>
      <c r="OS282" s="47"/>
      <c r="OT282" s="47"/>
      <c r="OU282" s="47"/>
      <c r="OV282" s="47"/>
      <c r="OW282" s="47"/>
      <c r="OX282" s="47"/>
      <c r="OY282" s="47"/>
      <c r="OZ282" s="47"/>
      <c r="PA282" s="47"/>
      <c r="PB282" s="47"/>
      <c r="PC282" s="47"/>
      <c r="PD282" s="47"/>
      <c r="PE282" s="47"/>
      <c r="PF282" s="47"/>
      <c r="PG282" s="47"/>
      <c r="PH282" s="47"/>
      <c r="PI282" s="47"/>
      <c r="PJ282" s="47"/>
      <c r="PK282" s="47"/>
      <c r="PL282" s="47"/>
      <c r="PM282" s="47"/>
      <c r="PN282" s="47"/>
      <c r="PO282" s="47"/>
      <c r="PP282" s="47"/>
      <c r="PQ282" s="47"/>
      <c r="PR282" s="47"/>
      <c r="PS282" s="47"/>
      <c r="PT282" s="47"/>
      <c r="PU282" s="47"/>
      <c r="PV282" s="47"/>
      <c r="PW282" s="47"/>
      <c r="PX282" s="47"/>
      <c r="PY282" s="47"/>
      <c r="PZ282" s="47"/>
      <c r="QA282" s="47"/>
      <c r="QB282" s="47"/>
      <c r="QC282" s="47"/>
      <c r="QD282" s="47"/>
      <c r="QE282" s="47"/>
      <c r="QF282" s="47"/>
      <c r="QG282" s="47"/>
      <c r="QH282" s="47"/>
      <c r="QI282" s="47"/>
      <c r="QJ282" s="47"/>
      <c r="QK282" s="47"/>
      <c r="QL282" s="47"/>
      <c r="QM282" s="47"/>
      <c r="QN282" s="47"/>
      <c r="QO282" s="47"/>
      <c r="QP282" s="47"/>
      <c r="QQ282" s="47"/>
      <c r="QR282" s="47"/>
      <c r="QS282" s="47"/>
      <c r="QT282" s="47"/>
      <c r="QU282" s="47"/>
      <c r="QV282" s="47"/>
      <c r="QW282" s="47"/>
      <c r="QX282" s="47"/>
      <c r="QY282" s="47"/>
      <c r="QZ282" s="47"/>
      <c r="RA282" s="47"/>
      <c r="RB282" s="47"/>
      <c r="RC282" s="47"/>
      <c r="RD282" s="47"/>
      <c r="RE282" s="47"/>
      <c r="RF282" s="47"/>
      <c r="RG282" s="47"/>
      <c r="RH282" s="47"/>
      <c r="RI282" s="47"/>
      <c r="RJ282" s="47"/>
      <c r="RK282" s="47"/>
      <c r="RL282" s="47"/>
      <c r="RM282" s="47"/>
      <c r="RN282" s="47"/>
      <c r="RO282" s="47"/>
      <c r="RP282" s="47"/>
      <c r="RQ282" s="47"/>
      <c r="RR282" s="47"/>
      <c r="RS282" s="47"/>
      <c r="RT282" s="47"/>
      <c r="RU282" s="47"/>
      <c r="RV282" s="47"/>
      <c r="RW282" s="47"/>
      <c r="RX282" s="47"/>
      <c r="RY282" s="47"/>
      <c r="RZ282" s="47"/>
      <c r="SA282" s="47"/>
      <c r="SB282" s="47"/>
      <c r="SC282" s="47"/>
      <c r="SD282" s="47"/>
      <c r="SE282" s="47"/>
      <c r="SF282" s="47"/>
      <c r="SG282" s="47"/>
      <c r="SH282" s="47"/>
      <c r="SI282" s="47"/>
      <c r="SJ282" s="47"/>
      <c r="SK282" s="47"/>
      <c r="SL282" s="47"/>
      <c r="SM282" s="47"/>
      <c r="SN282" s="47"/>
      <c r="SO282" s="47"/>
      <c r="SP282" s="47"/>
      <c r="SQ282" s="47"/>
      <c r="SR282" s="47"/>
      <c r="SS282" s="47"/>
      <c r="ST282" s="47"/>
      <c r="SU282" s="47"/>
      <c r="SV282" s="47"/>
      <c r="SW282" s="47"/>
      <c r="SX282" s="47"/>
      <c r="SY282" s="47"/>
      <c r="SZ282" s="47"/>
      <c r="TA282" s="47"/>
      <c r="TB282" s="47"/>
      <c r="TC282" s="47"/>
      <c r="TD282" s="47"/>
      <c r="TE282" s="47"/>
      <c r="TF282" s="47"/>
      <c r="TG282" s="47"/>
      <c r="TH282" s="47"/>
      <c r="TI282" s="47"/>
      <c r="TJ282" s="47"/>
      <c r="TK282" s="47"/>
      <c r="TL282" s="47"/>
      <c r="TM282" s="47"/>
      <c r="TN282" s="47"/>
      <c r="TO282" s="47"/>
      <c r="TP282" s="47"/>
      <c r="TQ282" s="47"/>
      <c r="TR282" s="47"/>
      <c r="TS282" s="47"/>
      <c r="TT282" s="47"/>
      <c r="TU282" s="47"/>
      <c r="TV282" s="47"/>
      <c r="TW282" s="47"/>
      <c r="TX282" s="47"/>
      <c r="TY282" s="47"/>
      <c r="TZ282" s="47"/>
      <c r="UA282" s="47"/>
      <c r="UB282" s="47"/>
      <c r="UC282" s="47"/>
      <c r="UD282" s="47"/>
      <c r="UE282" s="47"/>
      <c r="UF282" s="47"/>
      <c r="UG282" s="47"/>
      <c r="UH282" s="47"/>
      <c r="UI282" s="47"/>
      <c r="UJ282" s="47"/>
      <c r="UK282" s="47"/>
      <c r="UL282" s="47"/>
      <c r="UM282" s="47"/>
      <c r="UN282" s="47"/>
      <c r="UO282" s="47"/>
      <c r="UP282" s="47"/>
      <c r="UQ282" s="47"/>
      <c r="UR282" s="47"/>
      <c r="US282" s="47"/>
      <c r="UT282" s="47"/>
      <c r="UU282" s="47"/>
      <c r="UV282" s="47"/>
      <c r="UW282" s="47"/>
      <c r="UX282" s="47"/>
      <c r="UY282" s="47"/>
      <c r="UZ282" s="47"/>
      <c r="VA282" s="47"/>
      <c r="VB282" s="47"/>
      <c r="VC282" s="47"/>
      <c r="VD282" s="47"/>
      <c r="VE282" s="47"/>
      <c r="VF282" s="47"/>
    </row>
    <row r="283" spans="1:578" s="41" customFormat="1" ht="45" customHeight="1" x14ac:dyDescent="0.2">
      <c r="A283" s="43" t="s">
        <v>347</v>
      </c>
      <c r="B283" s="95" t="str">
        <f>'дод 3'!A187</f>
        <v>7660</v>
      </c>
      <c r="C283" s="95" t="str">
        <f>'дод 3'!B187</f>
        <v>0490</v>
      </c>
      <c r="D283" s="40" t="str">
        <f>'дод 3'!C187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3" s="65">
        <v>0</v>
      </c>
      <c r="F283" s="65"/>
      <c r="G283" s="65"/>
      <c r="H283" s="65"/>
      <c r="I283" s="65"/>
      <c r="J283" s="65"/>
      <c r="K283" s="130"/>
      <c r="L283" s="65">
        <f t="shared" si="73"/>
        <v>25000</v>
      </c>
      <c r="M283" s="65">
        <v>25000</v>
      </c>
      <c r="N283" s="65"/>
      <c r="O283" s="65"/>
      <c r="P283" s="65"/>
      <c r="Q283" s="65">
        <v>25000</v>
      </c>
      <c r="R283" s="65">
        <f t="shared" si="74"/>
        <v>0</v>
      </c>
      <c r="S283" s="65"/>
      <c r="T283" s="65"/>
      <c r="U283" s="65"/>
      <c r="V283" s="65"/>
      <c r="W283" s="65"/>
      <c r="X283" s="132">
        <f t="shared" si="91"/>
        <v>0</v>
      </c>
      <c r="Y283" s="65">
        <f t="shared" si="92"/>
        <v>0</v>
      </c>
      <c r="Z283" s="202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  <c r="IW283" s="47"/>
      <c r="IX283" s="47"/>
      <c r="IY283" s="47"/>
      <c r="IZ283" s="47"/>
      <c r="JA283" s="47"/>
      <c r="JB283" s="47"/>
      <c r="JC283" s="47"/>
      <c r="JD283" s="47"/>
      <c r="JE283" s="47"/>
      <c r="JF283" s="47"/>
      <c r="JG283" s="47"/>
      <c r="JH283" s="47"/>
      <c r="JI283" s="47"/>
      <c r="JJ283" s="47"/>
      <c r="JK283" s="47"/>
      <c r="JL283" s="47"/>
      <c r="JM283" s="47"/>
      <c r="JN283" s="47"/>
      <c r="JO283" s="47"/>
      <c r="JP283" s="47"/>
      <c r="JQ283" s="47"/>
      <c r="JR283" s="47"/>
      <c r="JS283" s="47"/>
      <c r="JT283" s="47"/>
      <c r="JU283" s="47"/>
      <c r="JV283" s="47"/>
      <c r="JW283" s="47"/>
      <c r="JX283" s="47"/>
      <c r="JY283" s="47"/>
      <c r="JZ283" s="47"/>
      <c r="KA283" s="47"/>
      <c r="KB283" s="47"/>
      <c r="KC283" s="47"/>
      <c r="KD283" s="47"/>
      <c r="KE283" s="47"/>
      <c r="KF283" s="47"/>
      <c r="KG283" s="47"/>
      <c r="KH283" s="47"/>
      <c r="KI283" s="47"/>
      <c r="KJ283" s="47"/>
      <c r="KK283" s="47"/>
      <c r="KL283" s="47"/>
      <c r="KM283" s="47"/>
      <c r="KN283" s="47"/>
      <c r="KO283" s="47"/>
      <c r="KP283" s="47"/>
      <c r="KQ283" s="47"/>
      <c r="KR283" s="47"/>
      <c r="KS283" s="47"/>
      <c r="KT283" s="47"/>
      <c r="KU283" s="47"/>
      <c r="KV283" s="47"/>
      <c r="KW283" s="47"/>
      <c r="KX283" s="47"/>
      <c r="KY283" s="47"/>
      <c r="KZ283" s="47"/>
      <c r="LA283" s="47"/>
      <c r="LB283" s="47"/>
      <c r="LC283" s="47"/>
      <c r="LD283" s="47"/>
      <c r="LE283" s="47"/>
      <c r="LF283" s="47"/>
      <c r="LG283" s="47"/>
      <c r="LH283" s="47"/>
      <c r="LI283" s="47"/>
      <c r="LJ283" s="47"/>
      <c r="LK283" s="47"/>
      <c r="LL283" s="47"/>
      <c r="LM283" s="47"/>
      <c r="LN283" s="47"/>
      <c r="LO283" s="47"/>
      <c r="LP283" s="47"/>
      <c r="LQ283" s="47"/>
      <c r="LR283" s="47"/>
      <c r="LS283" s="47"/>
      <c r="LT283" s="47"/>
      <c r="LU283" s="47"/>
      <c r="LV283" s="47"/>
      <c r="LW283" s="47"/>
      <c r="LX283" s="47"/>
      <c r="LY283" s="47"/>
      <c r="LZ283" s="47"/>
      <c r="MA283" s="47"/>
      <c r="MB283" s="47"/>
      <c r="MC283" s="47"/>
      <c r="MD283" s="47"/>
      <c r="ME283" s="47"/>
      <c r="MF283" s="47"/>
      <c r="MG283" s="47"/>
      <c r="MH283" s="47"/>
      <c r="MI283" s="47"/>
      <c r="MJ283" s="47"/>
      <c r="MK283" s="47"/>
      <c r="ML283" s="47"/>
      <c r="MM283" s="47"/>
      <c r="MN283" s="47"/>
      <c r="MO283" s="47"/>
      <c r="MP283" s="47"/>
      <c r="MQ283" s="47"/>
      <c r="MR283" s="47"/>
      <c r="MS283" s="47"/>
      <c r="MT283" s="47"/>
      <c r="MU283" s="47"/>
      <c r="MV283" s="47"/>
      <c r="MW283" s="47"/>
      <c r="MX283" s="47"/>
      <c r="MY283" s="47"/>
      <c r="MZ283" s="47"/>
      <c r="NA283" s="47"/>
      <c r="NB283" s="47"/>
      <c r="NC283" s="47"/>
      <c r="ND283" s="47"/>
      <c r="NE283" s="47"/>
      <c r="NF283" s="47"/>
      <c r="NG283" s="47"/>
      <c r="NH283" s="47"/>
      <c r="NI283" s="47"/>
      <c r="NJ283" s="47"/>
      <c r="NK283" s="47"/>
      <c r="NL283" s="47"/>
      <c r="NM283" s="47"/>
      <c r="NN283" s="47"/>
      <c r="NO283" s="47"/>
      <c r="NP283" s="47"/>
      <c r="NQ283" s="47"/>
      <c r="NR283" s="47"/>
      <c r="NS283" s="47"/>
      <c r="NT283" s="47"/>
      <c r="NU283" s="47"/>
      <c r="NV283" s="47"/>
      <c r="NW283" s="47"/>
      <c r="NX283" s="47"/>
      <c r="NY283" s="47"/>
      <c r="NZ283" s="47"/>
      <c r="OA283" s="47"/>
      <c r="OB283" s="47"/>
      <c r="OC283" s="47"/>
      <c r="OD283" s="47"/>
      <c r="OE283" s="47"/>
      <c r="OF283" s="47"/>
      <c r="OG283" s="47"/>
      <c r="OH283" s="47"/>
      <c r="OI283" s="47"/>
      <c r="OJ283" s="47"/>
      <c r="OK283" s="47"/>
      <c r="OL283" s="47"/>
      <c r="OM283" s="47"/>
      <c r="ON283" s="47"/>
      <c r="OO283" s="47"/>
      <c r="OP283" s="47"/>
      <c r="OQ283" s="47"/>
      <c r="OR283" s="47"/>
      <c r="OS283" s="47"/>
      <c r="OT283" s="47"/>
      <c r="OU283" s="47"/>
      <c r="OV283" s="47"/>
      <c r="OW283" s="47"/>
      <c r="OX283" s="47"/>
      <c r="OY283" s="47"/>
      <c r="OZ283" s="47"/>
      <c r="PA283" s="47"/>
      <c r="PB283" s="47"/>
      <c r="PC283" s="47"/>
      <c r="PD283" s="47"/>
      <c r="PE283" s="47"/>
      <c r="PF283" s="47"/>
      <c r="PG283" s="47"/>
      <c r="PH283" s="47"/>
      <c r="PI283" s="47"/>
      <c r="PJ283" s="47"/>
      <c r="PK283" s="47"/>
      <c r="PL283" s="47"/>
      <c r="PM283" s="47"/>
      <c r="PN283" s="47"/>
      <c r="PO283" s="47"/>
      <c r="PP283" s="47"/>
      <c r="PQ283" s="47"/>
      <c r="PR283" s="47"/>
      <c r="PS283" s="47"/>
      <c r="PT283" s="47"/>
      <c r="PU283" s="47"/>
      <c r="PV283" s="47"/>
      <c r="PW283" s="47"/>
      <c r="PX283" s="47"/>
      <c r="PY283" s="47"/>
      <c r="PZ283" s="47"/>
      <c r="QA283" s="47"/>
      <c r="QB283" s="47"/>
      <c r="QC283" s="47"/>
      <c r="QD283" s="47"/>
      <c r="QE283" s="47"/>
      <c r="QF283" s="47"/>
      <c r="QG283" s="47"/>
      <c r="QH283" s="47"/>
      <c r="QI283" s="47"/>
      <c r="QJ283" s="47"/>
      <c r="QK283" s="47"/>
      <c r="QL283" s="47"/>
      <c r="QM283" s="47"/>
      <c r="QN283" s="47"/>
      <c r="QO283" s="47"/>
      <c r="QP283" s="47"/>
      <c r="QQ283" s="47"/>
      <c r="QR283" s="47"/>
      <c r="QS283" s="47"/>
      <c r="QT283" s="47"/>
      <c r="QU283" s="47"/>
      <c r="QV283" s="47"/>
      <c r="QW283" s="47"/>
      <c r="QX283" s="47"/>
      <c r="QY283" s="47"/>
      <c r="QZ283" s="47"/>
      <c r="RA283" s="47"/>
      <c r="RB283" s="47"/>
      <c r="RC283" s="47"/>
      <c r="RD283" s="47"/>
      <c r="RE283" s="47"/>
      <c r="RF283" s="47"/>
      <c r="RG283" s="47"/>
      <c r="RH283" s="47"/>
      <c r="RI283" s="47"/>
      <c r="RJ283" s="47"/>
      <c r="RK283" s="47"/>
      <c r="RL283" s="47"/>
      <c r="RM283" s="47"/>
      <c r="RN283" s="47"/>
      <c r="RO283" s="47"/>
      <c r="RP283" s="47"/>
      <c r="RQ283" s="47"/>
      <c r="RR283" s="47"/>
      <c r="RS283" s="47"/>
      <c r="RT283" s="47"/>
      <c r="RU283" s="47"/>
      <c r="RV283" s="47"/>
      <c r="RW283" s="47"/>
      <c r="RX283" s="47"/>
      <c r="RY283" s="47"/>
      <c r="RZ283" s="47"/>
      <c r="SA283" s="47"/>
      <c r="SB283" s="47"/>
      <c r="SC283" s="47"/>
      <c r="SD283" s="47"/>
      <c r="SE283" s="47"/>
      <c r="SF283" s="47"/>
      <c r="SG283" s="47"/>
      <c r="SH283" s="47"/>
      <c r="SI283" s="47"/>
      <c r="SJ283" s="47"/>
      <c r="SK283" s="47"/>
      <c r="SL283" s="47"/>
      <c r="SM283" s="47"/>
      <c r="SN283" s="47"/>
      <c r="SO283" s="47"/>
      <c r="SP283" s="47"/>
      <c r="SQ283" s="47"/>
      <c r="SR283" s="47"/>
      <c r="SS283" s="47"/>
      <c r="ST283" s="47"/>
      <c r="SU283" s="47"/>
      <c r="SV283" s="47"/>
      <c r="SW283" s="47"/>
      <c r="SX283" s="47"/>
      <c r="SY283" s="47"/>
      <c r="SZ283" s="47"/>
      <c r="TA283" s="47"/>
      <c r="TB283" s="47"/>
      <c r="TC283" s="47"/>
      <c r="TD283" s="47"/>
      <c r="TE283" s="47"/>
      <c r="TF283" s="47"/>
      <c r="TG283" s="47"/>
      <c r="TH283" s="47"/>
      <c r="TI283" s="47"/>
      <c r="TJ283" s="47"/>
      <c r="TK283" s="47"/>
      <c r="TL283" s="47"/>
      <c r="TM283" s="47"/>
      <c r="TN283" s="47"/>
      <c r="TO283" s="47"/>
      <c r="TP283" s="47"/>
      <c r="TQ283" s="47"/>
      <c r="TR283" s="47"/>
      <c r="TS283" s="47"/>
      <c r="TT283" s="47"/>
      <c r="TU283" s="47"/>
      <c r="TV283" s="47"/>
      <c r="TW283" s="47"/>
      <c r="TX283" s="47"/>
      <c r="TY283" s="47"/>
      <c r="TZ283" s="47"/>
      <c r="UA283" s="47"/>
      <c r="UB283" s="47"/>
      <c r="UC283" s="47"/>
      <c r="UD283" s="47"/>
      <c r="UE283" s="47"/>
      <c r="UF283" s="47"/>
      <c r="UG283" s="47"/>
      <c r="UH283" s="47"/>
      <c r="UI283" s="47"/>
      <c r="UJ283" s="47"/>
      <c r="UK283" s="47"/>
      <c r="UL283" s="47"/>
      <c r="UM283" s="47"/>
      <c r="UN283" s="47"/>
      <c r="UO283" s="47"/>
      <c r="UP283" s="47"/>
      <c r="UQ283" s="47"/>
      <c r="UR283" s="47"/>
      <c r="US283" s="47"/>
      <c r="UT283" s="47"/>
      <c r="UU283" s="47"/>
      <c r="UV283" s="47"/>
      <c r="UW283" s="47"/>
      <c r="UX283" s="47"/>
      <c r="UY283" s="47"/>
      <c r="UZ283" s="47"/>
      <c r="VA283" s="47"/>
      <c r="VB283" s="47"/>
      <c r="VC283" s="47"/>
      <c r="VD283" s="47"/>
      <c r="VE283" s="47"/>
      <c r="VF283" s="47"/>
    </row>
    <row r="284" spans="1:578" s="41" customFormat="1" ht="23.25" customHeight="1" x14ac:dyDescent="0.2">
      <c r="A284" s="43" t="s">
        <v>341</v>
      </c>
      <c r="B284" s="95" t="str">
        <f>'дод 3'!A191</f>
        <v>7693</v>
      </c>
      <c r="C284" s="95" t="str">
        <f>'дод 3'!B191</f>
        <v>0490</v>
      </c>
      <c r="D284" s="40" t="str">
        <f>'дод 3'!C191</f>
        <v>Інші заходи, пов'язані з економічною діяльністю</v>
      </c>
      <c r="E284" s="65">
        <v>630000</v>
      </c>
      <c r="F284" s="65"/>
      <c r="G284" s="65"/>
      <c r="H284" s="65">
        <v>80348.02</v>
      </c>
      <c r="I284" s="65"/>
      <c r="J284" s="65"/>
      <c r="K284" s="130">
        <f t="shared" si="94"/>
        <v>12.753653968253969</v>
      </c>
      <c r="L284" s="65">
        <f t="shared" si="73"/>
        <v>0</v>
      </c>
      <c r="M284" s="65"/>
      <c r="N284" s="65"/>
      <c r="O284" s="65"/>
      <c r="P284" s="65"/>
      <c r="Q284" s="65"/>
      <c r="R284" s="65">
        <f t="shared" si="74"/>
        <v>0</v>
      </c>
      <c r="S284" s="65"/>
      <c r="T284" s="65"/>
      <c r="U284" s="65"/>
      <c r="V284" s="65"/>
      <c r="W284" s="65"/>
      <c r="X284" s="132"/>
      <c r="Y284" s="65">
        <f t="shared" si="92"/>
        <v>80348.02</v>
      </c>
      <c r="Z284" s="202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  <c r="IW284" s="47"/>
      <c r="IX284" s="47"/>
      <c r="IY284" s="47"/>
      <c r="IZ284" s="47"/>
      <c r="JA284" s="47"/>
      <c r="JB284" s="47"/>
      <c r="JC284" s="47"/>
      <c r="JD284" s="47"/>
      <c r="JE284" s="47"/>
      <c r="JF284" s="47"/>
      <c r="JG284" s="47"/>
      <c r="JH284" s="47"/>
      <c r="JI284" s="47"/>
      <c r="JJ284" s="47"/>
      <c r="JK284" s="47"/>
      <c r="JL284" s="47"/>
      <c r="JM284" s="47"/>
      <c r="JN284" s="47"/>
      <c r="JO284" s="47"/>
      <c r="JP284" s="47"/>
      <c r="JQ284" s="47"/>
      <c r="JR284" s="47"/>
      <c r="JS284" s="47"/>
      <c r="JT284" s="47"/>
      <c r="JU284" s="47"/>
      <c r="JV284" s="47"/>
      <c r="JW284" s="47"/>
      <c r="JX284" s="47"/>
      <c r="JY284" s="47"/>
      <c r="JZ284" s="47"/>
      <c r="KA284" s="47"/>
      <c r="KB284" s="47"/>
      <c r="KC284" s="47"/>
      <c r="KD284" s="47"/>
      <c r="KE284" s="47"/>
      <c r="KF284" s="47"/>
      <c r="KG284" s="47"/>
      <c r="KH284" s="47"/>
      <c r="KI284" s="47"/>
      <c r="KJ284" s="47"/>
      <c r="KK284" s="47"/>
      <c r="KL284" s="47"/>
      <c r="KM284" s="47"/>
      <c r="KN284" s="47"/>
      <c r="KO284" s="47"/>
      <c r="KP284" s="47"/>
      <c r="KQ284" s="47"/>
      <c r="KR284" s="47"/>
      <c r="KS284" s="47"/>
      <c r="KT284" s="47"/>
      <c r="KU284" s="47"/>
      <c r="KV284" s="47"/>
      <c r="KW284" s="47"/>
      <c r="KX284" s="47"/>
      <c r="KY284" s="47"/>
      <c r="KZ284" s="47"/>
      <c r="LA284" s="47"/>
      <c r="LB284" s="47"/>
      <c r="LC284" s="47"/>
      <c r="LD284" s="47"/>
      <c r="LE284" s="47"/>
      <c r="LF284" s="47"/>
      <c r="LG284" s="47"/>
      <c r="LH284" s="47"/>
      <c r="LI284" s="47"/>
      <c r="LJ284" s="47"/>
      <c r="LK284" s="47"/>
      <c r="LL284" s="47"/>
      <c r="LM284" s="47"/>
      <c r="LN284" s="47"/>
      <c r="LO284" s="47"/>
      <c r="LP284" s="47"/>
      <c r="LQ284" s="47"/>
      <c r="LR284" s="47"/>
      <c r="LS284" s="47"/>
      <c r="LT284" s="47"/>
      <c r="LU284" s="47"/>
      <c r="LV284" s="47"/>
      <c r="LW284" s="47"/>
      <c r="LX284" s="47"/>
      <c r="LY284" s="47"/>
      <c r="LZ284" s="47"/>
      <c r="MA284" s="47"/>
      <c r="MB284" s="47"/>
      <c r="MC284" s="47"/>
      <c r="MD284" s="47"/>
      <c r="ME284" s="47"/>
      <c r="MF284" s="47"/>
      <c r="MG284" s="47"/>
      <c r="MH284" s="47"/>
      <c r="MI284" s="47"/>
      <c r="MJ284" s="47"/>
      <c r="MK284" s="47"/>
      <c r="ML284" s="47"/>
      <c r="MM284" s="47"/>
      <c r="MN284" s="47"/>
      <c r="MO284" s="47"/>
      <c r="MP284" s="47"/>
      <c r="MQ284" s="47"/>
      <c r="MR284" s="47"/>
      <c r="MS284" s="47"/>
      <c r="MT284" s="47"/>
      <c r="MU284" s="47"/>
      <c r="MV284" s="47"/>
      <c r="MW284" s="47"/>
      <c r="MX284" s="47"/>
      <c r="MY284" s="47"/>
      <c r="MZ284" s="47"/>
      <c r="NA284" s="47"/>
      <c r="NB284" s="47"/>
      <c r="NC284" s="47"/>
      <c r="ND284" s="47"/>
      <c r="NE284" s="47"/>
      <c r="NF284" s="47"/>
      <c r="NG284" s="47"/>
      <c r="NH284" s="47"/>
      <c r="NI284" s="47"/>
      <c r="NJ284" s="47"/>
      <c r="NK284" s="47"/>
      <c r="NL284" s="47"/>
      <c r="NM284" s="47"/>
      <c r="NN284" s="47"/>
      <c r="NO284" s="47"/>
      <c r="NP284" s="47"/>
      <c r="NQ284" s="47"/>
      <c r="NR284" s="47"/>
      <c r="NS284" s="47"/>
      <c r="NT284" s="47"/>
      <c r="NU284" s="47"/>
      <c r="NV284" s="47"/>
      <c r="NW284" s="47"/>
      <c r="NX284" s="47"/>
      <c r="NY284" s="47"/>
      <c r="NZ284" s="47"/>
      <c r="OA284" s="47"/>
      <c r="OB284" s="47"/>
      <c r="OC284" s="47"/>
      <c r="OD284" s="47"/>
      <c r="OE284" s="47"/>
      <c r="OF284" s="47"/>
      <c r="OG284" s="47"/>
      <c r="OH284" s="47"/>
      <c r="OI284" s="47"/>
      <c r="OJ284" s="47"/>
      <c r="OK284" s="47"/>
      <c r="OL284" s="47"/>
      <c r="OM284" s="47"/>
      <c r="ON284" s="47"/>
      <c r="OO284" s="47"/>
      <c r="OP284" s="47"/>
      <c r="OQ284" s="47"/>
      <c r="OR284" s="47"/>
      <c r="OS284" s="47"/>
      <c r="OT284" s="47"/>
      <c r="OU284" s="47"/>
      <c r="OV284" s="47"/>
      <c r="OW284" s="47"/>
      <c r="OX284" s="47"/>
      <c r="OY284" s="47"/>
      <c r="OZ284" s="47"/>
      <c r="PA284" s="47"/>
      <c r="PB284" s="47"/>
      <c r="PC284" s="47"/>
      <c r="PD284" s="47"/>
      <c r="PE284" s="47"/>
      <c r="PF284" s="47"/>
      <c r="PG284" s="47"/>
      <c r="PH284" s="47"/>
      <c r="PI284" s="47"/>
      <c r="PJ284" s="47"/>
      <c r="PK284" s="47"/>
      <c r="PL284" s="47"/>
      <c r="PM284" s="47"/>
      <c r="PN284" s="47"/>
      <c r="PO284" s="47"/>
      <c r="PP284" s="47"/>
      <c r="PQ284" s="47"/>
      <c r="PR284" s="47"/>
      <c r="PS284" s="47"/>
      <c r="PT284" s="47"/>
      <c r="PU284" s="47"/>
      <c r="PV284" s="47"/>
      <c r="PW284" s="47"/>
      <c r="PX284" s="47"/>
      <c r="PY284" s="47"/>
      <c r="PZ284" s="47"/>
      <c r="QA284" s="47"/>
      <c r="QB284" s="47"/>
      <c r="QC284" s="47"/>
      <c r="QD284" s="47"/>
      <c r="QE284" s="47"/>
      <c r="QF284" s="47"/>
      <c r="QG284" s="47"/>
      <c r="QH284" s="47"/>
      <c r="QI284" s="47"/>
      <c r="QJ284" s="47"/>
      <c r="QK284" s="47"/>
      <c r="QL284" s="47"/>
      <c r="QM284" s="47"/>
      <c r="QN284" s="47"/>
      <c r="QO284" s="47"/>
      <c r="QP284" s="47"/>
      <c r="QQ284" s="47"/>
      <c r="QR284" s="47"/>
      <c r="QS284" s="47"/>
      <c r="QT284" s="47"/>
      <c r="QU284" s="47"/>
      <c r="QV284" s="47"/>
      <c r="QW284" s="47"/>
      <c r="QX284" s="47"/>
      <c r="QY284" s="47"/>
      <c r="QZ284" s="47"/>
      <c r="RA284" s="47"/>
      <c r="RB284" s="47"/>
      <c r="RC284" s="47"/>
      <c r="RD284" s="47"/>
      <c r="RE284" s="47"/>
      <c r="RF284" s="47"/>
      <c r="RG284" s="47"/>
      <c r="RH284" s="47"/>
      <c r="RI284" s="47"/>
      <c r="RJ284" s="47"/>
      <c r="RK284" s="47"/>
      <c r="RL284" s="47"/>
      <c r="RM284" s="47"/>
      <c r="RN284" s="47"/>
      <c r="RO284" s="47"/>
      <c r="RP284" s="47"/>
      <c r="RQ284" s="47"/>
      <c r="RR284" s="47"/>
      <c r="RS284" s="47"/>
      <c r="RT284" s="47"/>
      <c r="RU284" s="47"/>
      <c r="RV284" s="47"/>
      <c r="RW284" s="47"/>
      <c r="RX284" s="47"/>
      <c r="RY284" s="47"/>
      <c r="RZ284" s="47"/>
      <c r="SA284" s="47"/>
      <c r="SB284" s="47"/>
      <c r="SC284" s="47"/>
      <c r="SD284" s="47"/>
      <c r="SE284" s="47"/>
      <c r="SF284" s="47"/>
      <c r="SG284" s="47"/>
      <c r="SH284" s="47"/>
      <c r="SI284" s="47"/>
      <c r="SJ284" s="47"/>
      <c r="SK284" s="47"/>
      <c r="SL284" s="47"/>
      <c r="SM284" s="47"/>
      <c r="SN284" s="47"/>
      <c r="SO284" s="47"/>
      <c r="SP284" s="47"/>
      <c r="SQ284" s="47"/>
      <c r="SR284" s="47"/>
      <c r="SS284" s="47"/>
      <c r="ST284" s="47"/>
      <c r="SU284" s="47"/>
      <c r="SV284" s="47"/>
      <c r="SW284" s="47"/>
      <c r="SX284" s="47"/>
      <c r="SY284" s="47"/>
      <c r="SZ284" s="47"/>
      <c r="TA284" s="47"/>
      <c r="TB284" s="47"/>
      <c r="TC284" s="47"/>
      <c r="TD284" s="47"/>
      <c r="TE284" s="47"/>
      <c r="TF284" s="47"/>
      <c r="TG284" s="47"/>
      <c r="TH284" s="47"/>
      <c r="TI284" s="47"/>
      <c r="TJ284" s="47"/>
      <c r="TK284" s="47"/>
      <c r="TL284" s="47"/>
      <c r="TM284" s="47"/>
      <c r="TN284" s="47"/>
      <c r="TO284" s="47"/>
      <c r="TP284" s="47"/>
      <c r="TQ284" s="47"/>
      <c r="TR284" s="47"/>
      <c r="TS284" s="47"/>
      <c r="TT284" s="47"/>
      <c r="TU284" s="47"/>
      <c r="TV284" s="47"/>
      <c r="TW284" s="47"/>
      <c r="TX284" s="47"/>
      <c r="TY284" s="47"/>
      <c r="TZ284" s="47"/>
      <c r="UA284" s="47"/>
      <c r="UB284" s="47"/>
      <c r="UC284" s="47"/>
      <c r="UD284" s="47"/>
      <c r="UE284" s="47"/>
      <c r="UF284" s="47"/>
      <c r="UG284" s="47"/>
      <c r="UH284" s="47"/>
      <c r="UI284" s="47"/>
      <c r="UJ284" s="47"/>
      <c r="UK284" s="47"/>
      <c r="UL284" s="47"/>
      <c r="UM284" s="47"/>
      <c r="UN284" s="47"/>
      <c r="UO284" s="47"/>
      <c r="UP284" s="47"/>
      <c r="UQ284" s="47"/>
      <c r="UR284" s="47"/>
      <c r="US284" s="47"/>
      <c r="UT284" s="47"/>
      <c r="UU284" s="47"/>
      <c r="UV284" s="47"/>
      <c r="UW284" s="47"/>
      <c r="UX284" s="47"/>
      <c r="UY284" s="47"/>
      <c r="UZ284" s="47"/>
      <c r="VA284" s="47"/>
      <c r="VB284" s="47"/>
      <c r="VC284" s="47"/>
      <c r="VD284" s="47"/>
      <c r="VE284" s="47"/>
      <c r="VF284" s="47"/>
    </row>
    <row r="285" spans="1:578" s="41" customFormat="1" ht="45" hidden="1" customHeight="1" x14ac:dyDescent="0.2">
      <c r="A285" s="43" t="s">
        <v>496</v>
      </c>
      <c r="B285" s="96" t="str">
        <f>'дод 3'!A222</f>
        <v>9800</v>
      </c>
      <c r="C285" s="96" t="str">
        <f>'дод 3'!B222</f>
        <v>0180</v>
      </c>
      <c r="D285" s="40" t="str">
        <f>'дод 3'!C222</f>
        <v xml:space="preserve">Субвенція з місцевого бюджету державному бюджету на виконання програм соціально-економічного розвитку регіонів </v>
      </c>
      <c r="E285" s="65">
        <v>0</v>
      </c>
      <c r="F285" s="65"/>
      <c r="G285" s="65"/>
      <c r="H285" s="65"/>
      <c r="I285" s="65"/>
      <c r="J285" s="65"/>
      <c r="K285" s="129" t="e">
        <f t="shared" si="94"/>
        <v>#DIV/0!</v>
      </c>
      <c r="L285" s="65">
        <f t="shared" si="73"/>
        <v>0</v>
      </c>
      <c r="M285" s="65"/>
      <c r="N285" s="65"/>
      <c r="O285" s="65"/>
      <c r="P285" s="65"/>
      <c r="Q285" s="65"/>
      <c r="R285" s="65">
        <f t="shared" si="74"/>
        <v>0</v>
      </c>
      <c r="S285" s="65"/>
      <c r="T285" s="65"/>
      <c r="U285" s="65"/>
      <c r="V285" s="65"/>
      <c r="W285" s="65"/>
      <c r="X285" s="131" t="e">
        <f t="shared" si="91"/>
        <v>#DIV/0!</v>
      </c>
      <c r="Y285" s="79">
        <f t="shared" si="92"/>
        <v>0</v>
      </c>
      <c r="Z285" s="202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  <c r="IV285" s="47"/>
      <c r="IW285" s="47"/>
      <c r="IX285" s="47"/>
      <c r="IY285" s="47"/>
      <c r="IZ285" s="47"/>
      <c r="JA285" s="47"/>
      <c r="JB285" s="47"/>
      <c r="JC285" s="47"/>
      <c r="JD285" s="47"/>
      <c r="JE285" s="47"/>
      <c r="JF285" s="47"/>
      <c r="JG285" s="47"/>
      <c r="JH285" s="47"/>
      <c r="JI285" s="47"/>
      <c r="JJ285" s="47"/>
      <c r="JK285" s="47"/>
      <c r="JL285" s="47"/>
      <c r="JM285" s="47"/>
      <c r="JN285" s="47"/>
      <c r="JO285" s="47"/>
      <c r="JP285" s="47"/>
      <c r="JQ285" s="47"/>
      <c r="JR285" s="47"/>
      <c r="JS285" s="47"/>
      <c r="JT285" s="47"/>
      <c r="JU285" s="47"/>
      <c r="JV285" s="47"/>
      <c r="JW285" s="47"/>
      <c r="JX285" s="47"/>
      <c r="JY285" s="47"/>
      <c r="JZ285" s="47"/>
      <c r="KA285" s="47"/>
      <c r="KB285" s="47"/>
      <c r="KC285" s="47"/>
      <c r="KD285" s="47"/>
      <c r="KE285" s="47"/>
      <c r="KF285" s="47"/>
      <c r="KG285" s="47"/>
      <c r="KH285" s="47"/>
      <c r="KI285" s="47"/>
      <c r="KJ285" s="47"/>
      <c r="KK285" s="47"/>
      <c r="KL285" s="47"/>
      <c r="KM285" s="47"/>
      <c r="KN285" s="47"/>
      <c r="KO285" s="47"/>
      <c r="KP285" s="47"/>
      <c r="KQ285" s="47"/>
      <c r="KR285" s="47"/>
      <c r="KS285" s="47"/>
      <c r="KT285" s="47"/>
      <c r="KU285" s="47"/>
      <c r="KV285" s="47"/>
      <c r="KW285" s="47"/>
      <c r="KX285" s="47"/>
      <c r="KY285" s="47"/>
      <c r="KZ285" s="47"/>
      <c r="LA285" s="47"/>
      <c r="LB285" s="47"/>
      <c r="LC285" s="47"/>
      <c r="LD285" s="47"/>
      <c r="LE285" s="47"/>
      <c r="LF285" s="47"/>
      <c r="LG285" s="47"/>
      <c r="LH285" s="47"/>
      <c r="LI285" s="47"/>
      <c r="LJ285" s="47"/>
      <c r="LK285" s="47"/>
      <c r="LL285" s="47"/>
      <c r="LM285" s="47"/>
      <c r="LN285" s="47"/>
      <c r="LO285" s="47"/>
      <c r="LP285" s="47"/>
      <c r="LQ285" s="47"/>
      <c r="LR285" s="47"/>
      <c r="LS285" s="47"/>
      <c r="LT285" s="47"/>
      <c r="LU285" s="47"/>
      <c r="LV285" s="47"/>
      <c r="LW285" s="47"/>
      <c r="LX285" s="47"/>
      <c r="LY285" s="47"/>
      <c r="LZ285" s="47"/>
      <c r="MA285" s="47"/>
      <c r="MB285" s="47"/>
      <c r="MC285" s="47"/>
      <c r="MD285" s="47"/>
      <c r="ME285" s="47"/>
      <c r="MF285" s="47"/>
      <c r="MG285" s="47"/>
      <c r="MH285" s="47"/>
      <c r="MI285" s="47"/>
      <c r="MJ285" s="47"/>
      <c r="MK285" s="47"/>
      <c r="ML285" s="47"/>
      <c r="MM285" s="47"/>
      <c r="MN285" s="47"/>
      <c r="MO285" s="47"/>
      <c r="MP285" s="47"/>
      <c r="MQ285" s="47"/>
      <c r="MR285" s="47"/>
      <c r="MS285" s="47"/>
      <c r="MT285" s="47"/>
      <c r="MU285" s="47"/>
      <c r="MV285" s="47"/>
      <c r="MW285" s="47"/>
      <c r="MX285" s="47"/>
      <c r="MY285" s="47"/>
      <c r="MZ285" s="47"/>
      <c r="NA285" s="47"/>
      <c r="NB285" s="47"/>
      <c r="NC285" s="47"/>
      <c r="ND285" s="47"/>
      <c r="NE285" s="47"/>
      <c r="NF285" s="47"/>
      <c r="NG285" s="47"/>
      <c r="NH285" s="47"/>
      <c r="NI285" s="47"/>
      <c r="NJ285" s="47"/>
      <c r="NK285" s="47"/>
      <c r="NL285" s="47"/>
      <c r="NM285" s="47"/>
      <c r="NN285" s="47"/>
      <c r="NO285" s="47"/>
      <c r="NP285" s="47"/>
      <c r="NQ285" s="47"/>
      <c r="NR285" s="47"/>
      <c r="NS285" s="47"/>
      <c r="NT285" s="47"/>
      <c r="NU285" s="47"/>
      <c r="NV285" s="47"/>
      <c r="NW285" s="47"/>
      <c r="NX285" s="47"/>
      <c r="NY285" s="47"/>
      <c r="NZ285" s="47"/>
      <c r="OA285" s="47"/>
      <c r="OB285" s="47"/>
      <c r="OC285" s="47"/>
      <c r="OD285" s="47"/>
      <c r="OE285" s="47"/>
      <c r="OF285" s="47"/>
      <c r="OG285" s="47"/>
      <c r="OH285" s="47"/>
      <c r="OI285" s="47"/>
      <c r="OJ285" s="47"/>
      <c r="OK285" s="47"/>
      <c r="OL285" s="47"/>
      <c r="OM285" s="47"/>
      <c r="ON285" s="47"/>
      <c r="OO285" s="47"/>
      <c r="OP285" s="47"/>
      <c r="OQ285" s="47"/>
      <c r="OR285" s="47"/>
      <c r="OS285" s="47"/>
      <c r="OT285" s="47"/>
      <c r="OU285" s="47"/>
      <c r="OV285" s="47"/>
      <c r="OW285" s="47"/>
      <c r="OX285" s="47"/>
      <c r="OY285" s="47"/>
      <c r="OZ285" s="47"/>
      <c r="PA285" s="47"/>
      <c r="PB285" s="47"/>
      <c r="PC285" s="47"/>
      <c r="PD285" s="47"/>
      <c r="PE285" s="47"/>
      <c r="PF285" s="47"/>
      <c r="PG285" s="47"/>
      <c r="PH285" s="47"/>
      <c r="PI285" s="47"/>
      <c r="PJ285" s="47"/>
      <c r="PK285" s="47"/>
      <c r="PL285" s="47"/>
      <c r="PM285" s="47"/>
      <c r="PN285" s="47"/>
      <c r="PO285" s="47"/>
      <c r="PP285" s="47"/>
      <c r="PQ285" s="47"/>
      <c r="PR285" s="47"/>
      <c r="PS285" s="47"/>
      <c r="PT285" s="47"/>
      <c r="PU285" s="47"/>
      <c r="PV285" s="47"/>
      <c r="PW285" s="47"/>
      <c r="PX285" s="47"/>
      <c r="PY285" s="47"/>
      <c r="PZ285" s="47"/>
      <c r="QA285" s="47"/>
      <c r="QB285" s="47"/>
      <c r="QC285" s="47"/>
      <c r="QD285" s="47"/>
      <c r="QE285" s="47"/>
      <c r="QF285" s="47"/>
      <c r="QG285" s="47"/>
      <c r="QH285" s="47"/>
      <c r="QI285" s="47"/>
      <c r="QJ285" s="47"/>
      <c r="QK285" s="47"/>
      <c r="QL285" s="47"/>
      <c r="QM285" s="47"/>
      <c r="QN285" s="47"/>
      <c r="QO285" s="47"/>
      <c r="QP285" s="47"/>
      <c r="QQ285" s="47"/>
      <c r="QR285" s="47"/>
      <c r="QS285" s="47"/>
      <c r="QT285" s="47"/>
      <c r="QU285" s="47"/>
      <c r="QV285" s="47"/>
      <c r="QW285" s="47"/>
      <c r="QX285" s="47"/>
      <c r="QY285" s="47"/>
      <c r="QZ285" s="47"/>
      <c r="RA285" s="47"/>
      <c r="RB285" s="47"/>
      <c r="RC285" s="47"/>
      <c r="RD285" s="47"/>
      <c r="RE285" s="47"/>
      <c r="RF285" s="47"/>
      <c r="RG285" s="47"/>
      <c r="RH285" s="47"/>
      <c r="RI285" s="47"/>
      <c r="RJ285" s="47"/>
      <c r="RK285" s="47"/>
      <c r="RL285" s="47"/>
      <c r="RM285" s="47"/>
      <c r="RN285" s="47"/>
      <c r="RO285" s="47"/>
      <c r="RP285" s="47"/>
      <c r="RQ285" s="47"/>
      <c r="RR285" s="47"/>
      <c r="RS285" s="47"/>
      <c r="RT285" s="47"/>
      <c r="RU285" s="47"/>
      <c r="RV285" s="47"/>
      <c r="RW285" s="47"/>
      <c r="RX285" s="47"/>
      <c r="RY285" s="47"/>
      <c r="RZ285" s="47"/>
      <c r="SA285" s="47"/>
      <c r="SB285" s="47"/>
      <c r="SC285" s="47"/>
      <c r="SD285" s="47"/>
      <c r="SE285" s="47"/>
      <c r="SF285" s="47"/>
      <c r="SG285" s="47"/>
      <c r="SH285" s="47"/>
      <c r="SI285" s="47"/>
      <c r="SJ285" s="47"/>
      <c r="SK285" s="47"/>
      <c r="SL285" s="47"/>
      <c r="SM285" s="47"/>
      <c r="SN285" s="47"/>
      <c r="SO285" s="47"/>
      <c r="SP285" s="47"/>
      <c r="SQ285" s="47"/>
      <c r="SR285" s="47"/>
      <c r="SS285" s="47"/>
      <c r="ST285" s="47"/>
      <c r="SU285" s="47"/>
      <c r="SV285" s="47"/>
      <c r="SW285" s="47"/>
      <c r="SX285" s="47"/>
      <c r="SY285" s="47"/>
      <c r="SZ285" s="47"/>
      <c r="TA285" s="47"/>
      <c r="TB285" s="47"/>
      <c r="TC285" s="47"/>
      <c r="TD285" s="47"/>
      <c r="TE285" s="47"/>
      <c r="TF285" s="47"/>
      <c r="TG285" s="47"/>
      <c r="TH285" s="47"/>
      <c r="TI285" s="47"/>
      <c r="TJ285" s="47"/>
      <c r="TK285" s="47"/>
      <c r="TL285" s="47"/>
      <c r="TM285" s="47"/>
      <c r="TN285" s="47"/>
      <c r="TO285" s="47"/>
      <c r="TP285" s="47"/>
      <c r="TQ285" s="47"/>
      <c r="TR285" s="47"/>
      <c r="TS285" s="47"/>
      <c r="TT285" s="47"/>
      <c r="TU285" s="47"/>
      <c r="TV285" s="47"/>
      <c r="TW285" s="47"/>
      <c r="TX285" s="47"/>
      <c r="TY285" s="47"/>
      <c r="TZ285" s="47"/>
      <c r="UA285" s="47"/>
      <c r="UB285" s="47"/>
      <c r="UC285" s="47"/>
      <c r="UD285" s="47"/>
      <c r="UE285" s="47"/>
      <c r="UF285" s="47"/>
      <c r="UG285" s="47"/>
      <c r="UH285" s="47"/>
      <c r="UI285" s="47"/>
      <c r="UJ285" s="47"/>
      <c r="UK285" s="47"/>
      <c r="UL285" s="47"/>
      <c r="UM285" s="47"/>
      <c r="UN285" s="47"/>
      <c r="UO285" s="47"/>
      <c r="UP285" s="47"/>
      <c r="UQ285" s="47"/>
      <c r="UR285" s="47"/>
      <c r="US285" s="47"/>
      <c r="UT285" s="47"/>
      <c r="UU285" s="47"/>
      <c r="UV285" s="47"/>
      <c r="UW285" s="47"/>
      <c r="UX285" s="47"/>
      <c r="UY285" s="47"/>
      <c r="UZ285" s="47"/>
      <c r="VA285" s="47"/>
      <c r="VB285" s="47"/>
      <c r="VC285" s="47"/>
      <c r="VD285" s="47"/>
      <c r="VE285" s="47"/>
      <c r="VF285" s="47"/>
    </row>
    <row r="286" spans="1:578" s="57" customFormat="1" ht="33" customHeight="1" x14ac:dyDescent="0.2">
      <c r="A286" s="55" t="s">
        <v>285</v>
      </c>
      <c r="B286" s="99"/>
      <c r="C286" s="99"/>
      <c r="D286" s="56" t="s">
        <v>64</v>
      </c>
      <c r="E286" s="79">
        <v>138689796.66</v>
      </c>
      <c r="F286" s="79">
        <f t="shared" ref="F286:W286" si="100">F287</f>
        <v>15818000</v>
      </c>
      <c r="G286" s="79">
        <f t="shared" si="100"/>
        <v>198791</v>
      </c>
      <c r="H286" s="79">
        <f t="shared" si="100"/>
        <v>33554761.140000001</v>
      </c>
      <c r="I286" s="79">
        <f t="shared" si="100"/>
        <v>4453656.5</v>
      </c>
      <c r="J286" s="79">
        <f t="shared" si="100"/>
        <v>64521.21</v>
      </c>
      <c r="K286" s="129">
        <f t="shared" si="94"/>
        <v>24.194109406808039</v>
      </c>
      <c r="L286" s="79">
        <f t="shared" si="100"/>
        <v>1172000</v>
      </c>
      <c r="M286" s="79">
        <f t="shared" si="100"/>
        <v>1132000</v>
      </c>
      <c r="N286" s="79">
        <f t="shared" si="100"/>
        <v>40000</v>
      </c>
      <c r="O286" s="79">
        <f t="shared" si="100"/>
        <v>0</v>
      </c>
      <c r="P286" s="79">
        <f t="shared" si="100"/>
        <v>0</v>
      </c>
      <c r="Q286" s="79">
        <f t="shared" si="100"/>
        <v>1132000</v>
      </c>
      <c r="R286" s="79">
        <f t="shared" si="100"/>
        <v>516150</v>
      </c>
      <c r="S286" s="79">
        <f t="shared" si="100"/>
        <v>516150</v>
      </c>
      <c r="T286" s="79">
        <f t="shared" si="100"/>
        <v>0</v>
      </c>
      <c r="U286" s="79">
        <f t="shared" si="100"/>
        <v>0</v>
      </c>
      <c r="V286" s="79">
        <f t="shared" si="100"/>
        <v>0</v>
      </c>
      <c r="W286" s="79">
        <f t="shared" si="100"/>
        <v>516150</v>
      </c>
      <c r="X286" s="131">
        <f t="shared" si="91"/>
        <v>44.040102389078498</v>
      </c>
      <c r="Y286" s="79">
        <f t="shared" si="92"/>
        <v>34070911.140000001</v>
      </c>
      <c r="Z286" s="202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  <c r="GN286" s="73"/>
      <c r="GO286" s="73"/>
      <c r="GP286" s="73"/>
      <c r="GQ286" s="73"/>
      <c r="GR286" s="73"/>
      <c r="GS286" s="73"/>
      <c r="GT286" s="73"/>
      <c r="GU286" s="73"/>
      <c r="GV286" s="73"/>
      <c r="GW286" s="73"/>
      <c r="GX286" s="73"/>
      <c r="GY286" s="73"/>
      <c r="GZ286" s="73"/>
      <c r="HA286" s="73"/>
      <c r="HB286" s="73"/>
      <c r="HC286" s="73"/>
      <c r="HD286" s="73"/>
      <c r="HE286" s="73"/>
      <c r="HF286" s="73"/>
      <c r="HG286" s="73"/>
      <c r="HH286" s="73"/>
      <c r="HI286" s="73"/>
      <c r="HJ286" s="73"/>
      <c r="HK286" s="73"/>
      <c r="HL286" s="73"/>
      <c r="HM286" s="73"/>
      <c r="HN286" s="73"/>
      <c r="HO286" s="73"/>
      <c r="HP286" s="73"/>
      <c r="HQ286" s="73"/>
      <c r="HR286" s="73"/>
      <c r="HS286" s="73"/>
      <c r="HT286" s="73"/>
      <c r="HU286" s="73"/>
      <c r="HV286" s="73"/>
      <c r="HW286" s="73"/>
      <c r="HX286" s="73"/>
      <c r="HY286" s="73"/>
      <c r="HZ286" s="73"/>
      <c r="IA286" s="73"/>
      <c r="IB286" s="73"/>
      <c r="IC286" s="73"/>
      <c r="ID286" s="73"/>
      <c r="IE286" s="73"/>
      <c r="IF286" s="73"/>
      <c r="IG286" s="73"/>
      <c r="IH286" s="73"/>
      <c r="II286" s="73"/>
      <c r="IJ286" s="73"/>
      <c r="IK286" s="73"/>
      <c r="IL286" s="73"/>
      <c r="IM286" s="73"/>
      <c r="IN286" s="73"/>
      <c r="IO286" s="73"/>
      <c r="IP286" s="73"/>
      <c r="IQ286" s="73"/>
      <c r="IR286" s="73"/>
      <c r="IS286" s="73"/>
      <c r="IT286" s="73"/>
      <c r="IU286" s="73"/>
      <c r="IV286" s="73"/>
      <c r="IW286" s="73"/>
      <c r="IX286" s="73"/>
      <c r="IY286" s="73"/>
      <c r="IZ286" s="73"/>
      <c r="JA286" s="73"/>
      <c r="JB286" s="73"/>
      <c r="JC286" s="73"/>
      <c r="JD286" s="73"/>
      <c r="JE286" s="73"/>
      <c r="JF286" s="73"/>
      <c r="JG286" s="73"/>
      <c r="JH286" s="73"/>
      <c r="JI286" s="73"/>
      <c r="JJ286" s="73"/>
      <c r="JK286" s="73"/>
      <c r="JL286" s="73"/>
      <c r="JM286" s="73"/>
      <c r="JN286" s="73"/>
      <c r="JO286" s="73"/>
      <c r="JP286" s="73"/>
      <c r="JQ286" s="73"/>
      <c r="JR286" s="73"/>
      <c r="JS286" s="73"/>
      <c r="JT286" s="73"/>
      <c r="JU286" s="73"/>
      <c r="JV286" s="73"/>
      <c r="JW286" s="73"/>
      <c r="JX286" s="73"/>
      <c r="JY286" s="73"/>
      <c r="JZ286" s="73"/>
      <c r="KA286" s="73"/>
      <c r="KB286" s="73"/>
      <c r="KC286" s="73"/>
      <c r="KD286" s="73"/>
      <c r="KE286" s="73"/>
      <c r="KF286" s="73"/>
      <c r="KG286" s="73"/>
      <c r="KH286" s="73"/>
      <c r="KI286" s="73"/>
      <c r="KJ286" s="73"/>
      <c r="KK286" s="73"/>
      <c r="KL286" s="73"/>
      <c r="KM286" s="73"/>
      <c r="KN286" s="73"/>
      <c r="KO286" s="73"/>
      <c r="KP286" s="73"/>
      <c r="KQ286" s="73"/>
      <c r="KR286" s="73"/>
      <c r="KS286" s="73"/>
      <c r="KT286" s="73"/>
      <c r="KU286" s="73"/>
      <c r="KV286" s="73"/>
      <c r="KW286" s="73"/>
      <c r="KX286" s="73"/>
      <c r="KY286" s="73"/>
      <c r="KZ286" s="73"/>
      <c r="LA286" s="73"/>
      <c r="LB286" s="73"/>
      <c r="LC286" s="73"/>
      <c r="LD286" s="73"/>
      <c r="LE286" s="73"/>
      <c r="LF286" s="73"/>
      <c r="LG286" s="73"/>
      <c r="LH286" s="73"/>
      <c r="LI286" s="73"/>
      <c r="LJ286" s="73"/>
      <c r="LK286" s="73"/>
      <c r="LL286" s="73"/>
      <c r="LM286" s="73"/>
      <c r="LN286" s="73"/>
      <c r="LO286" s="73"/>
      <c r="LP286" s="73"/>
      <c r="LQ286" s="73"/>
      <c r="LR286" s="73"/>
      <c r="LS286" s="73"/>
      <c r="LT286" s="73"/>
      <c r="LU286" s="73"/>
      <c r="LV286" s="73"/>
      <c r="LW286" s="73"/>
      <c r="LX286" s="73"/>
      <c r="LY286" s="73"/>
      <c r="LZ286" s="73"/>
      <c r="MA286" s="73"/>
      <c r="MB286" s="73"/>
      <c r="MC286" s="73"/>
      <c r="MD286" s="73"/>
      <c r="ME286" s="73"/>
      <c r="MF286" s="73"/>
      <c r="MG286" s="73"/>
      <c r="MH286" s="73"/>
      <c r="MI286" s="73"/>
      <c r="MJ286" s="73"/>
      <c r="MK286" s="73"/>
      <c r="ML286" s="73"/>
      <c r="MM286" s="73"/>
      <c r="MN286" s="73"/>
      <c r="MO286" s="73"/>
      <c r="MP286" s="73"/>
      <c r="MQ286" s="73"/>
      <c r="MR286" s="73"/>
      <c r="MS286" s="73"/>
      <c r="MT286" s="73"/>
      <c r="MU286" s="73"/>
      <c r="MV286" s="73"/>
      <c r="MW286" s="73"/>
      <c r="MX286" s="73"/>
      <c r="MY286" s="73"/>
      <c r="MZ286" s="73"/>
      <c r="NA286" s="73"/>
      <c r="NB286" s="73"/>
      <c r="NC286" s="73"/>
      <c r="ND286" s="73"/>
      <c r="NE286" s="73"/>
      <c r="NF286" s="73"/>
      <c r="NG286" s="73"/>
      <c r="NH286" s="73"/>
      <c r="NI286" s="73"/>
      <c r="NJ286" s="73"/>
      <c r="NK286" s="73"/>
      <c r="NL286" s="73"/>
      <c r="NM286" s="73"/>
      <c r="NN286" s="73"/>
      <c r="NO286" s="73"/>
      <c r="NP286" s="73"/>
      <c r="NQ286" s="73"/>
      <c r="NR286" s="73"/>
      <c r="NS286" s="73"/>
      <c r="NT286" s="73"/>
      <c r="NU286" s="73"/>
      <c r="NV286" s="73"/>
      <c r="NW286" s="73"/>
      <c r="NX286" s="73"/>
      <c r="NY286" s="73"/>
      <c r="NZ286" s="73"/>
      <c r="OA286" s="73"/>
      <c r="OB286" s="73"/>
      <c r="OC286" s="73"/>
      <c r="OD286" s="73"/>
      <c r="OE286" s="73"/>
      <c r="OF286" s="73"/>
      <c r="OG286" s="73"/>
      <c r="OH286" s="73"/>
      <c r="OI286" s="73"/>
      <c r="OJ286" s="73"/>
      <c r="OK286" s="73"/>
      <c r="OL286" s="73"/>
      <c r="OM286" s="73"/>
      <c r="ON286" s="73"/>
      <c r="OO286" s="73"/>
      <c r="OP286" s="73"/>
      <c r="OQ286" s="73"/>
      <c r="OR286" s="73"/>
      <c r="OS286" s="73"/>
      <c r="OT286" s="73"/>
      <c r="OU286" s="73"/>
      <c r="OV286" s="73"/>
      <c r="OW286" s="73"/>
      <c r="OX286" s="73"/>
      <c r="OY286" s="73"/>
      <c r="OZ286" s="73"/>
      <c r="PA286" s="73"/>
      <c r="PB286" s="73"/>
      <c r="PC286" s="73"/>
      <c r="PD286" s="73"/>
      <c r="PE286" s="73"/>
      <c r="PF286" s="73"/>
      <c r="PG286" s="73"/>
      <c r="PH286" s="73"/>
      <c r="PI286" s="73"/>
      <c r="PJ286" s="73"/>
      <c r="PK286" s="73"/>
      <c r="PL286" s="73"/>
      <c r="PM286" s="73"/>
      <c r="PN286" s="73"/>
      <c r="PO286" s="73"/>
      <c r="PP286" s="73"/>
      <c r="PQ286" s="73"/>
      <c r="PR286" s="73"/>
      <c r="PS286" s="73"/>
      <c r="PT286" s="73"/>
      <c r="PU286" s="73"/>
      <c r="PV286" s="73"/>
      <c r="PW286" s="73"/>
      <c r="PX286" s="73"/>
      <c r="PY286" s="73"/>
      <c r="PZ286" s="73"/>
      <c r="QA286" s="73"/>
      <c r="QB286" s="73"/>
      <c r="QC286" s="73"/>
      <c r="QD286" s="73"/>
      <c r="QE286" s="73"/>
      <c r="QF286" s="73"/>
      <c r="QG286" s="73"/>
      <c r="QH286" s="73"/>
      <c r="QI286" s="73"/>
      <c r="QJ286" s="73"/>
      <c r="QK286" s="73"/>
      <c r="QL286" s="73"/>
      <c r="QM286" s="73"/>
      <c r="QN286" s="73"/>
      <c r="QO286" s="73"/>
      <c r="QP286" s="73"/>
      <c r="QQ286" s="73"/>
      <c r="QR286" s="73"/>
      <c r="QS286" s="73"/>
      <c r="QT286" s="73"/>
      <c r="QU286" s="73"/>
      <c r="QV286" s="73"/>
      <c r="QW286" s="73"/>
      <c r="QX286" s="73"/>
      <c r="QY286" s="73"/>
      <c r="QZ286" s="73"/>
      <c r="RA286" s="73"/>
      <c r="RB286" s="73"/>
      <c r="RC286" s="73"/>
      <c r="RD286" s="73"/>
      <c r="RE286" s="73"/>
      <c r="RF286" s="73"/>
      <c r="RG286" s="73"/>
      <c r="RH286" s="73"/>
      <c r="RI286" s="73"/>
      <c r="RJ286" s="73"/>
      <c r="RK286" s="73"/>
      <c r="RL286" s="73"/>
      <c r="RM286" s="73"/>
      <c r="RN286" s="73"/>
      <c r="RO286" s="73"/>
      <c r="RP286" s="73"/>
      <c r="RQ286" s="73"/>
      <c r="RR286" s="73"/>
      <c r="RS286" s="73"/>
      <c r="RT286" s="73"/>
      <c r="RU286" s="73"/>
      <c r="RV286" s="73"/>
      <c r="RW286" s="73"/>
      <c r="RX286" s="73"/>
      <c r="RY286" s="73"/>
      <c r="RZ286" s="73"/>
      <c r="SA286" s="73"/>
      <c r="SB286" s="73"/>
      <c r="SC286" s="73"/>
      <c r="SD286" s="73"/>
      <c r="SE286" s="73"/>
      <c r="SF286" s="73"/>
      <c r="SG286" s="73"/>
      <c r="SH286" s="73"/>
      <c r="SI286" s="73"/>
      <c r="SJ286" s="73"/>
      <c r="SK286" s="73"/>
      <c r="SL286" s="73"/>
      <c r="SM286" s="73"/>
      <c r="SN286" s="73"/>
      <c r="SO286" s="73"/>
      <c r="SP286" s="73"/>
      <c r="SQ286" s="73"/>
      <c r="SR286" s="73"/>
      <c r="SS286" s="73"/>
      <c r="ST286" s="73"/>
      <c r="SU286" s="73"/>
      <c r="SV286" s="73"/>
      <c r="SW286" s="73"/>
      <c r="SX286" s="73"/>
      <c r="SY286" s="73"/>
      <c r="SZ286" s="73"/>
      <c r="TA286" s="73"/>
      <c r="TB286" s="73"/>
      <c r="TC286" s="73"/>
      <c r="TD286" s="73"/>
      <c r="TE286" s="73"/>
      <c r="TF286" s="73"/>
      <c r="TG286" s="73"/>
      <c r="TH286" s="73"/>
      <c r="TI286" s="73"/>
      <c r="TJ286" s="73"/>
      <c r="TK286" s="73"/>
      <c r="TL286" s="73"/>
      <c r="TM286" s="73"/>
      <c r="TN286" s="73"/>
      <c r="TO286" s="73"/>
      <c r="TP286" s="73"/>
      <c r="TQ286" s="73"/>
      <c r="TR286" s="73"/>
      <c r="TS286" s="73"/>
      <c r="TT286" s="73"/>
      <c r="TU286" s="73"/>
      <c r="TV286" s="73"/>
      <c r="TW286" s="73"/>
      <c r="TX286" s="73"/>
      <c r="TY286" s="73"/>
      <c r="TZ286" s="73"/>
      <c r="UA286" s="73"/>
      <c r="UB286" s="73"/>
      <c r="UC286" s="73"/>
      <c r="UD286" s="73"/>
      <c r="UE286" s="73"/>
      <c r="UF286" s="73"/>
      <c r="UG286" s="73"/>
      <c r="UH286" s="73"/>
      <c r="UI286" s="73"/>
      <c r="UJ286" s="73"/>
      <c r="UK286" s="73"/>
      <c r="UL286" s="73"/>
      <c r="UM286" s="73"/>
      <c r="UN286" s="73"/>
      <c r="UO286" s="73"/>
      <c r="UP286" s="73"/>
      <c r="UQ286" s="73"/>
      <c r="UR286" s="73"/>
      <c r="US286" s="73"/>
      <c r="UT286" s="73"/>
      <c r="UU286" s="73"/>
      <c r="UV286" s="73"/>
      <c r="UW286" s="73"/>
      <c r="UX286" s="73"/>
      <c r="UY286" s="73"/>
      <c r="UZ286" s="73"/>
      <c r="VA286" s="73"/>
      <c r="VB286" s="73"/>
      <c r="VC286" s="73"/>
      <c r="VD286" s="73"/>
      <c r="VE286" s="73"/>
      <c r="VF286" s="73"/>
    </row>
    <row r="287" spans="1:578" s="75" customFormat="1" ht="30.75" customHeight="1" x14ac:dyDescent="0.2">
      <c r="A287" s="60" t="s">
        <v>286</v>
      </c>
      <c r="B287" s="100"/>
      <c r="C287" s="100"/>
      <c r="D287" s="61" t="s">
        <v>64</v>
      </c>
      <c r="E287" s="78">
        <v>138689796.66</v>
      </c>
      <c r="F287" s="78">
        <f t="shared" ref="F287:Q287" si="101">F289+F290+F291+F292+F293+F294+F295+F296+F297+F298</f>
        <v>15818000</v>
      </c>
      <c r="G287" s="78">
        <f t="shared" si="101"/>
        <v>198791</v>
      </c>
      <c r="H287" s="78">
        <f>H289+H290+H291+H292+H293+H294+H295+H296+H297+H298</f>
        <v>33554761.140000001</v>
      </c>
      <c r="I287" s="78">
        <f>I289+I290+I291+I292+I293+I294+I295+I296+I297+I298</f>
        <v>4453656.5</v>
      </c>
      <c r="J287" s="78">
        <f>J289+J290+J291+J292+J293+J294+J295+J296+J297+J298</f>
        <v>64521.21</v>
      </c>
      <c r="K287" s="129">
        <f t="shared" si="94"/>
        <v>24.194109406808039</v>
      </c>
      <c r="L287" s="78">
        <f t="shared" si="101"/>
        <v>1172000</v>
      </c>
      <c r="M287" s="78">
        <f t="shared" ref="M287" si="102">M289+M290+M291+M292+M293+M294+M295+M296+M297+M298</f>
        <v>1132000</v>
      </c>
      <c r="N287" s="78">
        <f t="shared" si="101"/>
        <v>40000</v>
      </c>
      <c r="O287" s="78">
        <f t="shared" si="101"/>
        <v>0</v>
      </c>
      <c r="P287" s="78">
        <f t="shared" si="101"/>
        <v>0</v>
      </c>
      <c r="Q287" s="78">
        <f t="shared" si="101"/>
        <v>1132000</v>
      </c>
      <c r="R287" s="78">
        <f t="shared" ref="R287:W287" si="103">R289+R290+R291+R292+R293+R294+R295+R296+R297+R298</f>
        <v>516150</v>
      </c>
      <c r="S287" s="78">
        <f t="shared" ref="S287" si="104">S289+S290+S291+S292+S293+S294+S295+S296+S297+S298</f>
        <v>516150</v>
      </c>
      <c r="T287" s="78">
        <f t="shared" si="103"/>
        <v>0</v>
      </c>
      <c r="U287" s="78">
        <f t="shared" si="103"/>
        <v>0</v>
      </c>
      <c r="V287" s="78">
        <f t="shared" si="103"/>
        <v>0</v>
      </c>
      <c r="W287" s="78">
        <f t="shared" si="103"/>
        <v>516150</v>
      </c>
      <c r="X287" s="131">
        <f t="shared" si="91"/>
        <v>44.040102389078498</v>
      </c>
      <c r="Y287" s="79">
        <f t="shared" si="92"/>
        <v>34070911.140000001</v>
      </c>
      <c r="Z287" s="202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  <c r="FS287" s="74"/>
      <c r="FT287" s="74"/>
      <c r="FU287" s="74"/>
      <c r="FV287" s="74"/>
      <c r="FW287" s="74"/>
      <c r="FX287" s="74"/>
      <c r="FY287" s="74"/>
      <c r="FZ287" s="74"/>
      <c r="GA287" s="74"/>
      <c r="GB287" s="74"/>
      <c r="GC287" s="74"/>
      <c r="GD287" s="74"/>
      <c r="GE287" s="74"/>
      <c r="GF287" s="74"/>
      <c r="GG287" s="74"/>
      <c r="GH287" s="74"/>
      <c r="GI287" s="74"/>
      <c r="GJ287" s="74"/>
      <c r="GK287" s="74"/>
      <c r="GL287" s="74"/>
      <c r="GM287" s="74"/>
      <c r="GN287" s="74"/>
      <c r="GO287" s="74"/>
      <c r="GP287" s="74"/>
      <c r="GQ287" s="74"/>
      <c r="GR287" s="74"/>
      <c r="GS287" s="74"/>
      <c r="GT287" s="74"/>
      <c r="GU287" s="74"/>
      <c r="GV287" s="74"/>
      <c r="GW287" s="74"/>
      <c r="GX287" s="74"/>
      <c r="GY287" s="74"/>
      <c r="GZ287" s="74"/>
      <c r="HA287" s="74"/>
      <c r="HB287" s="74"/>
      <c r="HC287" s="74"/>
      <c r="HD287" s="74"/>
      <c r="HE287" s="74"/>
      <c r="HF287" s="74"/>
      <c r="HG287" s="74"/>
      <c r="HH287" s="74"/>
      <c r="HI287" s="74"/>
      <c r="HJ287" s="74"/>
      <c r="HK287" s="74"/>
      <c r="HL287" s="74"/>
      <c r="HM287" s="74"/>
      <c r="HN287" s="74"/>
      <c r="HO287" s="74"/>
      <c r="HP287" s="74"/>
      <c r="HQ287" s="74"/>
      <c r="HR287" s="74"/>
      <c r="HS287" s="74"/>
      <c r="HT287" s="74"/>
      <c r="HU287" s="74"/>
      <c r="HV287" s="74"/>
      <c r="HW287" s="74"/>
      <c r="HX287" s="74"/>
      <c r="HY287" s="74"/>
      <c r="HZ287" s="74"/>
      <c r="IA287" s="74"/>
      <c r="IB287" s="74"/>
      <c r="IC287" s="74"/>
      <c r="ID287" s="74"/>
      <c r="IE287" s="74"/>
      <c r="IF287" s="74"/>
      <c r="IG287" s="74"/>
      <c r="IH287" s="74"/>
      <c r="II287" s="74"/>
      <c r="IJ287" s="74"/>
      <c r="IK287" s="74"/>
      <c r="IL287" s="74"/>
      <c r="IM287" s="74"/>
      <c r="IN287" s="74"/>
      <c r="IO287" s="74"/>
      <c r="IP287" s="74"/>
      <c r="IQ287" s="74"/>
      <c r="IR287" s="74"/>
      <c r="IS287" s="74"/>
      <c r="IT287" s="74"/>
      <c r="IU287" s="74"/>
      <c r="IV287" s="74"/>
      <c r="IW287" s="74"/>
      <c r="IX287" s="74"/>
      <c r="IY287" s="74"/>
      <c r="IZ287" s="74"/>
      <c r="JA287" s="74"/>
      <c r="JB287" s="74"/>
      <c r="JC287" s="74"/>
      <c r="JD287" s="74"/>
      <c r="JE287" s="74"/>
      <c r="JF287" s="74"/>
      <c r="JG287" s="74"/>
      <c r="JH287" s="74"/>
      <c r="JI287" s="74"/>
      <c r="JJ287" s="74"/>
      <c r="JK287" s="74"/>
      <c r="JL287" s="74"/>
      <c r="JM287" s="74"/>
      <c r="JN287" s="74"/>
      <c r="JO287" s="74"/>
      <c r="JP287" s="74"/>
      <c r="JQ287" s="74"/>
      <c r="JR287" s="74"/>
      <c r="JS287" s="74"/>
      <c r="JT287" s="74"/>
      <c r="JU287" s="74"/>
      <c r="JV287" s="74"/>
      <c r="JW287" s="74"/>
      <c r="JX287" s="74"/>
      <c r="JY287" s="74"/>
      <c r="JZ287" s="74"/>
      <c r="KA287" s="74"/>
      <c r="KB287" s="74"/>
      <c r="KC287" s="74"/>
      <c r="KD287" s="74"/>
      <c r="KE287" s="74"/>
      <c r="KF287" s="74"/>
      <c r="KG287" s="74"/>
      <c r="KH287" s="74"/>
      <c r="KI287" s="74"/>
      <c r="KJ287" s="74"/>
      <c r="KK287" s="74"/>
      <c r="KL287" s="74"/>
      <c r="KM287" s="74"/>
      <c r="KN287" s="74"/>
      <c r="KO287" s="74"/>
      <c r="KP287" s="74"/>
      <c r="KQ287" s="74"/>
      <c r="KR287" s="74"/>
      <c r="KS287" s="74"/>
      <c r="KT287" s="74"/>
      <c r="KU287" s="74"/>
      <c r="KV287" s="74"/>
      <c r="KW287" s="74"/>
      <c r="KX287" s="74"/>
      <c r="KY287" s="74"/>
      <c r="KZ287" s="74"/>
      <c r="LA287" s="74"/>
      <c r="LB287" s="74"/>
      <c r="LC287" s="74"/>
      <c r="LD287" s="74"/>
      <c r="LE287" s="74"/>
      <c r="LF287" s="74"/>
      <c r="LG287" s="74"/>
      <c r="LH287" s="74"/>
      <c r="LI287" s="74"/>
      <c r="LJ287" s="74"/>
      <c r="LK287" s="74"/>
      <c r="LL287" s="74"/>
      <c r="LM287" s="74"/>
      <c r="LN287" s="74"/>
      <c r="LO287" s="74"/>
      <c r="LP287" s="74"/>
      <c r="LQ287" s="74"/>
      <c r="LR287" s="74"/>
      <c r="LS287" s="74"/>
      <c r="LT287" s="74"/>
      <c r="LU287" s="74"/>
      <c r="LV287" s="74"/>
      <c r="LW287" s="74"/>
      <c r="LX287" s="74"/>
      <c r="LY287" s="74"/>
      <c r="LZ287" s="74"/>
      <c r="MA287" s="74"/>
      <c r="MB287" s="74"/>
      <c r="MC287" s="74"/>
      <c r="MD287" s="74"/>
      <c r="ME287" s="74"/>
      <c r="MF287" s="74"/>
      <c r="MG287" s="74"/>
      <c r="MH287" s="74"/>
      <c r="MI287" s="74"/>
      <c r="MJ287" s="74"/>
      <c r="MK287" s="74"/>
      <c r="ML287" s="74"/>
      <c r="MM287" s="74"/>
      <c r="MN287" s="74"/>
      <c r="MO287" s="74"/>
      <c r="MP287" s="74"/>
      <c r="MQ287" s="74"/>
      <c r="MR287" s="74"/>
      <c r="MS287" s="74"/>
      <c r="MT287" s="74"/>
      <c r="MU287" s="74"/>
      <c r="MV287" s="74"/>
      <c r="MW287" s="74"/>
      <c r="MX287" s="74"/>
      <c r="MY287" s="74"/>
      <c r="MZ287" s="74"/>
      <c r="NA287" s="74"/>
      <c r="NB287" s="74"/>
      <c r="NC287" s="74"/>
      <c r="ND287" s="74"/>
      <c r="NE287" s="74"/>
      <c r="NF287" s="74"/>
      <c r="NG287" s="74"/>
      <c r="NH287" s="74"/>
      <c r="NI287" s="74"/>
      <c r="NJ287" s="74"/>
      <c r="NK287" s="74"/>
      <c r="NL287" s="74"/>
      <c r="NM287" s="74"/>
      <c r="NN287" s="74"/>
      <c r="NO287" s="74"/>
      <c r="NP287" s="74"/>
      <c r="NQ287" s="74"/>
      <c r="NR287" s="74"/>
      <c r="NS287" s="74"/>
      <c r="NT287" s="74"/>
      <c r="NU287" s="74"/>
      <c r="NV287" s="74"/>
      <c r="NW287" s="74"/>
      <c r="NX287" s="74"/>
      <c r="NY287" s="74"/>
      <c r="NZ287" s="74"/>
      <c r="OA287" s="74"/>
      <c r="OB287" s="74"/>
      <c r="OC287" s="74"/>
      <c r="OD287" s="74"/>
      <c r="OE287" s="74"/>
      <c r="OF287" s="74"/>
      <c r="OG287" s="74"/>
      <c r="OH287" s="74"/>
      <c r="OI287" s="74"/>
      <c r="OJ287" s="74"/>
      <c r="OK287" s="74"/>
      <c r="OL287" s="74"/>
      <c r="OM287" s="74"/>
      <c r="ON287" s="74"/>
      <c r="OO287" s="74"/>
      <c r="OP287" s="74"/>
      <c r="OQ287" s="74"/>
      <c r="OR287" s="74"/>
      <c r="OS287" s="74"/>
      <c r="OT287" s="74"/>
      <c r="OU287" s="74"/>
      <c r="OV287" s="74"/>
      <c r="OW287" s="74"/>
      <c r="OX287" s="74"/>
      <c r="OY287" s="74"/>
      <c r="OZ287" s="74"/>
      <c r="PA287" s="74"/>
      <c r="PB287" s="74"/>
      <c r="PC287" s="74"/>
      <c r="PD287" s="74"/>
      <c r="PE287" s="74"/>
      <c r="PF287" s="74"/>
      <c r="PG287" s="74"/>
      <c r="PH287" s="74"/>
      <c r="PI287" s="74"/>
      <c r="PJ287" s="74"/>
      <c r="PK287" s="74"/>
      <c r="PL287" s="74"/>
      <c r="PM287" s="74"/>
      <c r="PN287" s="74"/>
      <c r="PO287" s="74"/>
      <c r="PP287" s="74"/>
      <c r="PQ287" s="74"/>
      <c r="PR287" s="74"/>
      <c r="PS287" s="74"/>
      <c r="PT287" s="74"/>
      <c r="PU287" s="74"/>
      <c r="PV287" s="74"/>
      <c r="PW287" s="74"/>
      <c r="PX287" s="74"/>
      <c r="PY287" s="74"/>
      <c r="PZ287" s="74"/>
      <c r="QA287" s="74"/>
      <c r="QB287" s="74"/>
      <c r="QC287" s="74"/>
      <c r="QD287" s="74"/>
      <c r="QE287" s="74"/>
      <c r="QF287" s="74"/>
      <c r="QG287" s="74"/>
      <c r="QH287" s="74"/>
      <c r="QI287" s="74"/>
      <c r="QJ287" s="74"/>
      <c r="QK287" s="74"/>
      <c r="QL287" s="74"/>
      <c r="QM287" s="74"/>
      <c r="QN287" s="74"/>
      <c r="QO287" s="74"/>
      <c r="QP287" s="74"/>
      <c r="QQ287" s="74"/>
      <c r="QR287" s="74"/>
      <c r="QS287" s="74"/>
      <c r="QT287" s="74"/>
      <c r="QU287" s="74"/>
      <c r="QV287" s="74"/>
      <c r="QW287" s="74"/>
      <c r="QX287" s="74"/>
      <c r="QY287" s="74"/>
      <c r="QZ287" s="74"/>
      <c r="RA287" s="74"/>
      <c r="RB287" s="74"/>
      <c r="RC287" s="74"/>
      <c r="RD287" s="74"/>
      <c r="RE287" s="74"/>
      <c r="RF287" s="74"/>
      <c r="RG287" s="74"/>
      <c r="RH287" s="74"/>
      <c r="RI287" s="74"/>
      <c r="RJ287" s="74"/>
      <c r="RK287" s="74"/>
      <c r="RL287" s="74"/>
      <c r="RM287" s="74"/>
      <c r="RN287" s="74"/>
      <c r="RO287" s="74"/>
      <c r="RP287" s="74"/>
      <c r="RQ287" s="74"/>
      <c r="RR287" s="74"/>
      <c r="RS287" s="74"/>
      <c r="RT287" s="74"/>
      <c r="RU287" s="74"/>
      <c r="RV287" s="74"/>
      <c r="RW287" s="74"/>
      <c r="RX287" s="74"/>
      <c r="RY287" s="74"/>
      <c r="RZ287" s="74"/>
      <c r="SA287" s="74"/>
      <c r="SB287" s="74"/>
      <c r="SC287" s="74"/>
      <c r="SD287" s="74"/>
      <c r="SE287" s="74"/>
      <c r="SF287" s="74"/>
      <c r="SG287" s="74"/>
      <c r="SH287" s="74"/>
      <c r="SI287" s="74"/>
      <c r="SJ287" s="74"/>
      <c r="SK287" s="74"/>
      <c r="SL287" s="74"/>
      <c r="SM287" s="74"/>
      <c r="SN287" s="74"/>
      <c r="SO287" s="74"/>
      <c r="SP287" s="74"/>
      <c r="SQ287" s="74"/>
      <c r="SR287" s="74"/>
      <c r="SS287" s="74"/>
      <c r="ST287" s="74"/>
      <c r="SU287" s="74"/>
      <c r="SV287" s="74"/>
      <c r="SW287" s="74"/>
      <c r="SX287" s="74"/>
      <c r="SY287" s="74"/>
      <c r="SZ287" s="74"/>
      <c r="TA287" s="74"/>
      <c r="TB287" s="74"/>
      <c r="TC287" s="74"/>
      <c r="TD287" s="74"/>
      <c r="TE287" s="74"/>
      <c r="TF287" s="74"/>
      <c r="TG287" s="74"/>
      <c r="TH287" s="74"/>
      <c r="TI287" s="74"/>
      <c r="TJ287" s="74"/>
      <c r="TK287" s="74"/>
      <c r="TL287" s="74"/>
      <c r="TM287" s="74"/>
      <c r="TN287" s="74"/>
      <c r="TO287" s="74"/>
      <c r="TP287" s="74"/>
      <c r="TQ287" s="74"/>
      <c r="TR287" s="74"/>
      <c r="TS287" s="74"/>
      <c r="TT287" s="74"/>
      <c r="TU287" s="74"/>
      <c r="TV287" s="74"/>
      <c r="TW287" s="74"/>
      <c r="TX287" s="74"/>
      <c r="TY287" s="74"/>
      <c r="TZ287" s="74"/>
      <c r="UA287" s="74"/>
      <c r="UB287" s="74"/>
      <c r="UC287" s="74"/>
      <c r="UD287" s="74"/>
      <c r="UE287" s="74"/>
      <c r="UF287" s="74"/>
      <c r="UG287" s="74"/>
      <c r="UH287" s="74"/>
      <c r="UI287" s="74"/>
      <c r="UJ287" s="74"/>
      <c r="UK287" s="74"/>
      <c r="UL287" s="74"/>
      <c r="UM287" s="74"/>
      <c r="UN287" s="74"/>
      <c r="UO287" s="74"/>
      <c r="UP287" s="74"/>
      <c r="UQ287" s="74"/>
      <c r="UR287" s="74"/>
      <c r="US287" s="74"/>
      <c r="UT287" s="74"/>
      <c r="UU287" s="74"/>
      <c r="UV287" s="74"/>
      <c r="UW287" s="74"/>
      <c r="UX287" s="74"/>
      <c r="UY287" s="74"/>
      <c r="UZ287" s="74"/>
      <c r="VA287" s="74"/>
      <c r="VB287" s="74"/>
      <c r="VC287" s="74"/>
      <c r="VD287" s="74"/>
      <c r="VE287" s="74"/>
      <c r="VF287" s="74"/>
    </row>
    <row r="288" spans="1:578" s="75" customFormat="1" ht="15" hidden="1" customHeight="1" x14ac:dyDescent="0.2">
      <c r="A288" s="55"/>
      <c r="B288" s="99"/>
      <c r="C288" s="99"/>
      <c r="D288" s="56" t="s">
        <v>344</v>
      </c>
      <c r="E288" s="79">
        <v>0</v>
      </c>
      <c r="F288" s="79">
        <f t="shared" ref="F288:Q288" si="105">F297</f>
        <v>0</v>
      </c>
      <c r="G288" s="79">
        <f t="shared" si="105"/>
        <v>0</v>
      </c>
      <c r="H288" s="79"/>
      <c r="I288" s="79"/>
      <c r="J288" s="79"/>
      <c r="K288" s="129" t="e">
        <f t="shared" si="94"/>
        <v>#DIV/0!</v>
      </c>
      <c r="L288" s="79">
        <f t="shared" si="105"/>
        <v>0</v>
      </c>
      <c r="M288" s="79"/>
      <c r="N288" s="79">
        <f t="shared" si="105"/>
        <v>0</v>
      </c>
      <c r="O288" s="79">
        <f t="shared" si="105"/>
        <v>0</v>
      </c>
      <c r="P288" s="79">
        <f t="shared" si="105"/>
        <v>0</v>
      </c>
      <c r="Q288" s="79">
        <f t="shared" si="105"/>
        <v>0</v>
      </c>
      <c r="R288" s="79">
        <f t="shared" ref="R288" si="106">R297</f>
        <v>0</v>
      </c>
      <c r="S288" s="79"/>
      <c r="T288" s="78"/>
      <c r="U288" s="78"/>
      <c r="V288" s="78"/>
      <c r="W288" s="78"/>
      <c r="X288" s="131" t="e">
        <f t="shared" si="91"/>
        <v>#DIV/0!</v>
      </c>
      <c r="Y288" s="79">
        <f t="shared" si="92"/>
        <v>0</v>
      </c>
      <c r="Z288" s="202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74"/>
      <c r="GX288" s="74"/>
      <c r="GY288" s="74"/>
      <c r="GZ288" s="74"/>
      <c r="HA288" s="74"/>
      <c r="HB288" s="74"/>
      <c r="HC288" s="74"/>
      <c r="HD288" s="74"/>
      <c r="HE288" s="74"/>
      <c r="HF288" s="74"/>
      <c r="HG288" s="74"/>
      <c r="HH288" s="74"/>
      <c r="HI288" s="74"/>
      <c r="HJ288" s="74"/>
      <c r="HK288" s="74"/>
      <c r="HL288" s="74"/>
      <c r="HM288" s="74"/>
      <c r="HN288" s="74"/>
      <c r="HO288" s="74"/>
      <c r="HP288" s="74"/>
      <c r="HQ288" s="74"/>
      <c r="HR288" s="74"/>
      <c r="HS288" s="74"/>
      <c r="HT288" s="74"/>
      <c r="HU288" s="74"/>
      <c r="HV288" s="74"/>
      <c r="HW288" s="74"/>
      <c r="HX288" s="74"/>
      <c r="HY288" s="74"/>
      <c r="HZ288" s="74"/>
      <c r="IA288" s="74"/>
      <c r="IB288" s="74"/>
      <c r="IC288" s="74"/>
      <c r="ID288" s="74"/>
      <c r="IE288" s="74"/>
      <c r="IF288" s="74"/>
      <c r="IG288" s="74"/>
      <c r="IH288" s="74"/>
      <c r="II288" s="74"/>
      <c r="IJ288" s="74"/>
      <c r="IK288" s="74"/>
      <c r="IL288" s="74"/>
      <c r="IM288" s="74"/>
      <c r="IN288" s="74"/>
      <c r="IO288" s="74"/>
      <c r="IP288" s="74"/>
      <c r="IQ288" s="74"/>
      <c r="IR288" s="74"/>
      <c r="IS288" s="74"/>
      <c r="IT288" s="74"/>
      <c r="IU288" s="74"/>
      <c r="IV288" s="74"/>
      <c r="IW288" s="74"/>
      <c r="IX288" s="74"/>
      <c r="IY288" s="74"/>
      <c r="IZ288" s="74"/>
      <c r="JA288" s="74"/>
      <c r="JB288" s="74"/>
      <c r="JC288" s="74"/>
      <c r="JD288" s="74"/>
      <c r="JE288" s="74"/>
      <c r="JF288" s="74"/>
      <c r="JG288" s="74"/>
      <c r="JH288" s="74"/>
      <c r="JI288" s="74"/>
      <c r="JJ288" s="74"/>
      <c r="JK288" s="74"/>
      <c r="JL288" s="74"/>
      <c r="JM288" s="74"/>
      <c r="JN288" s="74"/>
      <c r="JO288" s="74"/>
      <c r="JP288" s="74"/>
      <c r="JQ288" s="74"/>
      <c r="JR288" s="74"/>
      <c r="JS288" s="74"/>
      <c r="JT288" s="74"/>
      <c r="JU288" s="74"/>
      <c r="JV288" s="74"/>
      <c r="JW288" s="74"/>
      <c r="JX288" s="74"/>
      <c r="JY288" s="74"/>
      <c r="JZ288" s="74"/>
      <c r="KA288" s="74"/>
      <c r="KB288" s="74"/>
      <c r="KC288" s="74"/>
      <c r="KD288" s="74"/>
      <c r="KE288" s="74"/>
      <c r="KF288" s="74"/>
      <c r="KG288" s="74"/>
      <c r="KH288" s="74"/>
      <c r="KI288" s="74"/>
      <c r="KJ288" s="74"/>
      <c r="KK288" s="74"/>
      <c r="KL288" s="74"/>
      <c r="KM288" s="74"/>
      <c r="KN288" s="74"/>
      <c r="KO288" s="74"/>
      <c r="KP288" s="74"/>
      <c r="KQ288" s="74"/>
      <c r="KR288" s="74"/>
      <c r="KS288" s="74"/>
      <c r="KT288" s="74"/>
      <c r="KU288" s="74"/>
      <c r="KV288" s="74"/>
      <c r="KW288" s="74"/>
      <c r="KX288" s="74"/>
      <c r="KY288" s="74"/>
      <c r="KZ288" s="74"/>
      <c r="LA288" s="74"/>
      <c r="LB288" s="74"/>
      <c r="LC288" s="74"/>
      <c r="LD288" s="74"/>
      <c r="LE288" s="74"/>
      <c r="LF288" s="74"/>
      <c r="LG288" s="74"/>
      <c r="LH288" s="74"/>
      <c r="LI288" s="74"/>
      <c r="LJ288" s="74"/>
      <c r="LK288" s="74"/>
      <c r="LL288" s="74"/>
      <c r="LM288" s="74"/>
      <c r="LN288" s="74"/>
      <c r="LO288" s="74"/>
      <c r="LP288" s="74"/>
      <c r="LQ288" s="74"/>
      <c r="LR288" s="74"/>
      <c r="LS288" s="74"/>
      <c r="LT288" s="74"/>
      <c r="LU288" s="74"/>
      <c r="LV288" s="74"/>
      <c r="LW288" s="74"/>
      <c r="LX288" s="74"/>
      <c r="LY288" s="74"/>
      <c r="LZ288" s="74"/>
      <c r="MA288" s="74"/>
      <c r="MB288" s="74"/>
      <c r="MC288" s="74"/>
      <c r="MD288" s="74"/>
      <c r="ME288" s="74"/>
      <c r="MF288" s="74"/>
      <c r="MG288" s="74"/>
      <c r="MH288" s="74"/>
      <c r="MI288" s="74"/>
      <c r="MJ288" s="74"/>
      <c r="MK288" s="74"/>
      <c r="ML288" s="74"/>
      <c r="MM288" s="74"/>
      <c r="MN288" s="74"/>
      <c r="MO288" s="74"/>
      <c r="MP288" s="74"/>
      <c r="MQ288" s="74"/>
      <c r="MR288" s="74"/>
      <c r="MS288" s="74"/>
      <c r="MT288" s="74"/>
      <c r="MU288" s="74"/>
      <c r="MV288" s="74"/>
      <c r="MW288" s="74"/>
      <c r="MX288" s="74"/>
      <c r="MY288" s="74"/>
      <c r="MZ288" s="74"/>
      <c r="NA288" s="74"/>
      <c r="NB288" s="74"/>
      <c r="NC288" s="74"/>
      <c r="ND288" s="74"/>
      <c r="NE288" s="74"/>
      <c r="NF288" s="74"/>
      <c r="NG288" s="74"/>
      <c r="NH288" s="74"/>
      <c r="NI288" s="74"/>
      <c r="NJ288" s="74"/>
      <c r="NK288" s="74"/>
      <c r="NL288" s="74"/>
      <c r="NM288" s="74"/>
      <c r="NN288" s="74"/>
      <c r="NO288" s="74"/>
      <c r="NP288" s="74"/>
      <c r="NQ288" s="74"/>
      <c r="NR288" s="74"/>
      <c r="NS288" s="74"/>
      <c r="NT288" s="74"/>
      <c r="NU288" s="74"/>
      <c r="NV288" s="74"/>
      <c r="NW288" s="74"/>
      <c r="NX288" s="74"/>
      <c r="NY288" s="74"/>
      <c r="NZ288" s="74"/>
      <c r="OA288" s="74"/>
      <c r="OB288" s="74"/>
      <c r="OC288" s="74"/>
      <c r="OD288" s="74"/>
      <c r="OE288" s="74"/>
      <c r="OF288" s="74"/>
      <c r="OG288" s="74"/>
      <c r="OH288" s="74"/>
      <c r="OI288" s="74"/>
      <c r="OJ288" s="74"/>
      <c r="OK288" s="74"/>
      <c r="OL288" s="74"/>
      <c r="OM288" s="74"/>
      <c r="ON288" s="74"/>
      <c r="OO288" s="74"/>
      <c r="OP288" s="74"/>
      <c r="OQ288" s="74"/>
      <c r="OR288" s="74"/>
      <c r="OS288" s="74"/>
      <c r="OT288" s="74"/>
      <c r="OU288" s="74"/>
      <c r="OV288" s="74"/>
      <c r="OW288" s="74"/>
      <c r="OX288" s="74"/>
      <c r="OY288" s="74"/>
      <c r="OZ288" s="74"/>
      <c r="PA288" s="74"/>
      <c r="PB288" s="74"/>
      <c r="PC288" s="74"/>
      <c r="PD288" s="74"/>
      <c r="PE288" s="74"/>
      <c r="PF288" s="74"/>
      <c r="PG288" s="74"/>
      <c r="PH288" s="74"/>
      <c r="PI288" s="74"/>
      <c r="PJ288" s="74"/>
      <c r="PK288" s="74"/>
      <c r="PL288" s="74"/>
      <c r="PM288" s="74"/>
      <c r="PN288" s="74"/>
      <c r="PO288" s="74"/>
      <c r="PP288" s="74"/>
      <c r="PQ288" s="74"/>
      <c r="PR288" s="74"/>
      <c r="PS288" s="74"/>
      <c r="PT288" s="74"/>
      <c r="PU288" s="74"/>
      <c r="PV288" s="74"/>
      <c r="PW288" s="74"/>
      <c r="PX288" s="74"/>
      <c r="PY288" s="74"/>
      <c r="PZ288" s="74"/>
      <c r="QA288" s="74"/>
      <c r="QB288" s="74"/>
      <c r="QC288" s="74"/>
      <c r="QD288" s="74"/>
      <c r="QE288" s="74"/>
      <c r="QF288" s="74"/>
      <c r="QG288" s="74"/>
      <c r="QH288" s="74"/>
      <c r="QI288" s="74"/>
      <c r="QJ288" s="74"/>
      <c r="QK288" s="74"/>
      <c r="QL288" s="74"/>
      <c r="QM288" s="74"/>
      <c r="QN288" s="74"/>
      <c r="QO288" s="74"/>
      <c r="QP288" s="74"/>
      <c r="QQ288" s="74"/>
      <c r="QR288" s="74"/>
      <c r="QS288" s="74"/>
      <c r="QT288" s="74"/>
      <c r="QU288" s="74"/>
      <c r="QV288" s="74"/>
      <c r="QW288" s="74"/>
      <c r="QX288" s="74"/>
      <c r="QY288" s="74"/>
      <c r="QZ288" s="74"/>
      <c r="RA288" s="74"/>
      <c r="RB288" s="74"/>
      <c r="RC288" s="74"/>
      <c r="RD288" s="74"/>
      <c r="RE288" s="74"/>
      <c r="RF288" s="74"/>
      <c r="RG288" s="74"/>
      <c r="RH288" s="74"/>
      <c r="RI288" s="74"/>
      <c r="RJ288" s="74"/>
      <c r="RK288" s="74"/>
      <c r="RL288" s="74"/>
      <c r="RM288" s="74"/>
      <c r="RN288" s="74"/>
      <c r="RO288" s="74"/>
      <c r="RP288" s="74"/>
      <c r="RQ288" s="74"/>
      <c r="RR288" s="74"/>
      <c r="RS288" s="74"/>
      <c r="RT288" s="74"/>
      <c r="RU288" s="74"/>
      <c r="RV288" s="74"/>
      <c r="RW288" s="74"/>
      <c r="RX288" s="74"/>
      <c r="RY288" s="74"/>
      <c r="RZ288" s="74"/>
      <c r="SA288" s="74"/>
      <c r="SB288" s="74"/>
      <c r="SC288" s="74"/>
      <c r="SD288" s="74"/>
      <c r="SE288" s="74"/>
      <c r="SF288" s="74"/>
      <c r="SG288" s="74"/>
      <c r="SH288" s="74"/>
      <c r="SI288" s="74"/>
      <c r="SJ288" s="74"/>
      <c r="SK288" s="74"/>
      <c r="SL288" s="74"/>
      <c r="SM288" s="74"/>
      <c r="SN288" s="74"/>
      <c r="SO288" s="74"/>
      <c r="SP288" s="74"/>
      <c r="SQ288" s="74"/>
      <c r="SR288" s="74"/>
      <c r="SS288" s="74"/>
      <c r="ST288" s="74"/>
      <c r="SU288" s="74"/>
      <c r="SV288" s="74"/>
      <c r="SW288" s="74"/>
      <c r="SX288" s="74"/>
      <c r="SY288" s="74"/>
      <c r="SZ288" s="74"/>
      <c r="TA288" s="74"/>
      <c r="TB288" s="74"/>
      <c r="TC288" s="74"/>
      <c r="TD288" s="74"/>
      <c r="TE288" s="74"/>
      <c r="TF288" s="74"/>
      <c r="TG288" s="74"/>
      <c r="TH288" s="74"/>
      <c r="TI288" s="74"/>
      <c r="TJ288" s="74"/>
      <c r="TK288" s="74"/>
      <c r="TL288" s="74"/>
      <c r="TM288" s="74"/>
      <c r="TN288" s="74"/>
      <c r="TO288" s="74"/>
      <c r="TP288" s="74"/>
      <c r="TQ288" s="74"/>
      <c r="TR288" s="74"/>
      <c r="TS288" s="74"/>
      <c r="TT288" s="74"/>
      <c r="TU288" s="74"/>
      <c r="TV288" s="74"/>
      <c r="TW288" s="74"/>
      <c r="TX288" s="74"/>
      <c r="TY288" s="74"/>
      <c r="TZ288" s="74"/>
      <c r="UA288" s="74"/>
      <c r="UB288" s="74"/>
      <c r="UC288" s="74"/>
      <c r="UD288" s="74"/>
      <c r="UE288" s="74"/>
      <c r="UF288" s="74"/>
      <c r="UG288" s="74"/>
      <c r="UH288" s="74"/>
      <c r="UI288" s="74"/>
      <c r="UJ288" s="74"/>
      <c r="UK288" s="74"/>
      <c r="UL288" s="74"/>
      <c r="UM288" s="74"/>
      <c r="UN288" s="74"/>
      <c r="UO288" s="74"/>
      <c r="UP288" s="74"/>
      <c r="UQ288" s="74"/>
      <c r="UR288" s="74"/>
      <c r="US288" s="74"/>
      <c r="UT288" s="74"/>
      <c r="UU288" s="74"/>
      <c r="UV288" s="74"/>
      <c r="UW288" s="74"/>
      <c r="UX288" s="74"/>
      <c r="UY288" s="74"/>
      <c r="UZ288" s="74"/>
      <c r="VA288" s="74"/>
      <c r="VB288" s="74"/>
      <c r="VC288" s="74"/>
      <c r="VD288" s="74"/>
      <c r="VE288" s="74"/>
      <c r="VF288" s="74"/>
    </row>
    <row r="289" spans="1:578" s="41" customFormat="1" ht="42" customHeight="1" x14ac:dyDescent="0.2">
      <c r="A289" s="39" t="s">
        <v>287</v>
      </c>
      <c r="B289" s="90" t="str">
        <f>'дод 3'!A16</f>
        <v>0160</v>
      </c>
      <c r="C289" s="90" t="str">
        <f>'дод 3'!B16</f>
        <v>0111</v>
      </c>
      <c r="D289" s="40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89" s="65">
        <v>20171200</v>
      </c>
      <c r="F289" s="65">
        <v>15818000</v>
      </c>
      <c r="G289" s="65">
        <f>196300+2491</f>
        <v>198791</v>
      </c>
      <c r="H289" s="65">
        <v>5674915.4900000002</v>
      </c>
      <c r="I289" s="65">
        <v>4453656.5</v>
      </c>
      <c r="J289" s="65">
        <v>64521.21</v>
      </c>
      <c r="K289" s="130">
        <f t="shared" si="94"/>
        <v>28.133752528357263</v>
      </c>
      <c r="L289" s="65">
        <f t="shared" si="73"/>
        <v>632000</v>
      </c>
      <c r="M289" s="65">
        <v>632000</v>
      </c>
      <c r="N289" s="65"/>
      <c r="O289" s="65"/>
      <c r="P289" s="65"/>
      <c r="Q289" s="65">
        <f>100000+500000+32000</f>
        <v>632000</v>
      </c>
      <c r="R289" s="65">
        <f t="shared" si="74"/>
        <v>516150</v>
      </c>
      <c r="S289" s="65">
        <v>516150</v>
      </c>
      <c r="T289" s="65"/>
      <c r="U289" s="65"/>
      <c r="V289" s="65"/>
      <c r="W289" s="65">
        <v>516150</v>
      </c>
      <c r="X289" s="132">
        <f t="shared" si="91"/>
        <v>81.669303797468345</v>
      </c>
      <c r="Y289" s="65">
        <f t="shared" si="92"/>
        <v>6191065.4900000002</v>
      </c>
      <c r="Z289" s="202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  <c r="IV289" s="47"/>
      <c r="IW289" s="47"/>
      <c r="IX289" s="47"/>
      <c r="IY289" s="47"/>
      <c r="IZ289" s="47"/>
      <c r="JA289" s="47"/>
      <c r="JB289" s="47"/>
      <c r="JC289" s="47"/>
      <c r="JD289" s="47"/>
      <c r="JE289" s="47"/>
      <c r="JF289" s="47"/>
      <c r="JG289" s="47"/>
      <c r="JH289" s="47"/>
      <c r="JI289" s="47"/>
      <c r="JJ289" s="47"/>
      <c r="JK289" s="47"/>
      <c r="JL289" s="47"/>
      <c r="JM289" s="47"/>
      <c r="JN289" s="47"/>
      <c r="JO289" s="47"/>
      <c r="JP289" s="47"/>
      <c r="JQ289" s="47"/>
      <c r="JR289" s="47"/>
      <c r="JS289" s="47"/>
      <c r="JT289" s="47"/>
      <c r="JU289" s="47"/>
      <c r="JV289" s="47"/>
      <c r="JW289" s="47"/>
      <c r="JX289" s="47"/>
      <c r="JY289" s="47"/>
      <c r="JZ289" s="47"/>
      <c r="KA289" s="47"/>
      <c r="KB289" s="47"/>
      <c r="KC289" s="47"/>
      <c r="KD289" s="47"/>
      <c r="KE289" s="47"/>
      <c r="KF289" s="47"/>
      <c r="KG289" s="47"/>
      <c r="KH289" s="47"/>
      <c r="KI289" s="47"/>
      <c r="KJ289" s="47"/>
      <c r="KK289" s="47"/>
      <c r="KL289" s="47"/>
      <c r="KM289" s="47"/>
      <c r="KN289" s="47"/>
      <c r="KO289" s="47"/>
      <c r="KP289" s="47"/>
      <c r="KQ289" s="47"/>
      <c r="KR289" s="47"/>
      <c r="KS289" s="47"/>
      <c r="KT289" s="47"/>
      <c r="KU289" s="47"/>
      <c r="KV289" s="47"/>
      <c r="KW289" s="47"/>
      <c r="KX289" s="47"/>
      <c r="KY289" s="47"/>
      <c r="KZ289" s="47"/>
      <c r="LA289" s="47"/>
      <c r="LB289" s="47"/>
      <c r="LC289" s="47"/>
      <c r="LD289" s="47"/>
      <c r="LE289" s="47"/>
      <c r="LF289" s="47"/>
      <c r="LG289" s="47"/>
      <c r="LH289" s="47"/>
      <c r="LI289" s="47"/>
      <c r="LJ289" s="47"/>
      <c r="LK289" s="47"/>
      <c r="LL289" s="47"/>
      <c r="LM289" s="47"/>
      <c r="LN289" s="47"/>
      <c r="LO289" s="47"/>
      <c r="LP289" s="47"/>
      <c r="LQ289" s="47"/>
      <c r="LR289" s="47"/>
      <c r="LS289" s="47"/>
      <c r="LT289" s="47"/>
      <c r="LU289" s="47"/>
      <c r="LV289" s="47"/>
      <c r="LW289" s="47"/>
      <c r="LX289" s="47"/>
      <c r="LY289" s="47"/>
      <c r="LZ289" s="47"/>
      <c r="MA289" s="47"/>
      <c r="MB289" s="47"/>
      <c r="MC289" s="47"/>
      <c r="MD289" s="47"/>
      <c r="ME289" s="47"/>
      <c r="MF289" s="47"/>
      <c r="MG289" s="47"/>
      <c r="MH289" s="47"/>
      <c r="MI289" s="47"/>
      <c r="MJ289" s="47"/>
      <c r="MK289" s="47"/>
      <c r="ML289" s="47"/>
      <c r="MM289" s="47"/>
      <c r="MN289" s="47"/>
      <c r="MO289" s="47"/>
      <c r="MP289" s="47"/>
      <c r="MQ289" s="47"/>
      <c r="MR289" s="47"/>
      <c r="MS289" s="47"/>
      <c r="MT289" s="47"/>
      <c r="MU289" s="47"/>
      <c r="MV289" s="47"/>
      <c r="MW289" s="47"/>
      <c r="MX289" s="47"/>
      <c r="MY289" s="47"/>
      <c r="MZ289" s="47"/>
      <c r="NA289" s="47"/>
      <c r="NB289" s="47"/>
      <c r="NC289" s="47"/>
      <c r="ND289" s="47"/>
      <c r="NE289" s="47"/>
      <c r="NF289" s="47"/>
      <c r="NG289" s="47"/>
      <c r="NH289" s="47"/>
      <c r="NI289" s="47"/>
      <c r="NJ289" s="47"/>
      <c r="NK289" s="47"/>
      <c r="NL289" s="47"/>
      <c r="NM289" s="47"/>
      <c r="NN289" s="47"/>
      <c r="NO289" s="47"/>
      <c r="NP289" s="47"/>
      <c r="NQ289" s="47"/>
      <c r="NR289" s="47"/>
      <c r="NS289" s="47"/>
      <c r="NT289" s="47"/>
      <c r="NU289" s="47"/>
      <c r="NV289" s="47"/>
      <c r="NW289" s="47"/>
      <c r="NX289" s="47"/>
      <c r="NY289" s="47"/>
      <c r="NZ289" s="47"/>
      <c r="OA289" s="47"/>
      <c r="OB289" s="47"/>
      <c r="OC289" s="47"/>
      <c r="OD289" s="47"/>
      <c r="OE289" s="47"/>
      <c r="OF289" s="47"/>
      <c r="OG289" s="47"/>
      <c r="OH289" s="47"/>
      <c r="OI289" s="47"/>
      <c r="OJ289" s="47"/>
      <c r="OK289" s="47"/>
      <c r="OL289" s="47"/>
      <c r="OM289" s="47"/>
      <c r="ON289" s="47"/>
      <c r="OO289" s="47"/>
      <c r="OP289" s="47"/>
      <c r="OQ289" s="47"/>
      <c r="OR289" s="47"/>
      <c r="OS289" s="47"/>
      <c r="OT289" s="47"/>
      <c r="OU289" s="47"/>
      <c r="OV289" s="47"/>
      <c r="OW289" s="47"/>
      <c r="OX289" s="47"/>
      <c r="OY289" s="47"/>
      <c r="OZ289" s="47"/>
      <c r="PA289" s="47"/>
      <c r="PB289" s="47"/>
      <c r="PC289" s="47"/>
      <c r="PD289" s="47"/>
      <c r="PE289" s="47"/>
      <c r="PF289" s="47"/>
      <c r="PG289" s="47"/>
      <c r="PH289" s="47"/>
      <c r="PI289" s="47"/>
      <c r="PJ289" s="47"/>
      <c r="PK289" s="47"/>
      <c r="PL289" s="47"/>
      <c r="PM289" s="47"/>
      <c r="PN289" s="47"/>
      <c r="PO289" s="47"/>
      <c r="PP289" s="47"/>
      <c r="PQ289" s="47"/>
      <c r="PR289" s="47"/>
      <c r="PS289" s="47"/>
      <c r="PT289" s="47"/>
      <c r="PU289" s="47"/>
      <c r="PV289" s="47"/>
      <c r="PW289" s="47"/>
      <c r="PX289" s="47"/>
      <c r="PY289" s="47"/>
      <c r="PZ289" s="47"/>
      <c r="QA289" s="47"/>
      <c r="QB289" s="47"/>
      <c r="QC289" s="47"/>
      <c r="QD289" s="47"/>
      <c r="QE289" s="47"/>
      <c r="QF289" s="47"/>
      <c r="QG289" s="47"/>
      <c r="QH289" s="47"/>
      <c r="QI289" s="47"/>
      <c r="QJ289" s="47"/>
      <c r="QK289" s="47"/>
      <c r="QL289" s="47"/>
      <c r="QM289" s="47"/>
      <c r="QN289" s="47"/>
      <c r="QO289" s="47"/>
      <c r="QP289" s="47"/>
      <c r="QQ289" s="47"/>
      <c r="QR289" s="47"/>
      <c r="QS289" s="47"/>
      <c r="QT289" s="47"/>
      <c r="QU289" s="47"/>
      <c r="QV289" s="47"/>
      <c r="QW289" s="47"/>
      <c r="QX289" s="47"/>
      <c r="QY289" s="47"/>
      <c r="QZ289" s="47"/>
      <c r="RA289" s="47"/>
      <c r="RB289" s="47"/>
      <c r="RC289" s="47"/>
      <c r="RD289" s="47"/>
      <c r="RE289" s="47"/>
      <c r="RF289" s="47"/>
      <c r="RG289" s="47"/>
      <c r="RH289" s="47"/>
      <c r="RI289" s="47"/>
      <c r="RJ289" s="47"/>
      <c r="RK289" s="47"/>
      <c r="RL289" s="47"/>
      <c r="RM289" s="47"/>
      <c r="RN289" s="47"/>
      <c r="RO289" s="47"/>
      <c r="RP289" s="47"/>
      <c r="RQ289" s="47"/>
      <c r="RR289" s="47"/>
      <c r="RS289" s="47"/>
      <c r="RT289" s="47"/>
      <c r="RU289" s="47"/>
      <c r="RV289" s="47"/>
      <c r="RW289" s="47"/>
      <c r="RX289" s="47"/>
      <c r="RY289" s="47"/>
      <c r="RZ289" s="47"/>
      <c r="SA289" s="47"/>
      <c r="SB289" s="47"/>
      <c r="SC289" s="47"/>
      <c r="SD289" s="47"/>
      <c r="SE289" s="47"/>
      <c r="SF289" s="47"/>
      <c r="SG289" s="47"/>
      <c r="SH289" s="47"/>
      <c r="SI289" s="47"/>
      <c r="SJ289" s="47"/>
      <c r="SK289" s="47"/>
      <c r="SL289" s="47"/>
      <c r="SM289" s="47"/>
      <c r="SN289" s="47"/>
      <c r="SO289" s="47"/>
      <c r="SP289" s="47"/>
      <c r="SQ289" s="47"/>
      <c r="SR289" s="47"/>
      <c r="SS289" s="47"/>
      <c r="ST289" s="47"/>
      <c r="SU289" s="47"/>
      <c r="SV289" s="47"/>
      <c r="SW289" s="47"/>
      <c r="SX289" s="47"/>
      <c r="SY289" s="47"/>
      <c r="SZ289" s="47"/>
      <c r="TA289" s="47"/>
      <c r="TB289" s="47"/>
      <c r="TC289" s="47"/>
      <c r="TD289" s="47"/>
      <c r="TE289" s="47"/>
      <c r="TF289" s="47"/>
      <c r="TG289" s="47"/>
      <c r="TH289" s="47"/>
      <c r="TI289" s="47"/>
      <c r="TJ289" s="47"/>
      <c r="TK289" s="47"/>
      <c r="TL289" s="47"/>
      <c r="TM289" s="47"/>
      <c r="TN289" s="47"/>
      <c r="TO289" s="47"/>
      <c r="TP289" s="47"/>
      <c r="TQ289" s="47"/>
      <c r="TR289" s="47"/>
      <c r="TS289" s="47"/>
      <c r="TT289" s="47"/>
      <c r="TU289" s="47"/>
      <c r="TV289" s="47"/>
      <c r="TW289" s="47"/>
      <c r="TX289" s="47"/>
      <c r="TY289" s="47"/>
      <c r="TZ289" s="47"/>
      <c r="UA289" s="47"/>
      <c r="UB289" s="47"/>
      <c r="UC289" s="47"/>
      <c r="UD289" s="47"/>
      <c r="UE289" s="47"/>
      <c r="UF289" s="47"/>
      <c r="UG289" s="47"/>
      <c r="UH289" s="47"/>
      <c r="UI289" s="47"/>
      <c r="UJ289" s="47"/>
      <c r="UK289" s="47"/>
      <c r="UL289" s="47"/>
      <c r="UM289" s="47"/>
      <c r="UN289" s="47"/>
      <c r="UO289" s="47"/>
      <c r="UP289" s="47"/>
      <c r="UQ289" s="47"/>
      <c r="UR289" s="47"/>
      <c r="US289" s="47"/>
      <c r="UT289" s="47"/>
      <c r="UU289" s="47"/>
      <c r="UV289" s="47"/>
      <c r="UW289" s="47"/>
      <c r="UX289" s="47"/>
      <c r="UY289" s="47"/>
      <c r="UZ289" s="47"/>
      <c r="VA289" s="47"/>
      <c r="VB289" s="47"/>
      <c r="VC289" s="47"/>
      <c r="VD289" s="47"/>
      <c r="VE289" s="47"/>
      <c r="VF289" s="47"/>
    </row>
    <row r="290" spans="1:578" s="41" customFormat="1" ht="23.25" customHeight="1" x14ac:dyDescent="0.2">
      <c r="A290" s="39" t="s">
        <v>333</v>
      </c>
      <c r="B290" s="90" t="str">
        <f>'дод 3'!A185</f>
        <v>7640</v>
      </c>
      <c r="C290" s="90" t="str">
        <f>'дод 3'!B185</f>
        <v>0470</v>
      </c>
      <c r="D290" s="42" t="str">
        <f>'дод 3'!C185</f>
        <v>Заходи з енергозбереження</v>
      </c>
      <c r="E290" s="65">
        <v>306000</v>
      </c>
      <c r="F290" s="65"/>
      <c r="G290" s="65"/>
      <c r="H290" s="65">
        <v>75000</v>
      </c>
      <c r="I290" s="65"/>
      <c r="J290" s="65"/>
      <c r="K290" s="130">
        <f t="shared" si="94"/>
        <v>24.509803921568626</v>
      </c>
      <c r="L290" s="65">
        <f t="shared" si="73"/>
        <v>0</v>
      </c>
      <c r="M290" s="65"/>
      <c r="N290" s="65"/>
      <c r="O290" s="65"/>
      <c r="P290" s="65"/>
      <c r="Q290" s="65"/>
      <c r="R290" s="65">
        <f t="shared" si="74"/>
        <v>0</v>
      </c>
      <c r="S290" s="65"/>
      <c r="T290" s="65"/>
      <c r="U290" s="65"/>
      <c r="V290" s="65"/>
      <c r="W290" s="65"/>
      <c r="X290" s="132"/>
      <c r="Y290" s="65">
        <f t="shared" si="92"/>
        <v>75000</v>
      </c>
      <c r="Z290" s="202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  <c r="IV290" s="47"/>
      <c r="IW290" s="47"/>
      <c r="IX290" s="47"/>
      <c r="IY290" s="47"/>
      <c r="IZ290" s="47"/>
      <c r="JA290" s="47"/>
      <c r="JB290" s="47"/>
      <c r="JC290" s="47"/>
      <c r="JD290" s="47"/>
      <c r="JE290" s="47"/>
      <c r="JF290" s="47"/>
      <c r="JG290" s="47"/>
      <c r="JH290" s="47"/>
      <c r="JI290" s="47"/>
      <c r="JJ290" s="47"/>
      <c r="JK290" s="47"/>
      <c r="JL290" s="47"/>
      <c r="JM290" s="47"/>
      <c r="JN290" s="47"/>
      <c r="JO290" s="47"/>
      <c r="JP290" s="47"/>
      <c r="JQ290" s="47"/>
      <c r="JR290" s="47"/>
      <c r="JS290" s="47"/>
      <c r="JT290" s="47"/>
      <c r="JU290" s="47"/>
      <c r="JV290" s="47"/>
      <c r="JW290" s="47"/>
      <c r="JX290" s="47"/>
      <c r="JY290" s="47"/>
      <c r="JZ290" s="47"/>
      <c r="KA290" s="47"/>
      <c r="KB290" s="47"/>
      <c r="KC290" s="47"/>
      <c r="KD290" s="47"/>
      <c r="KE290" s="47"/>
      <c r="KF290" s="47"/>
      <c r="KG290" s="47"/>
      <c r="KH290" s="47"/>
      <c r="KI290" s="47"/>
      <c r="KJ290" s="47"/>
      <c r="KK290" s="47"/>
      <c r="KL290" s="47"/>
      <c r="KM290" s="47"/>
      <c r="KN290" s="47"/>
      <c r="KO290" s="47"/>
      <c r="KP290" s="47"/>
      <c r="KQ290" s="47"/>
      <c r="KR290" s="47"/>
      <c r="KS290" s="47"/>
      <c r="KT290" s="47"/>
      <c r="KU290" s="47"/>
      <c r="KV290" s="47"/>
      <c r="KW290" s="47"/>
      <c r="KX290" s="47"/>
      <c r="KY290" s="47"/>
      <c r="KZ290" s="47"/>
      <c r="LA290" s="47"/>
      <c r="LB290" s="47"/>
      <c r="LC290" s="47"/>
      <c r="LD290" s="47"/>
      <c r="LE290" s="47"/>
      <c r="LF290" s="47"/>
      <c r="LG290" s="47"/>
      <c r="LH290" s="47"/>
      <c r="LI290" s="47"/>
      <c r="LJ290" s="47"/>
      <c r="LK290" s="47"/>
      <c r="LL290" s="47"/>
      <c r="LM290" s="47"/>
      <c r="LN290" s="47"/>
      <c r="LO290" s="47"/>
      <c r="LP290" s="47"/>
      <c r="LQ290" s="47"/>
      <c r="LR290" s="47"/>
      <c r="LS290" s="47"/>
      <c r="LT290" s="47"/>
      <c r="LU290" s="47"/>
      <c r="LV290" s="47"/>
      <c r="LW290" s="47"/>
      <c r="LX290" s="47"/>
      <c r="LY290" s="47"/>
      <c r="LZ290" s="47"/>
      <c r="MA290" s="47"/>
      <c r="MB290" s="47"/>
      <c r="MC290" s="47"/>
      <c r="MD290" s="47"/>
      <c r="ME290" s="47"/>
      <c r="MF290" s="47"/>
      <c r="MG290" s="47"/>
      <c r="MH290" s="47"/>
      <c r="MI290" s="47"/>
      <c r="MJ290" s="47"/>
      <c r="MK290" s="47"/>
      <c r="ML290" s="47"/>
      <c r="MM290" s="47"/>
      <c r="MN290" s="47"/>
      <c r="MO290" s="47"/>
      <c r="MP290" s="47"/>
      <c r="MQ290" s="47"/>
      <c r="MR290" s="47"/>
      <c r="MS290" s="47"/>
      <c r="MT290" s="47"/>
      <c r="MU290" s="47"/>
      <c r="MV290" s="47"/>
      <c r="MW290" s="47"/>
      <c r="MX290" s="47"/>
      <c r="MY290" s="47"/>
      <c r="MZ290" s="47"/>
      <c r="NA290" s="47"/>
      <c r="NB290" s="47"/>
      <c r="NC290" s="47"/>
      <c r="ND290" s="47"/>
      <c r="NE290" s="47"/>
      <c r="NF290" s="47"/>
      <c r="NG290" s="47"/>
      <c r="NH290" s="47"/>
      <c r="NI290" s="47"/>
      <c r="NJ290" s="47"/>
      <c r="NK290" s="47"/>
      <c r="NL290" s="47"/>
      <c r="NM290" s="47"/>
      <c r="NN290" s="47"/>
      <c r="NO290" s="47"/>
      <c r="NP290" s="47"/>
      <c r="NQ290" s="47"/>
      <c r="NR290" s="47"/>
      <c r="NS290" s="47"/>
      <c r="NT290" s="47"/>
      <c r="NU290" s="47"/>
      <c r="NV290" s="47"/>
      <c r="NW290" s="47"/>
      <c r="NX290" s="47"/>
      <c r="NY290" s="47"/>
      <c r="NZ290" s="47"/>
      <c r="OA290" s="47"/>
      <c r="OB290" s="47"/>
      <c r="OC290" s="47"/>
      <c r="OD290" s="47"/>
      <c r="OE290" s="47"/>
      <c r="OF290" s="47"/>
      <c r="OG290" s="47"/>
      <c r="OH290" s="47"/>
      <c r="OI290" s="47"/>
      <c r="OJ290" s="47"/>
      <c r="OK290" s="47"/>
      <c r="OL290" s="47"/>
      <c r="OM290" s="47"/>
      <c r="ON290" s="47"/>
      <c r="OO290" s="47"/>
      <c r="OP290" s="47"/>
      <c r="OQ290" s="47"/>
      <c r="OR290" s="47"/>
      <c r="OS290" s="47"/>
      <c r="OT290" s="47"/>
      <c r="OU290" s="47"/>
      <c r="OV290" s="47"/>
      <c r="OW290" s="47"/>
      <c r="OX290" s="47"/>
      <c r="OY290" s="47"/>
      <c r="OZ290" s="47"/>
      <c r="PA290" s="47"/>
      <c r="PB290" s="47"/>
      <c r="PC290" s="47"/>
      <c r="PD290" s="47"/>
      <c r="PE290" s="47"/>
      <c r="PF290" s="47"/>
      <c r="PG290" s="47"/>
      <c r="PH290" s="47"/>
      <c r="PI290" s="47"/>
      <c r="PJ290" s="47"/>
      <c r="PK290" s="47"/>
      <c r="PL290" s="47"/>
      <c r="PM290" s="47"/>
      <c r="PN290" s="47"/>
      <c r="PO290" s="47"/>
      <c r="PP290" s="47"/>
      <c r="PQ290" s="47"/>
      <c r="PR290" s="47"/>
      <c r="PS290" s="47"/>
      <c r="PT290" s="47"/>
      <c r="PU290" s="47"/>
      <c r="PV290" s="47"/>
      <c r="PW290" s="47"/>
      <c r="PX290" s="47"/>
      <c r="PY290" s="47"/>
      <c r="PZ290" s="47"/>
      <c r="QA290" s="47"/>
      <c r="QB290" s="47"/>
      <c r="QC290" s="47"/>
      <c r="QD290" s="47"/>
      <c r="QE290" s="47"/>
      <c r="QF290" s="47"/>
      <c r="QG290" s="47"/>
      <c r="QH290" s="47"/>
      <c r="QI290" s="47"/>
      <c r="QJ290" s="47"/>
      <c r="QK290" s="47"/>
      <c r="QL290" s="47"/>
      <c r="QM290" s="47"/>
      <c r="QN290" s="47"/>
      <c r="QO290" s="47"/>
      <c r="QP290" s="47"/>
      <c r="QQ290" s="47"/>
      <c r="QR290" s="47"/>
      <c r="QS290" s="47"/>
      <c r="QT290" s="47"/>
      <c r="QU290" s="47"/>
      <c r="QV290" s="47"/>
      <c r="QW290" s="47"/>
      <c r="QX290" s="47"/>
      <c r="QY290" s="47"/>
      <c r="QZ290" s="47"/>
      <c r="RA290" s="47"/>
      <c r="RB290" s="47"/>
      <c r="RC290" s="47"/>
      <c r="RD290" s="47"/>
      <c r="RE290" s="47"/>
      <c r="RF290" s="47"/>
      <c r="RG290" s="47"/>
      <c r="RH290" s="47"/>
      <c r="RI290" s="47"/>
      <c r="RJ290" s="47"/>
      <c r="RK290" s="47"/>
      <c r="RL290" s="47"/>
      <c r="RM290" s="47"/>
      <c r="RN290" s="47"/>
      <c r="RO290" s="47"/>
      <c r="RP290" s="47"/>
      <c r="RQ290" s="47"/>
      <c r="RR290" s="47"/>
      <c r="RS290" s="47"/>
      <c r="RT290" s="47"/>
      <c r="RU290" s="47"/>
      <c r="RV290" s="47"/>
      <c r="RW290" s="47"/>
      <c r="RX290" s="47"/>
      <c r="RY290" s="47"/>
      <c r="RZ290" s="47"/>
      <c r="SA290" s="47"/>
      <c r="SB290" s="47"/>
      <c r="SC290" s="47"/>
      <c r="SD290" s="47"/>
      <c r="SE290" s="47"/>
      <c r="SF290" s="47"/>
      <c r="SG290" s="47"/>
      <c r="SH290" s="47"/>
      <c r="SI290" s="47"/>
      <c r="SJ290" s="47"/>
      <c r="SK290" s="47"/>
      <c r="SL290" s="47"/>
      <c r="SM290" s="47"/>
      <c r="SN290" s="47"/>
      <c r="SO290" s="47"/>
      <c r="SP290" s="47"/>
      <c r="SQ290" s="47"/>
      <c r="SR290" s="47"/>
      <c r="SS290" s="47"/>
      <c r="ST290" s="47"/>
      <c r="SU290" s="47"/>
      <c r="SV290" s="47"/>
      <c r="SW290" s="47"/>
      <c r="SX290" s="47"/>
      <c r="SY290" s="47"/>
      <c r="SZ290" s="47"/>
      <c r="TA290" s="47"/>
      <c r="TB290" s="47"/>
      <c r="TC290" s="47"/>
      <c r="TD290" s="47"/>
      <c r="TE290" s="47"/>
      <c r="TF290" s="47"/>
      <c r="TG290" s="47"/>
      <c r="TH290" s="47"/>
      <c r="TI290" s="47"/>
      <c r="TJ290" s="47"/>
      <c r="TK290" s="47"/>
      <c r="TL290" s="47"/>
      <c r="TM290" s="47"/>
      <c r="TN290" s="47"/>
      <c r="TO290" s="47"/>
      <c r="TP290" s="47"/>
      <c r="TQ290" s="47"/>
      <c r="TR290" s="47"/>
      <c r="TS290" s="47"/>
      <c r="TT290" s="47"/>
      <c r="TU290" s="47"/>
      <c r="TV290" s="47"/>
      <c r="TW290" s="47"/>
      <c r="TX290" s="47"/>
      <c r="TY290" s="47"/>
      <c r="TZ290" s="47"/>
      <c r="UA290" s="47"/>
      <c r="UB290" s="47"/>
      <c r="UC290" s="47"/>
      <c r="UD290" s="47"/>
      <c r="UE290" s="47"/>
      <c r="UF290" s="47"/>
      <c r="UG290" s="47"/>
      <c r="UH290" s="47"/>
      <c r="UI290" s="47"/>
      <c r="UJ290" s="47"/>
      <c r="UK290" s="47"/>
      <c r="UL290" s="47"/>
      <c r="UM290" s="47"/>
      <c r="UN290" s="47"/>
      <c r="UO290" s="47"/>
      <c r="UP290" s="47"/>
      <c r="UQ290" s="47"/>
      <c r="UR290" s="47"/>
      <c r="US290" s="47"/>
      <c r="UT290" s="47"/>
      <c r="UU290" s="47"/>
      <c r="UV290" s="47"/>
      <c r="UW290" s="47"/>
      <c r="UX290" s="47"/>
      <c r="UY290" s="47"/>
      <c r="UZ290" s="47"/>
      <c r="VA290" s="47"/>
      <c r="VB290" s="47"/>
      <c r="VC290" s="47"/>
      <c r="VD290" s="47"/>
      <c r="VE290" s="47"/>
      <c r="VF290" s="47"/>
    </row>
    <row r="291" spans="1:578" s="41" customFormat="1" ht="23.25" customHeight="1" x14ac:dyDescent="0.2">
      <c r="A291" s="39" t="s">
        <v>561</v>
      </c>
      <c r="B291" s="90" t="str">
        <f>'дод 3'!A191</f>
        <v>7693</v>
      </c>
      <c r="C291" s="90" t="str">
        <f>'дод 3'!B191</f>
        <v>0490</v>
      </c>
      <c r="D291" s="50" t="str">
        <f>'дод 3'!C191</f>
        <v>Інші заходи, пов'язані з економічною діяльністю</v>
      </c>
      <c r="E291" s="65">
        <v>70000</v>
      </c>
      <c r="F291" s="65"/>
      <c r="G291" s="65"/>
      <c r="H291" s="65"/>
      <c r="I291" s="65"/>
      <c r="J291" s="65"/>
      <c r="K291" s="130">
        <f t="shared" si="94"/>
        <v>0</v>
      </c>
      <c r="L291" s="65">
        <f t="shared" si="73"/>
        <v>0</v>
      </c>
      <c r="M291" s="65"/>
      <c r="N291" s="65"/>
      <c r="O291" s="65"/>
      <c r="P291" s="65"/>
      <c r="Q291" s="65"/>
      <c r="R291" s="65">
        <f t="shared" si="74"/>
        <v>0</v>
      </c>
      <c r="S291" s="65"/>
      <c r="T291" s="65"/>
      <c r="U291" s="65"/>
      <c r="V291" s="65"/>
      <c r="W291" s="65"/>
      <c r="X291" s="132"/>
      <c r="Y291" s="65">
        <f t="shared" si="92"/>
        <v>0</v>
      </c>
      <c r="Z291" s="202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  <c r="IV291" s="47"/>
      <c r="IW291" s="47"/>
      <c r="IX291" s="47"/>
      <c r="IY291" s="47"/>
      <c r="IZ291" s="47"/>
      <c r="JA291" s="47"/>
      <c r="JB291" s="47"/>
      <c r="JC291" s="47"/>
      <c r="JD291" s="47"/>
      <c r="JE291" s="47"/>
      <c r="JF291" s="47"/>
      <c r="JG291" s="47"/>
      <c r="JH291" s="47"/>
      <c r="JI291" s="47"/>
      <c r="JJ291" s="47"/>
      <c r="JK291" s="47"/>
      <c r="JL291" s="47"/>
      <c r="JM291" s="47"/>
      <c r="JN291" s="47"/>
      <c r="JO291" s="47"/>
      <c r="JP291" s="47"/>
      <c r="JQ291" s="47"/>
      <c r="JR291" s="47"/>
      <c r="JS291" s="47"/>
      <c r="JT291" s="47"/>
      <c r="JU291" s="47"/>
      <c r="JV291" s="47"/>
      <c r="JW291" s="47"/>
      <c r="JX291" s="47"/>
      <c r="JY291" s="47"/>
      <c r="JZ291" s="47"/>
      <c r="KA291" s="47"/>
      <c r="KB291" s="47"/>
      <c r="KC291" s="47"/>
      <c r="KD291" s="47"/>
      <c r="KE291" s="47"/>
      <c r="KF291" s="47"/>
      <c r="KG291" s="47"/>
      <c r="KH291" s="47"/>
      <c r="KI291" s="47"/>
      <c r="KJ291" s="47"/>
      <c r="KK291" s="47"/>
      <c r="KL291" s="47"/>
      <c r="KM291" s="47"/>
      <c r="KN291" s="47"/>
      <c r="KO291" s="47"/>
      <c r="KP291" s="47"/>
      <c r="KQ291" s="47"/>
      <c r="KR291" s="47"/>
      <c r="KS291" s="47"/>
      <c r="KT291" s="47"/>
      <c r="KU291" s="47"/>
      <c r="KV291" s="47"/>
      <c r="KW291" s="47"/>
      <c r="KX291" s="47"/>
      <c r="KY291" s="47"/>
      <c r="KZ291" s="47"/>
      <c r="LA291" s="47"/>
      <c r="LB291" s="47"/>
      <c r="LC291" s="47"/>
      <c r="LD291" s="47"/>
      <c r="LE291" s="47"/>
      <c r="LF291" s="47"/>
      <c r="LG291" s="47"/>
      <c r="LH291" s="47"/>
      <c r="LI291" s="47"/>
      <c r="LJ291" s="47"/>
      <c r="LK291" s="47"/>
      <c r="LL291" s="47"/>
      <c r="LM291" s="47"/>
      <c r="LN291" s="47"/>
      <c r="LO291" s="47"/>
      <c r="LP291" s="47"/>
      <c r="LQ291" s="47"/>
      <c r="LR291" s="47"/>
      <c r="LS291" s="47"/>
      <c r="LT291" s="47"/>
      <c r="LU291" s="47"/>
      <c r="LV291" s="47"/>
      <c r="LW291" s="47"/>
      <c r="LX291" s="47"/>
      <c r="LY291" s="47"/>
      <c r="LZ291" s="47"/>
      <c r="MA291" s="47"/>
      <c r="MB291" s="47"/>
      <c r="MC291" s="47"/>
      <c r="MD291" s="47"/>
      <c r="ME291" s="47"/>
      <c r="MF291" s="47"/>
      <c r="MG291" s="47"/>
      <c r="MH291" s="47"/>
      <c r="MI291" s="47"/>
      <c r="MJ291" s="47"/>
      <c r="MK291" s="47"/>
      <c r="ML291" s="47"/>
      <c r="MM291" s="47"/>
      <c r="MN291" s="47"/>
      <c r="MO291" s="47"/>
      <c r="MP291" s="47"/>
      <c r="MQ291" s="47"/>
      <c r="MR291" s="47"/>
      <c r="MS291" s="47"/>
      <c r="MT291" s="47"/>
      <c r="MU291" s="47"/>
      <c r="MV291" s="47"/>
      <c r="MW291" s="47"/>
      <c r="MX291" s="47"/>
      <c r="MY291" s="47"/>
      <c r="MZ291" s="47"/>
      <c r="NA291" s="47"/>
      <c r="NB291" s="47"/>
      <c r="NC291" s="47"/>
      <c r="ND291" s="47"/>
      <c r="NE291" s="47"/>
      <c r="NF291" s="47"/>
      <c r="NG291" s="47"/>
      <c r="NH291" s="47"/>
      <c r="NI291" s="47"/>
      <c r="NJ291" s="47"/>
      <c r="NK291" s="47"/>
      <c r="NL291" s="47"/>
      <c r="NM291" s="47"/>
      <c r="NN291" s="47"/>
      <c r="NO291" s="47"/>
      <c r="NP291" s="47"/>
      <c r="NQ291" s="47"/>
      <c r="NR291" s="47"/>
      <c r="NS291" s="47"/>
      <c r="NT291" s="47"/>
      <c r="NU291" s="47"/>
      <c r="NV291" s="47"/>
      <c r="NW291" s="47"/>
      <c r="NX291" s="47"/>
      <c r="NY291" s="47"/>
      <c r="NZ291" s="47"/>
      <c r="OA291" s="47"/>
      <c r="OB291" s="47"/>
      <c r="OC291" s="47"/>
      <c r="OD291" s="47"/>
      <c r="OE291" s="47"/>
      <c r="OF291" s="47"/>
      <c r="OG291" s="47"/>
      <c r="OH291" s="47"/>
      <c r="OI291" s="47"/>
      <c r="OJ291" s="47"/>
      <c r="OK291" s="47"/>
      <c r="OL291" s="47"/>
      <c r="OM291" s="47"/>
      <c r="ON291" s="47"/>
      <c r="OO291" s="47"/>
      <c r="OP291" s="47"/>
      <c r="OQ291" s="47"/>
      <c r="OR291" s="47"/>
      <c r="OS291" s="47"/>
      <c r="OT291" s="47"/>
      <c r="OU291" s="47"/>
      <c r="OV291" s="47"/>
      <c r="OW291" s="47"/>
      <c r="OX291" s="47"/>
      <c r="OY291" s="47"/>
      <c r="OZ291" s="47"/>
      <c r="PA291" s="47"/>
      <c r="PB291" s="47"/>
      <c r="PC291" s="47"/>
      <c r="PD291" s="47"/>
      <c r="PE291" s="47"/>
      <c r="PF291" s="47"/>
      <c r="PG291" s="47"/>
      <c r="PH291" s="47"/>
      <c r="PI291" s="47"/>
      <c r="PJ291" s="47"/>
      <c r="PK291" s="47"/>
      <c r="PL291" s="47"/>
      <c r="PM291" s="47"/>
      <c r="PN291" s="47"/>
      <c r="PO291" s="47"/>
      <c r="PP291" s="47"/>
      <c r="PQ291" s="47"/>
      <c r="PR291" s="47"/>
      <c r="PS291" s="47"/>
      <c r="PT291" s="47"/>
      <c r="PU291" s="47"/>
      <c r="PV291" s="47"/>
      <c r="PW291" s="47"/>
      <c r="PX291" s="47"/>
      <c r="PY291" s="47"/>
      <c r="PZ291" s="47"/>
      <c r="QA291" s="47"/>
      <c r="QB291" s="47"/>
      <c r="QC291" s="47"/>
      <c r="QD291" s="47"/>
      <c r="QE291" s="47"/>
      <c r="QF291" s="47"/>
      <c r="QG291" s="47"/>
      <c r="QH291" s="47"/>
      <c r="QI291" s="47"/>
      <c r="QJ291" s="47"/>
      <c r="QK291" s="47"/>
      <c r="QL291" s="47"/>
      <c r="QM291" s="47"/>
      <c r="QN291" s="47"/>
      <c r="QO291" s="47"/>
      <c r="QP291" s="47"/>
      <c r="QQ291" s="47"/>
      <c r="QR291" s="47"/>
      <c r="QS291" s="47"/>
      <c r="QT291" s="47"/>
      <c r="QU291" s="47"/>
      <c r="QV291" s="47"/>
      <c r="QW291" s="47"/>
      <c r="QX291" s="47"/>
      <c r="QY291" s="47"/>
      <c r="QZ291" s="47"/>
      <c r="RA291" s="47"/>
      <c r="RB291" s="47"/>
      <c r="RC291" s="47"/>
      <c r="RD291" s="47"/>
      <c r="RE291" s="47"/>
      <c r="RF291" s="47"/>
      <c r="RG291" s="47"/>
      <c r="RH291" s="47"/>
      <c r="RI291" s="47"/>
      <c r="RJ291" s="47"/>
      <c r="RK291" s="47"/>
      <c r="RL291" s="47"/>
      <c r="RM291" s="47"/>
      <c r="RN291" s="47"/>
      <c r="RO291" s="47"/>
      <c r="RP291" s="47"/>
      <c r="RQ291" s="47"/>
      <c r="RR291" s="47"/>
      <c r="RS291" s="47"/>
      <c r="RT291" s="47"/>
      <c r="RU291" s="47"/>
      <c r="RV291" s="47"/>
      <c r="RW291" s="47"/>
      <c r="RX291" s="47"/>
      <c r="RY291" s="47"/>
      <c r="RZ291" s="47"/>
      <c r="SA291" s="47"/>
      <c r="SB291" s="47"/>
      <c r="SC291" s="47"/>
      <c r="SD291" s="47"/>
      <c r="SE291" s="47"/>
      <c r="SF291" s="47"/>
      <c r="SG291" s="47"/>
      <c r="SH291" s="47"/>
      <c r="SI291" s="47"/>
      <c r="SJ291" s="47"/>
      <c r="SK291" s="47"/>
      <c r="SL291" s="47"/>
      <c r="SM291" s="47"/>
      <c r="SN291" s="47"/>
      <c r="SO291" s="47"/>
      <c r="SP291" s="47"/>
      <c r="SQ291" s="47"/>
      <c r="SR291" s="47"/>
      <c r="SS291" s="47"/>
      <c r="ST291" s="47"/>
      <c r="SU291" s="47"/>
      <c r="SV291" s="47"/>
      <c r="SW291" s="47"/>
      <c r="SX291" s="47"/>
      <c r="SY291" s="47"/>
      <c r="SZ291" s="47"/>
      <c r="TA291" s="47"/>
      <c r="TB291" s="47"/>
      <c r="TC291" s="47"/>
      <c r="TD291" s="47"/>
      <c r="TE291" s="47"/>
      <c r="TF291" s="47"/>
      <c r="TG291" s="47"/>
      <c r="TH291" s="47"/>
      <c r="TI291" s="47"/>
      <c r="TJ291" s="47"/>
      <c r="TK291" s="47"/>
      <c r="TL291" s="47"/>
      <c r="TM291" s="47"/>
      <c r="TN291" s="47"/>
      <c r="TO291" s="47"/>
      <c r="TP291" s="47"/>
      <c r="TQ291" s="47"/>
      <c r="TR291" s="47"/>
      <c r="TS291" s="47"/>
      <c r="TT291" s="47"/>
      <c r="TU291" s="47"/>
      <c r="TV291" s="47"/>
      <c r="TW291" s="47"/>
      <c r="TX291" s="47"/>
      <c r="TY291" s="47"/>
      <c r="TZ291" s="47"/>
      <c r="UA291" s="47"/>
      <c r="UB291" s="47"/>
      <c r="UC291" s="47"/>
      <c r="UD291" s="47"/>
      <c r="UE291" s="47"/>
      <c r="UF291" s="47"/>
      <c r="UG291" s="47"/>
      <c r="UH291" s="47"/>
      <c r="UI291" s="47"/>
      <c r="UJ291" s="47"/>
      <c r="UK291" s="47"/>
      <c r="UL291" s="47"/>
      <c r="UM291" s="47"/>
      <c r="UN291" s="47"/>
      <c r="UO291" s="47"/>
      <c r="UP291" s="47"/>
      <c r="UQ291" s="47"/>
      <c r="UR291" s="47"/>
      <c r="US291" s="47"/>
      <c r="UT291" s="47"/>
      <c r="UU291" s="47"/>
      <c r="UV291" s="47"/>
      <c r="UW291" s="47"/>
      <c r="UX291" s="47"/>
      <c r="UY291" s="47"/>
      <c r="UZ291" s="47"/>
      <c r="VA291" s="47"/>
      <c r="VB291" s="47"/>
      <c r="VC291" s="47"/>
      <c r="VD291" s="47"/>
      <c r="VE291" s="47"/>
      <c r="VF291" s="47"/>
    </row>
    <row r="292" spans="1:578" s="41" customFormat="1" ht="27" customHeight="1" x14ac:dyDescent="0.2">
      <c r="A292" s="39" t="s">
        <v>288</v>
      </c>
      <c r="B292" s="90" t="str">
        <f>'дод 3'!A202</f>
        <v>8340</v>
      </c>
      <c r="C292" s="90" t="str">
        <f>'дод 3'!B202</f>
        <v>0540</v>
      </c>
      <c r="D292" s="42" t="str">
        <f>'дод 3'!C202</f>
        <v>Природоохоронні заходи за рахунок цільових фондів</v>
      </c>
      <c r="E292" s="65">
        <v>0</v>
      </c>
      <c r="F292" s="65"/>
      <c r="G292" s="65"/>
      <c r="H292" s="65"/>
      <c r="I292" s="65"/>
      <c r="J292" s="65"/>
      <c r="K292" s="130"/>
      <c r="L292" s="65">
        <f t="shared" si="73"/>
        <v>40000</v>
      </c>
      <c r="M292" s="65"/>
      <c r="N292" s="65">
        <v>40000</v>
      </c>
      <c r="O292" s="65"/>
      <c r="P292" s="65"/>
      <c r="Q292" s="65"/>
      <c r="R292" s="65">
        <f t="shared" si="74"/>
        <v>0</v>
      </c>
      <c r="S292" s="65"/>
      <c r="T292" s="65"/>
      <c r="U292" s="65"/>
      <c r="V292" s="65"/>
      <c r="W292" s="65"/>
      <c r="X292" s="132">
        <f t="shared" si="91"/>
        <v>0</v>
      </c>
      <c r="Y292" s="65">
        <f t="shared" si="92"/>
        <v>0</v>
      </c>
      <c r="Z292" s="202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  <c r="JB292" s="47"/>
      <c r="JC292" s="47"/>
      <c r="JD292" s="47"/>
      <c r="JE292" s="47"/>
      <c r="JF292" s="47"/>
      <c r="JG292" s="47"/>
      <c r="JH292" s="47"/>
      <c r="JI292" s="47"/>
      <c r="JJ292" s="47"/>
      <c r="JK292" s="47"/>
      <c r="JL292" s="47"/>
      <c r="JM292" s="47"/>
      <c r="JN292" s="47"/>
      <c r="JO292" s="47"/>
      <c r="JP292" s="47"/>
      <c r="JQ292" s="47"/>
      <c r="JR292" s="47"/>
      <c r="JS292" s="47"/>
      <c r="JT292" s="47"/>
      <c r="JU292" s="47"/>
      <c r="JV292" s="47"/>
      <c r="JW292" s="47"/>
      <c r="JX292" s="47"/>
      <c r="JY292" s="47"/>
      <c r="JZ292" s="47"/>
      <c r="KA292" s="47"/>
      <c r="KB292" s="47"/>
      <c r="KC292" s="47"/>
      <c r="KD292" s="47"/>
      <c r="KE292" s="47"/>
      <c r="KF292" s="47"/>
      <c r="KG292" s="47"/>
      <c r="KH292" s="47"/>
      <c r="KI292" s="47"/>
      <c r="KJ292" s="47"/>
      <c r="KK292" s="47"/>
      <c r="KL292" s="47"/>
      <c r="KM292" s="47"/>
      <c r="KN292" s="47"/>
      <c r="KO292" s="47"/>
      <c r="KP292" s="47"/>
      <c r="KQ292" s="47"/>
      <c r="KR292" s="47"/>
      <c r="KS292" s="47"/>
      <c r="KT292" s="47"/>
      <c r="KU292" s="47"/>
      <c r="KV292" s="47"/>
      <c r="KW292" s="47"/>
      <c r="KX292" s="47"/>
      <c r="KY292" s="47"/>
      <c r="KZ292" s="47"/>
      <c r="LA292" s="47"/>
      <c r="LB292" s="47"/>
      <c r="LC292" s="47"/>
      <c r="LD292" s="47"/>
      <c r="LE292" s="47"/>
      <c r="LF292" s="47"/>
      <c r="LG292" s="47"/>
      <c r="LH292" s="47"/>
      <c r="LI292" s="47"/>
      <c r="LJ292" s="47"/>
      <c r="LK292" s="47"/>
      <c r="LL292" s="47"/>
      <c r="LM292" s="47"/>
      <c r="LN292" s="47"/>
      <c r="LO292" s="47"/>
      <c r="LP292" s="47"/>
      <c r="LQ292" s="47"/>
      <c r="LR292" s="47"/>
      <c r="LS292" s="47"/>
      <c r="LT292" s="47"/>
      <c r="LU292" s="47"/>
      <c r="LV292" s="47"/>
      <c r="LW292" s="47"/>
      <c r="LX292" s="47"/>
      <c r="LY292" s="47"/>
      <c r="LZ292" s="47"/>
      <c r="MA292" s="47"/>
      <c r="MB292" s="47"/>
      <c r="MC292" s="47"/>
      <c r="MD292" s="47"/>
      <c r="ME292" s="47"/>
      <c r="MF292" s="47"/>
      <c r="MG292" s="47"/>
      <c r="MH292" s="47"/>
      <c r="MI292" s="47"/>
      <c r="MJ292" s="47"/>
      <c r="MK292" s="47"/>
      <c r="ML292" s="47"/>
      <c r="MM292" s="47"/>
      <c r="MN292" s="47"/>
      <c r="MO292" s="47"/>
      <c r="MP292" s="47"/>
      <c r="MQ292" s="47"/>
      <c r="MR292" s="47"/>
      <c r="MS292" s="47"/>
      <c r="MT292" s="47"/>
      <c r="MU292" s="47"/>
      <c r="MV292" s="47"/>
      <c r="MW292" s="47"/>
      <c r="MX292" s="47"/>
      <c r="MY292" s="47"/>
      <c r="MZ292" s="47"/>
      <c r="NA292" s="47"/>
      <c r="NB292" s="47"/>
      <c r="NC292" s="47"/>
      <c r="ND292" s="47"/>
      <c r="NE292" s="47"/>
      <c r="NF292" s="47"/>
      <c r="NG292" s="47"/>
      <c r="NH292" s="47"/>
      <c r="NI292" s="47"/>
      <c r="NJ292" s="47"/>
      <c r="NK292" s="47"/>
      <c r="NL292" s="47"/>
      <c r="NM292" s="47"/>
      <c r="NN292" s="47"/>
      <c r="NO292" s="47"/>
      <c r="NP292" s="47"/>
      <c r="NQ292" s="47"/>
      <c r="NR292" s="47"/>
      <c r="NS292" s="47"/>
      <c r="NT292" s="47"/>
      <c r="NU292" s="47"/>
      <c r="NV292" s="47"/>
      <c r="NW292" s="47"/>
      <c r="NX292" s="47"/>
      <c r="NY292" s="47"/>
      <c r="NZ292" s="47"/>
      <c r="OA292" s="47"/>
      <c r="OB292" s="47"/>
      <c r="OC292" s="47"/>
      <c r="OD292" s="47"/>
      <c r="OE292" s="47"/>
      <c r="OF292" s="47"/>
      <c r="OG292" s="47"/>
      <c r="OH292" s="47"/>
      <c r="OI292" s="47"/>
      <c r="OJ292" s="47"/>
      <c r="OK292" s="47"/>
      <c r="OL292" s="47"/>
      <c r="OM292" s="47"/>
      <c r="ON292" s="47"/>
      <c r="OO292" s="47"/>
      <c r="OP292" s="47"/>
      <c r="OQ292" s="47"/>
      <c r="OR292" s="47"/>
      <c r="OS292" s="47"/>
      <c r="OT292" s="47"/>
      <c r="OU292" s="47"/>
      <c r="OV292" s="47"/>
      <c r="OW292" s="47"/>
      <c r="OX292" s="47"/>
      <c r="OY292" s="47"/>
      <c r="OZ292" s="47"/>
      <c r="PA292" s="47"/>
      <c r="PB292" s="47"/>
      <c r="PC292" s="47"/>
      <c r="PD292" s="47"/>
      <c r="PE292" s="47"/>
      <c r="PF292" s="47"/>
      <c r="PG292" s="47"/>
      <c r="PH292" s="47"/>
      <c r="PI292" s="47"/>
      <c r="PJ292" s="47"/>
      <c r="PK292" s="47"/>
      <c r="PL292" s="47"/>
      <c r="PM292" s="47"/>
      <c r="PN292" s="47"/>
      <c r="PO292" s="47"/>
      <c r="PP292" s="47"/>
      <c r="PQ292" s="47"/>
      <c r="PR292" s="47"/>
      <c r="PS292" s="47"/>
      <c r="PT292" s="47"/>
      <c r="PU292" s="47"/>
      <c r="PV292" s="47"/>
      <c r="PW292" s="47"/>
      <c r="PX292" s="47"/>
      <c r="PY292" s="47"/>
      <c r="PZ292" s="47"/>
      <c r="QA292" s="47"/>
      <c r="QB292" s="47"/>
      <c r="QC292" s="47"/>
      <c r="QD292" s="47"/>
      <c r="QE292" s="47"/>
      <c r="QF292" s="47"/>
      <c r="QG292" s="47"/>
      <c r="QH292" s="47"/>
      <c r="QI292" s="47"/>
      <c r="QJ292" s="47"/>
      <c r="QK292" s="47"/>
      <c r="QL292" s="47"/>
      <c r="QM292" s="47"/>
      <c r="QN292" s="47"/>
      <c r="QO292" s="47"/>
      <c r="QP292" s="47"/>
      <c r="QQ292" s="47"/>
      <c r="QR292" s="47"/>
      <c r="QS292" s="47"/>
      <c r="QT292" s="47"/>
      <c r="QU292" s="47"/>
      <c r="QV292" s="47"/>
      <c r="QW292" s="47"/>
      <c r="QX292" s="47"/>
      <c r="QY292" s="47"/>
      <c r="QZ292" s="47"/>
      <c r="RA292" s="47"/>
      <c r="RB292" s="47"/>
      <c r="RC292" s="47"/>
      <c r="RD292" s="47"/>
      <c r="RE292" s="47"/>
      <c r="RF292" s="47"/>
      <c r="RG292" s="47"/>
      <c r="RH292" s="47"/>
      <c r="RI292" s="47"/>
      <c r="RJ292" s="47"/>
      <c r="RK292" s="47"/>
      <c r="RL292" s="47"/>
      <c r="RM292" s="47"/>
      <c r="RN292" s="47"/>
      <c r="RO292" s="47"/>
      <c r="RP292" s="47"/>
      <c r="RQ292" s="47"/>
      <c r="RR292" s="47"/>
      <c r="RS292" s="47"/>
      <c r="RT292" s="47"/>
      <c r="RU292" s="47"/>
      <c r="RV292" s="47"/>
      <c r="RW292" s="47"/>
      <c r="RX292" s="47"/>
      <c r="RY292" s="47"/>
      <c r="RZ292" s="47"/>
      <c r="SA292" s="47"/>
      <c r="SB292" s="47"/>
      <c r="SC292" s="47"/>
      <c r="SD292" s="47"/>
      <c r="SE292" s="47"/>
      <c r="SF292" s="47"/>
      <c r="SG292" s="47"/>
      <c r="SH292" s="47"/>
      <c r="SI292" s="47"/>
      <c r="SJ292" s="47"/>
      <c r="SK292" s="47"/>
      <c r="SL292" s="47"/>
      <c r="SM292" s="47"/>
      <c r="SN292" s="47"/>
      <c r="SO292" s="47"/>
      <c r="SP292" s="47"/>
      <c r="SQ292" s="47"/>
      <c r="SR292" s="47"/>
      <c r="SS292" s="47"/>
      <c r="ST292" s="47"/>
      <c r="SU292" s="47"/>
      <c r="SV292" s="47"/>
      <c r="SW292" s="47"/>
      <c r="SX292" s="47"/>
      <c r="SY292" s="47"/>
      <c r="SZ292" s="47"/>
      <c r="TA292" s="47"/>
      <c r="TB292" s="47"/>
      <c r="TC292" s="47"/>
      <c r="TD292" s="47"/>
      <c r="TE292" s="47"/>
      <c r="TF292" s="47"/>
      <c r="TG292" s="47"/>
      <c r="TH292" s="47"/>
      <c r="TI292" s="47"/>
      <c r="TJ292" s="47"/>
      <c r="TK292" s="47"/>
      <c r="TL292" s="47"/>
      <c r="TM292" s="47"/>
      <c r="TN292" s="47"/>
      <c r="TO292" s="47"/>
      <c r="TP292" s="47"/>
      <c r="TQ292" s="47"/>
      <c r="TR292" s="47"/>
      <c r="TS292" s="47"/>
      <c r="TT292" s="47"/>
      <c r="TU292" s="47"/>
      <c r="TV292" s="47"/>
      <c r="TW292" s="47"/>
      <c r="TX292" s="47"/>
      <c r="TY292" s="47"/>
      <c r="TZ292" s="47"/>
      <c r="UA292" s="47"/>
      <c r="UB292" s="47"/>
      <c r="UC292" s="47"/>
      <c r="UD292" s="47"/>
      <c r="UE292" s="47"/>
      <c r="UF292" s="47"/>
      <c r="UG292" s="47"/>
      <c r="UH292" s="47"/>
      <c r="UI292" s="47"/>
      <c r="UJ292" s="47"/>
      <c r="UK292" s="47"/>
      <c r="UL292" s="47"/>
      <c r="UM292" s="47"/>
      <c r="UN292" s="47"/>
      <c r="UO292" s="47"/>
      <c r="UP292" s="47"/>
      <c r="UQ292" s="47"/>
      <c r="UR292" s="47"/>
      <c r="US292" s="47"/>
      <c r="UT292" s="47"/>
      <c r="UU292" s="47"/>
      <c r="UV292" s="47"/>
      <c r="UW292" s="47"/>
      <c r="UX292" s="47"/>
      <c r="UY292" s="47"/>
      <c r="UZ292" s="47"/>
      <c r="VA292" s="47"/>
      <c r="VB292" s="47"/>
      <c r="VC292" s="47"/>
      <c r="VD292" s="47"/>
      <c r="VE292" s="47"/>
      <c r="VF292" s="47"/>
    </row>
    <row r="293" spans="1:578" s="41" customFormat="1" ht="22.5" customHeight="1" x14ac:dyDescent="0.2">
      <c r="A293" s="39" t="s">
        <v>289</v>
      </c>
      <c r="B293" s="90" t="str">
        <f>'дод 3'!A205</f>
        <v>8600</v>
      </c>
      <c r="C293" s="90" t="str">
        <f>'дод 3'!B205</f>
        <v>0170</v>
      </c>
      <c r="D293" s="42" t="str">
        <f>'дод 3'!C205</f>
        <v>Обслуговування місцевого боргу</v>
      </c>
      <c r="E293" s="65">
        <v>186527.66</v>
      </c>
      <c r="F293" s="65"/>
      <c r="G293" s="65"/>
      <c r="H293" s="65">
        <v>32345.65</v>
      </c>
      <c r="I293" s="65"/>
      <c r="J293" s="65"/>
      <c r="K293" s="130">
        <f t="shared" si="94"/>
        <v>17.340940212298808</v>
      </c>
      <c r="L293" s="65">
        <f t="shared" si="73"/>
        <v>0</v>
      </c>
      <c r="M293" s="65"/>
      <c r="N293" s="65"/>
      <c r="O293" s="65"/>
      <c r="P293" s="65"/>
      <c r="Q293" s="65"/>
      <c r="R293" s="65">
        <f t="shared" si="74"/>
        <v>0</v>
      </c>
      <c r="S293" s="65"/>
      <c r="T293" s="65"/>
      <c r="U293" s="65"/>
      <c r="V293" s="65"/>
      <c r="W293" s="65"/>
      <c r="X293" s="132"/>
      <c r="Y293" s="65">
        <f t="shared" si="92"/>
        <v>32345.65</v>
      </c>
      <c r="Z293" s="202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  <c r="IV293" s="47"/>
      <c r="IW293" s="47"/>
      <c r="IX293" s="47"/>
      <c r="IY293" s="47"/>
      <c r="IZ293" s="47"/>
      <c r="JA293" s="47"/>
      <c r="JB293" s="47"/>
      <c r="JC293" s="47"/>
      <c r="JD293" s="47"/>
      <c r="JE293" s="47"/>
      <c r="JF293" s="47"/>
      <c r="JG293" s="47"/>
      <c r="JH293" s="47"/>
      <c r="JI293" s="47"/>
      <c r="JJ293" s="47"/>
      <c r="JK293" s="47"/>
      <c r="JL293" s="47"/>
      <c r="JM293" s="47"/>
      <c r="JN293" s="47"/>
      <c r="JO293" s="47"/>
      <c r="JP293" s="47"/>
      <c r="JQ293" s="47"/>
      <c r="JR293" s="47"/>
      <c r="JS293" s="47"/>
      <c r="JT293" s="47"/>
      <c r="JU293" s="47"/>
      <c r="JV293" s="47"/>
      <c r="JW293" s="47"/>
      <c r="JX293" s="47"/>
      <c r="JY293" s="47"/>
      <c r="JZ293" s="47"/>
      <c r="KA293" s="47"/>
      <c r="KB293" s="47"/>
      <c r="KC293" s="47"/>
      <c r="KD293" s="47"/>
      <c r="KE293" s="47"/>
      <c r="KF293" s="47"/>
      <c r="KG293" s="47"/>
      <c r="KH293" s="47"/>
      <c r="KI293" s="47"/>
      <c r="KJ293" s="47"/>
      <c r="KK293" s="47"/>
      <c r="KL293" s="47"/>
      <c r="KM293" s="47"/>
      <c r="KN293" s="47"/>
      <c r="KO293" s="47"/>
      <c r="KP293" s="47"/>
      <c r="KQ293" s="47"/>
      <c r="KR293" s="47"/>
      <c r="KS293" s="47"/>
      <c r="KT293" s="47"/>
      <c r="KU293" s="47"/>
      <c r="KV293" s="47"/>
      <c r="KW293" s="47"/>
      <c r="KX293" s="47"/>
      <c r="KY293" s="47"/>
      <c r="KZ293" s="47"/>
      <c r="LA293" s="47"/>
      <c r="LB293" s="47"/>
      <c r="LC293" s="47"/>
      <c r="LD293" s="47"/>
      <c r="LE293" s="47"/>
      <c r="LF293" s="47"/>
      <c r="LG293" s="47"/>
      <c r="LH293" s="47"/>
      <c r="LI293" s="47"/>
      <c r="LJ293" s="47"/>
      <c r="LK293" s="47"/>
      <c r="LL293" s="47"/>
      <c r="LM293" s="47"/>
      <c r="LN293" s="47"/>
      <c r="LO293" s="47"/>
      <c r="LP293" s="47"/>
      <c r="LQ293" s="47"/>
      <c r="LR293" s="47"/>
      <c r="LS293" s="47"/>
      <c r="LT293" s="47"/>
      <c r="LU293" s="47"/>
      <c r="LV293" s="47"/>
      <c r="LW293" s="47"/>
      <c r="LX293" s="47"/>
      <c r="LY293" s="47"/>
      <c r="LZ293" s="47"/>
      <c r="MA293" s="47"/>
      <c r="MB293" s="47"/>
      <c r="MC293" s="47"/>
      <c r="MD293" s="47"/>
      <c r="ME293" s="47"/>
      <c r="MF293" s="47"/>
      <c r="MG293" s="47"/>
      <c r="MH293" s="47"/>
      <c r="MI293" s="47"/>
      <c r="MJ293" s="47"/>
      <c r="MK293" s="47"/>
      <c r="ML293" s="47"/>
      <c r="MM293" s="47"/>
      <c r="MN293" s="47"/>
      <c r="MO293" s="47"/>
      <c r="MP293" s="47"/>
      <c r="MQ293" s="47"/>
      <c r="MR293" s="47"/>
      <c r="MS293" s="47"/>
      <c r="MT293" s="47"/>
      <c r="MU293" s="47"/>
      <c r="MV293" s="47"/>
      <c r="MW293" s="47"/>
      <c r="MX293" s="47"/>
      <c r="MY293" s="47"/>
      <c r="MZ293" s="47"/>
      <c r="NA293" s="47"/>
      <c r="NB293" s="47"/>
      <c r="NC293" s="47"/>
      <c r="ND293" s="47"/>
      <c r="NE293" s="47"/>
      <c r="NF293" s="47"/>
      <c r="NG293" s="47"/>
      <c r="NH293" s="47"/>
      <c r="NI293" s="47"/>
      <c r="NJ293" s="47"/>
      <c r="NK293" s="47"/>
      <c r="NL293" s="47"/>
      <c r="NM293" s="47"/>
      <c r="NN293" s="47"/>
      <c r="NO293" s="47"/>
      <c r="NP293" s="47"/>
      <c r="NQ293" s="47"/>
      <c r="NR293" s="47"/>
      <c r="NS293" s="47"/>
      <c r="NT293" s="47"/>
      <c r="NU293" s="47"/>
      <c r="NV293" s="47"/>
      <c r="NW293" s="47"/>
      <c r="NX293" s="47"/>
      <c r="NY293" s="47"/>
      <c r="NZ293" s="47"/>
      <c r="OA293" s="47"/>
      <c r="OB293" s="47"/>
      <c r="OC293" s="47"/>
      <c r="OD293" s="47"/>
      <c r="OE293" s="47"/>
      <c r="OF293" s="47"/>
      <c r="OG293" s="47"/>
      <c r="OH293" s="47"/>
      <c r="OI293" s="47"/>
      <c r="OJ293" s="47"/>
      <c r="OK293" s="47"/>
      <c r="OL293" s="47"/>
      <c r="OM293" s="47"/>
      <c r="ON293" s="47"/>
      <c r="OO293" s="47"/>
      <c r="OP293" s="47"/>
      <c r="OQ293" s="47"/>
      <c r="OR293" s="47"/>
      <c r="OS293" s="47"/>
      <c r="OT293" s="47"/>
      <c r="OU293" s="47"/>
      <c r="OV293" s="47"/>
      <c r="OW293" s="47"/>
      <c r="OX293" s="47"/>
      <c r="OY293" s="47"/>
      <c r="OZ293" s="47"/>
      <c r="PA293" s="47"/>
      <c r="PB293" s="47"/>
      <c r="PC293" s="47"/>
      <c r="PD293" s="47"/>
      <c r="PE293" s="47"/>
      <c r="PF293" s="47"/>
      <c r="PG293" s="47"/>
      <c r="PH293" s="47"/>
      <c r="PI293" s="47"/>
      <c r="PJ293" s="47"/>
      <c r="PK293" s="47"/>
      <c r="PL293" s="47"/>
      <c r="PM293" s="47"/>
      <c r="PN293" s="47"/>
      <c r="PO293" s="47"/>
      <c r="PP293" s="47"/>
      <c r="PQ293" s="47"/>
      <c r="PR293" s="47"/>
      <c r="PS293" s="47"/>
      <c r="PT293" s="47"/>
      <c r="PU293" s="47"/>
      <c r="PV293" s="47"/>
      <c r="PW293" s="47"/>
      <c r="PX293" s="47"/>
      <c r="PY293" s="47"/>
      <c r="PZ293" s="47"/>
      <c r="QA293" s="47"/>
      <c r="QB293" s="47"/>
      <c r="QC293" s="47"/>
      <c r="QD293" s="47"/>
      <c r="QE293" s="47"/>
      <c r="QF293" s="47"/>
      <c r="QG293" s="47"/>
      <c r="QH293" s="47"/>
      <c r="QI293" s="47"/>
      <c r="QJ293" s="47"/>
      <c r="QK293" s="47"/>
      <c r="QL293" s="47"/>
      <c r="QM293" s="47"/>
      <c r="QN293" s="47"/>
      <c r="QO293" s="47"/>
      <c r="QP293" s="47"/>
      <c r="QQ293" s="47"/>
      <c r="QR293" s="47"/>
      <c r="QS293" s="47"/>
      <c r="QT293" s="47"/>
      <c r="QU293" s="47"/>
      <c r="QV293" s="47"/>
      <c r="QW293" s="47"/>
      <c r="QX293" s="47"/>
      <c r="QY293" s="47"/>
      <c r="QZ293" s="47"/>
      <c r="RA293" s="47"/>
      <c r="RB293" s="47"/>
      <c r="RC293" s="47"/>
      <c r="RD293" s="47"/>
      <c r="RE293" s="47"/>
      <c r="RF293" s="47"/>
      <c r="RG293" s="47"/>
      <c r="RH293" s="47"/>
      <c r="RI293" s="47"/>
      <c r="RJ293" s="47"/>
      <c r="RK293" s="47"/>
      <c r="RL293" s="47"/>
      <c r="RM293" s="47"/>
      <c r="RN293" s="47"/>
      <c r="RO293" s="47"/>
      <c r="RP293" s="47"/>
      <c r="RQ293" s="47"/>
      <c r="RR293" s="47"/>
      <c r="RS293" s="47"/>
      <c r="RT293" s="47"/>
      <c r="RU293" s="47"/>
      <c r="RV293" s="47"/>
      <c r="RW293" s="47"/>
      <c r="RX293" s="47"/>
      <c r="RY293" s="47"/>
      <c r="RZ293" s="47"/>
      <c r="SA293" s="47"/>
      <c r="SB293" s="47"/>
      <c r="SC293" s="47"/>
      <c r="SD293" s="47"/>
      <c r="SE293" s="47"/>
      <c r="SF293" s="47"/>
      <c r="SG293" s="47"/>
      <c r="SH293" s="47"/>
      <c r="SI293" s="47"/>
      <c r="SJ293" s="47"/>
      <c r="SK293" s="47"/>
      <c r="SL293" s="47"/>
      <c r="SM293" s="47"/>
      <c r="SN293" s="47"/>
      <c r="SO293" s="47"/>
      <c r="SP293" s="47"/>
      <c r="SQ293" s="47"/>
      <c r="SR293" s="47"/>
      <c r="SS293" s="47"/>
      <c r="ST293" s="47"/>
      <c r="SU293" s="47"/>
      <c r="SV293" s="47"/>
      <c r="SW293" s="47"/>
      <c r="SX293" s="47"/>
      <c r="SY293" s="47"/>
      <c r="SZ293" s="47"/>
      <c r="TA293" s="47"/>
      <c r="TB293" s="47"/>
      <c r="TC293" s="47"/>
      <c r="TD293" s="47"/>
      <c r="TE293" s="47"/>
      <c r="TF293" s="47"/>
      <c r="TG293" s="47"/>
      <c r="TH293" s="47"/>
      <c r="TI293" s="47"/>
      <c r="TJ293" s="47"/>
      <c r="TK293" s="47"/>
      <c r="TL293" s="47"/>
      <c r="TM293" s="47"/>
      <c r="TN293" s="47"/>
      <c r="TO293" s="47"/>
      <c r="TP293" s="47"/>
      <c r="TQ293" s="47"/>
      <c r="TR293" s="47"/>
      <c r="TS293" s="47"/>
      <c r="TT293" s="47"/>
      <c r="TU293" s="47"/>
      <c r="TV293" s="47"/>
      <c r="TW293" s="47"/>
      <c r="TX293" s="47"/>
      <c r="TY293" s="47"/>
      <c r="TZ293" s="47"/>
      <c r="UA293" s="47"/>
      <c r="UB293" s="47"/>
      <c r="UC293" s="47"/>
      <c r="UD293" s="47"/>
      <c r="UE293" s="47"/>
      <c r="UF293" s="47"/>
      <c r="UG293" s="47"/>
      <c r="UH293" s="47"/>
      <c r="UI293" s="47"/>
      <c r="UJ293" s="47"/>
      <c r="UK293" s="47"/>
      <c r="UL293" s="47"/>
      <c r="UM293" s="47"/>
      <c r="UN293" s="47"/>
      <c r="UO293" s="47"/>
      <c r="UP293" s="47"/>
      <c r="UQ293" s="47"/>
      <c r="UR293" s="47"/>
      <c r="US293" s="47"/>
      <c r="UT293" s="47"/>
      <c r="UU293" s="47"/>
      <c r="UV293" s="47"/>
      <c r="UW293" s="47"/>
      <c r="UX293" s="47"/>
      <c r="UY293" s="47"/>
      <c r="UZ293" s="47"/>
      <c r="VA293" s="47"/>
      <c r="VB293" s="47"/>
      <c r="VC293" s="47"/>
      <c r="VD293" s="47"/>
      <c r="VE293" s="47"/>
      <c r="VF293" s="47"/>
    </row>
    <row r="294" spans="1:578" s="41" customFormat="1" ht="21" customHeight="1" x14ac:dyDescent="0.2">
      <c r="A294" s="39" t="s">
        <v>304</v>
      </c>
      <c r="B294" s="90" t="str">
        <f>'дод 3'!A206</f>
        <v>8700</v>
      </c>
      <c r="C294" s="90" t="str">
        <f>'дод 3'!B206</f>
        <v>0133</v>
      </c>
      <c r="D294" s="42" t="str">
        <f>'дод 3'!C206</f>
        <v>Резервний фонд</v>
      </c>
      <c r="E294" s="65">
        <v>6865869</v>
      </c>
      <c r="F294" s="65"/>
      <c r="G294" s="65"/>
      <c r="H294" s="65"/>
      <c r="I294" s="65"/>
      <c r="J294" s="65"/>
      <c r="K294" s="130">
        <f t="shared" si="94"/>
        <v>0</v>
      </c>
      <c r="L294" s="65">
        <f t="shared" si="73"/>
        <v>0</v>
      </c>
      <c r="M294" s="65"/>
      <c r="N294" s="65"/>
      <c r="O294" s="65"/>
      <c r="P294" s="65"/>
      <c r="Q294" s="65"/>
      <c r="R294" s="65">
        <f t="shared" si="74"/>
        <v>0</v>
      </c>
      <c r="S294" s="65"/>
      <c r="T294" s="65"/>
      <c r="U294" s="65"/>
      <c r="V294" s="65"/>
      <c r="W294" s="65"/>
      <c r="X294" s="132"/>
      <c r="Y294" s="65">
        <f t="shared" si="92"/>
        <v>0</v>
      </c>
      <c r="Z294" s="202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  <c r="IV294" s="47"/>
      <c r="IW294" s="47"/>
      <c r="IX294" s="47"/>
      <c r="IY294" s="47"/>
      <c r="IZ294" s="47"/>
      <c r="JA294" s="47"/>
      <c r="JB294" s="47"/>
      <c r="JC294" s="47"/>
      <c r="JD294" s="47"/>
      <c r="JE294" s="47"/>
      <c r="JF294" s="47"/>
      <c r="JG294" s="47"/>
      <c r="JH294" s="47"/>
      <c r="JI294" s="47"/>
      <c r="JJ294" s="47"/>
      <c r="JK294" s="47"/>
      <c r="JL294" s="47"/>
      <c r="JM294" s="47"/>
      <c r="JN294" s="47"/>
      <c r="JO294" s="47"/>
      <c r="JP294" s="47"/>
      <c r="JQ294" s="47"/>
      <c r="JR294" s="47"/>
      <c r="JS294" s="47"/>
      <c r="JT294" s="47"/>
      <c r="JU294" s="47"/>
      <c r="JV294" s="47"/>
      <c r="JW294" s="47"/>
      <c r="JX294" s="47"/>
      <c r="JY294" s="47"/>
      <c r="JZ294" s="47"/>
      <c r="KA294" s="47"/>
      <c r="KB294" s="47"/>
      <c r="KC294" s="47"/>
      <c r="KD294" s="47"/>
      <c r="KE294" s="47"/>
      <c r="KF294" s="47"/>
      <c r="KG294" s="47"/>
      <c r="KH294" s="47"/>
      <c r="KI294" s="47"/>
      <c r="KJ294" s="47"/>
      <c r="KK294" s="47"/>
      <c r="KL294" s="47"/>
      <c r="KM294" s="47"/>
      <c r="KN294" s="47"/>
      <c r="KO294" s="47"/>
      <c r="KP294" s="47"/>
      <c r="KQ294" s="47"/>
      <c r="KR294" s="47"/>
      <c r="KS294" s="47"/>
      <c r="KT294" s="47"/>
      <c r="KU294" s="47"/>
      <c r="KV294" s="47"/>
      <c r="KW294" s="47"/>
      <c r="KX294" s="47"/>
      <c r="KY294" s="47"/>
      <c r="KZ294" s="47"/>
      <c r="LA294" s="47"/>
      <c r="LB294" s="47"/>
      <c r="LC294" s="47"/>
      <c r="LD294" s="47"/>
      <c r="LE294" s="47"/>
      <c r="LF294" s="47"/>
      <c r="LG294" s="47"/>
      <c r="LH294" s="47"/>
      <c r="LI294" s="47"/>
      <c r="LJ294" s="47"/>
      <c r="LK294" s="47"/>
      <c r="LL294" s="47"/>
      <c r="LM294" s="47"/>
      <c r="LN294" s="47"/>
      <c r="LO294" s="47"/>
      <c r="LP294" s="47"/>
      <c r="LQ294" s="47"/>
      <c r="LR294" s="47"/>
      <c r="LS294" s="47"/>
      <c r="LT294" s="47"/>
      <c r="LU294" s="47"/>
      <c r="LV294" s="47"/>
      <c r="LW294" s="47"/>
      <c r="LX294" s="47"/>
      <c r="LY294" s="47"/>
      <c r="LZ294" s="47"/>
      <c r="MA294" s="47"/>
      <c r="MB294" s="47"/>
      <c r="MC294" s="47"/>
      <c r="MD294" s="47"/>
      <c r="ME294" s="47"/>
      <c r="MF294" s="47"/>
      <c r="MG294" s="47"/>
      <c r="MH294" s="47"/>
      <c r="MI294" s="47"/>
      <c r="MJ294" s="47"/>
      <c r="MK294" s="47"/>
      <c r="ML294" s="47"/>
      <c r="MM294" s="47"/>
      <c r="MN294" s="47"/>
      <c r="MO294" s="47"/>
      <c r="MP294" s="47"/>
      <c r="MQ294" s="47"/>
      <c r="MR294" s="47"/>
      <c r="MS294" s="47"/>
      <c r="MT294" s="47"/>
      <c r="MU294" s="47"/>
      <c r="MV294" s="47"/>
      <c r="MW294" s="47"/>
      <c r="MX294" s="47"/>
      <c r="MY294" s="47"/>
      <c r="MZ294" s="47"/>
      <c r="NA294" s="47"/>
      <c r="NB294" s="47"/>
      <c r="NC294" s="47"/>
      <c r="ND294" s="47"/>
      <c r="NE294" s="47"/>
      <c r="NF294" s="47"/>
      <c r="NG294" s="47"/>
      <c r="NH294" s="47"/>
      <c r="NI294" s="47"/>
      <c r="NJ294" s="47"/>
      <c r="NK294" s="47"/>
      <c r="NL294" s="47"/>
      <c r="NM294" s="47"/>
      <c r="NN294" s="47"/>
      <c r="NO294" s="47"/>
      <c r="NP294" s="47"/>
      <c r="NQ294" s="47"/>
      <c r="NR294" s="47"/>
      <c r="NS294" s="47"/>
      <c r="NT294" s="47"/>
      <c r="NU294" s="47"/>
      <c r="NV294" s="47"/>
      <c r="NW294" s="47"/>
      <c r="NX294" s="47"/>
      <c r="NY294" s="47"/>
      <c r="NZ294" s="47"/>
      <c r="OA294" s="47"/>
      <c r="OB294" s="47"/>
      <c r="OC294" s="47"/>
      <c r="OD294" s="47"/>
      <c r="OE294" s="47"/>
      <c r="OF294" s="47"/>
      <c r="OG294" s="47"/>
      <c r="OH294" s="47"/>
      <c r="OI294" s="47"/>
      <c r="OJ294" s="47"/>
      <c r="OK294" s="47"/>
      <c r="OL294" s="47"/>
      <c r="OM294" s="47"/>
      <c r="ON294" s="47"/>
      <c r="OO294" s="47"/>
      <c r="OP294" s="47"/>
      <c r="OQ294" s="47"/>
      <c r="OR294" s="47"/>
      <c r="OS294" s="47"/>
      <c r="OT294" s="47"/>
      <c r="OU294" s="47"/>
      <c r="OV294" s="47"/>
      <c r="OW294" s="47"/>
      <c r="OX294" s="47"/>
      <c r="OY294" s="47"/>
      <c r="OZ294" s="47"/>
      <c r="PA294" s="47"/>
      <c r="PB294" s="47"/>
      <c r="PC294" s="47"/>
      <c r="PD294" s="47"/>
      <c r="PE294" s="47"/>
      <c r="PF294" s="47"/>
      <c r="PG294" s="47"/>
      <c r="PH294" s="47"/>
      <c r="PI294" s="47"/>
      <c r="PJ294" s="47"/>
      <c r="PK294" s="47"/>
      <c r="PL294" s="47"/>
      <c r="PM294" s="47"/>
      <c r="PN294" s="47"/>
      <c r="PO294" s="47"/>
      <c r="PP294" s="47"/>
      <c r="PQ294" s="47"/>
      <c r="PR294" s="47"/>
      <c r="PS294" s="47"/>
      <c r="PT294" s="47"/>
      <c r="PU294" s="47"/>
      <c r="PV294" s="47"/>
      <c r="PW294" s="47"/>
      <c r="PX294" s="47"/>
      <c r="PY294" s="47"/>
      <c r="PZ294" s="47"/>
      <c r="QA294" s="47"/>
      <c r="QB294" s="47"/>
      <c r="QC294" s="47"/>
      <c r="QD294" s="47"/>
      <c r="QE294" s="47"/>
      <c r="QF294" s="47"/>
      <c r="QG294" s="47"/>
      <c r="QH294" s="47"/>
      <c r="QI294" s="47"/>
      <c r="QJ294" s="47"/>
      <c r="QK294" s="47"/>
      <c r="QL294" s="47"/>
      <c r="QM294" s="47"/>
      <c r="QN294" s="47"/>
      <c r="QO294" s="47"/>
      <c r="QP294" s="47"/>
      <c r="QQ294" s="47"/>
      <c r="QR294" s="47"/>
      <c r="QS294" s="47"/>
      <c r="QT294" s="47"/>
      <c r="QU294" s="47"/>
      <c r="QV294" s="47"/>
      <c r="QW294" s="47"/>
      <c r="QX294" s="47"/>
      <c r="QY294" s="47"/>
      <c r="QZ294" s="47"/>
      <c r="RA294" s="47"/>
      <c r="RB294" s="47"/>
      <c r="RC294" s="47"/>
      <c r="RD294" s="47"/>
      <c r="RE294" s="47"/>
      <c r="RF294" s="47"/>
      <c r="RG294" s="47"/>
      <c r="RH294" s="47"/>
      <c r="RI294" s="47"/>
      <c r="RJ294" s="47"/>
      <c r="RK294" s="47"/>
      <c r="RL294" s="47"/>
      <c r="RM294" s="47"/>
      <c r="RN294" s="47"/>
      <c r="RO294" s="47"/>
      <c r="RP294" s="47"/>
      <c r="RQ294" s="47"/>
      <c r="RR294" s="47"/>
      <c r="RS294" s="47"/>
      <c r="RT294" s="47"/>
      <c r="RU294" s="47"/>
      <c r="RV294" s="47"/>
      <c r="RW294" s="47"/>
      <c r="RX294" s="47"/>
      <c r="RY294" s="47"/>
      <c r="RZ294" s="47"/>
      <c r="SA294" s="47"/>
      <c r="SB294" s="47"/>
      <c r="SC294" s="47"/>
      <c r="SD294" s="47"/>
      <c r="SE294" s="47"/>
      <c r="SF294" s="47"/>
      <c r="SG294" s="47"/>
      <c r="SH294" s="47"/>
      <c r="SI294" s="47"/>
      <c r="SJ294" s="47"/>
      <c r="SK294" s="47"/>
      <c r="SL294" s="47"/>
      <c r="SM294" s="47"/>
      <c r="SN294" s="47"/>
      <c r="SO294" s="47"/>
      <c r="SP294" s="47"/>
      <c r="SQ294" s="47"/>
      <c r="SR294" s="47"/>
      <c r="SS294" s="47"/>
      <c r="ST294" s="47"/>
      <c r="SU294" s="47"/>
      <c r="SV294" s="47"/>
      <c r="SW294" s="47"/>
      <c r="SX294" s="47"/>
      <c r="SY294" s="47"/>
      <c r="SZ294" s="47"/>
      <c r="TA294" s="47"/>
      <c r="TB294" s="47"/>
      <c r="TC294" s="47"/>
      <c r="TD294" s="47"/>
      <c r="TE294" s="47"/>
      <c r="TF294" s="47"/>
      <c r="TG294" s="47"/>
      <c r="TH294" s="47"/>
      <c r="TI294" s="47"/>
      <c r="TJ294" s="47"/>
      <c r="TK294" s="47"/>
      <c r="TL294" s="47"/>
      <c r="TM294" s="47"/>
      <c r="TN294" s="47"/>
      <c r="TO294" s="47"/>
      <c r="TP294" s="47"/>
      <c r="TQ294" s="47"/>
      <c r="TR294" s="47"/>
      <c r="TS294" s="47"/>
      <c r="TT294" s="47"/>
      <c r="TU294" s="47"/>
      <c r="TV294" s="47"/>
      <c r="TW294" s="47"/>
      <c r="TX294" s="47"/>
      <c r="TY294" s="47"/>
      <c r="TZ294" s="47"/>
      <c r="UA294" s="47"/>
      <c r="UB294" s="47"/>
      <c r="UC294" s="47"/>
      <c r="UD294" s="47"/>
      <c r="UE294" s="47"/>
      <c r="UF294" s="47"/>
      <c r="UG294" s="47"/>
      <c r="UH294" s="47"/>
      <c r="UI294" s="47"/>
      <c r="UJ294" s="47"/>
      <c r="UK294" s="47"/>
      <c r="UL294" s="47"/>
      <c r="UM294" s="47"/>
      <c r="UN294" s="47"/>
      <c r="UO294" s="47"/>
      <c r="UP294" s="47"/>
      <c r="UQ294" s="47"/>
      <c r="UR294" s="47"/>
      <c r="US294" s="47"/>
      <c r="UT294" s="47"/>
      <c r="UU294" s="47"/>
      <c r="UV294" s="47"/>
      <c r="UW294" s="47"/>
      <c r="UX294" s="47"/>
      <c r="UY294" s="47"/>
      <c r="UZ294" s="47"/>
      <c r="VA294" s="47"/>
      <c r="VB294" s="47"/>
      <c r="VC294" s="47"/>
      <c r="VD294" s="47"/>
      <c r="VE294" s="47"/>
      <c r="VF294" s="47"/>
    </row>
    <row r="295" spans="1:578" s="41" customFormat="1" ht="21.75" customHeight="1" x14ac:dyDescent="0.2">
      <c r="A295" s="39" t="s">
        <v>305</v>
      </c>
      <c r="B295" s="90" t="str">
        <f>'дод 3'!A210</f>
        <v>9110</v>
      </c>
      <c r="C295" s="90" t="str">
        <f>'дод 3'!B210</f>
        <v>0180</v>
      </c>
      <c r="D295" s="42" t="str">
        <f>'дод 3'!C210</f>
        <v>Реверсна дотація</v>
      </c>
      <c r="E295" s="65">
        <v>111090200</v>
      </c>
      <c r="F295" s="65"/>
      <c r="G295" s="65"/>
      <c r="H295" s="65">
        <v>27772500</v>
      </c>
      <c r="I295" s="65"/>
      <c r="J295" s="65"/>
      <c r="K295" s="130">
        <f t="shared" si="94"/>
        <v>24.999954991529407</v>
      </c>
      <c r="L295" s="65">
        <f>N295+Q295</f>
        <v>0</v>
      </c>
      <c r="M295" s="65"/>
      <c r="N295" s="65"/>
      <c r="O295" s="65"/>
      <c r="P295" s="65"/>
      <c r="Q295" s="65"/>
      <c r="R295" s="65">
        <f>T295+W295</f>
        <v>0</v>
      </c>
      <c r="S295" s="65"/>
      <c r="T295" s="65"/>
      <c r="U295" s="65"/>
      <c r="V295" s="65"/>
      <c r="W295" s="65"/>
      <c r="X295" s="132"/>
      <c r="Y295" s="65">
        <f t="shared" si="92"/>
        <v>27772500</v>
      </c>
      <c r="Z295" s="202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  <c r="IV295" s="47"/>
      <c r="IW295" s="47"/>
      <c r="IX295" s="47"/>
      <c r="IY295" s="47"/>
      <c r="IZ295" s="47"/>
      <c r="JA295" s="47"/>
      <c r="JB295" s="47"/>
      <c r="JC295" s="47"/>
      <c r="JD295" s="47"/>
      <c r="JE295" s="47"/>
      <c r="JF295" s="47"/>
      <c r="JG295" s="47"/>
      <c r="JH295" s="47"/>
      <c r="JI295" s="47"/>
      <c r="JJ295" s="47"/>
      <c r="JK295" s="47"/>
      <c r="JL295" s="47"/>
      <c r="JM295" s="47"/>
      <c r="JN295" s="47"/>
      <c r="JO295" s="47"/>
      <c r="JP295" s="47"/>
      <c r="JQ295" s="47"/>
      <c r="JR295" s="47"/>
      <c r="JS295" s="47"/>
      <c r="JT295" s="47"/>
      <c r="JU295" s="47"/>
      <c r="JV295" s="47"/>
      <c r="JW295" s="47"/>
      <c r="JX295" s="47"/>
      <c r="JY295" s="47"/>
      <c r="JZ295" s="47"/>
      <c r="KA295" s="47"/>
      <c r="KB295" s="47"/>
      <c r="KC295" s="47"/>
      <c r="KD295" s="47"/>
      <c r="KE295" s="47"/>
      <c r="KF295" s="47"/>
      <c r="KG295" s="47"/>
      <c r="KH295" s="47"/>
      <c r="KI295" s="47"/>
      <c r="KJ295" s="47"/>
      <c r="KK295" s="47"/>
      <c r="KL295" s="47"/>
      <c r="KM295" s="47"/>
      <c r="KN295" s="47"/>
      <c r="KO295" s="47"/>
      <c r="KP295" s="47"/>
      <c r="KQ295" s="47"/>
      <c r="KR295" s="47"/>
      <c r="KS295" s="47"/>
      <c r="KT295" s="47"/>
      <c r="KU295" s="47"/>
      <c r="KV295" s="47"/>
      <c r="KW295" s="47"/>
      <c r="KX295" s="47"/>
      <c r="KY295" s="47"/>
      <c r="KZ295" s="47"/>
      <c r="LA295" s="47"/>
      <c r="LB295" s="47"/>
      <c r="LC295" s="47"/>
      <c r="LD295" s="47"/>
      <c r="LE295" s="47"/>
      <c r="LF295" s="47"/>
      <c r="LG295" s="47"/>
      <c r="LH295" s="47"/>
      <c r="LI295" s="47"/>
      <c r="LJ295" s="47"/>
      <c r="LK295" s="47"/>
      <c r="LL295" s="47"/>
      <c r="LM295" s="47"/>
      <c r="LN295" s="47"/>
      <c r="LO295" s="47"/>
      <c r="LP295" s="47"/>
      <c r="LQ295" s="47"/>
      <c r="LR295" s="47"/>
      <c r="LS295" s="47"/>
      <c r="LT295" s="47"/>
      <c r="LU295" s="47"/>
      <c r="LV295" s="47"/>
      <c r="LW295" s="47"/>
      <c r="LX295" s="47"/>
      <c r="LY295" s="47"/>
      <c r="LZ295" s="47"/>
      <c r="MA295" s="47"/>
      <c r="MB295" s="47"/>
      <c r="MC295" s="47"/>
      <c r="MD295" s="47"/>
      <c r="ME295" s="47"/>
      <c r="MF295" s="47"/>
      <c r="MG295" s="47"/>
      <c r="MH295" s="47"/>
      <c r="MI295" s="47"/>
      <c r="MJ295" s="47"/>
      <c r="MK295" s="47"/>
      <c r="ML295" s="47"/>
      <c r="MM295" s="47"/>
      <c r="MN295" s="47"/>
      <c r="MO295" s="47"/>
      <c r="MP295" s="47"/>
      <c r="MQ295" s="47"/>
      <c r="MR295" s="47"/>
      <c r="MS295" s="47"/>
      <c r="MT295" s="47"/>
      <c r="MU295" s="47"/>
      <c r="MV295" s="47"/>
      <c r="MW295" s="47"/>
      <c r="MX295" s="47"/>
      <c r="MY295" s="47"/>
      <c r="MZ295" s="47"/>
      <c r="NA295" s="47"/>
      <c r="NB295" s="47"/>
      <c r="NC295" s="47"/>
      <c r="ND295" s="47"/>
      <c r="NE295" s="47"/>
      <c r="NF295" s="47"/>
      <c r="NG295" s="47"/>
      <c r="NH295" s="47"/>
      <c r="NI295" s="47"/>
      <c r="NJ295" s="47"/>
      <c r="NK295" s="47"/>
      <c r="NL295" s="47"/>
      <c r="NM295" s="47"/>
      <c r="NN295" s="47"/>
      <c r="NO295" s="47"/>
      <c r="NP295" s="47"/>
      <c r="NQ295" s="47"/>
      <c r="NR295" s="47"/>
      <c r="NS295" s="47"/>
      <c r="NT295" s="47"/>
      <c r="NU295" s="47"/>
      <c r="NV295" s="47"/>
      <c r="NW295" s="47"/>
      <c r="NX295" s="47"/>
      <c r="NY295" s="47"/>
      <c r="NZ295" s="47"/>
      <c r="OA295" s="47"/>
      <c r="OB295" s="47"/>
      <c r="OC295" s="47"/>
      <c r="OD295" s="47"/>
      <c r="OE295" s="47"/>
      <c r="OF295" s="47"/>
      <c r="OG295" s="47"/>
      <c r="OH295" s="47"/>
      <c r="OI295" s="47"/>
      <c r="OJ295" s="47"/>
      <c r="OK295" s="47"/>
      <c r="OL295" s="47"/>
      <c r="OM295" s="47"/>
      <c r="ON295" s="47"/>
      <c r="OO295" s="47"/>
      <c r="OP295" s="47"/>
      <c r="OQ295" s="47"/>
      <c r="OR295" s="47"/>
      <c r="OS295" s="47"/>
      <c r="OT295" s="47"/>
      <c r="OU295" s="47"/>
      <c r="OV295" s="47"/>
      <c r="OW295" s="47"/>
      <c r="OX295" s="47"/>
      <c r="OY295" s="47"/>
      <c r="OZ295" s="47"/>
      <c r="PA295" s="47"/>
      <c r="PB295" s="47"/>
      <c r="PC295" s="47"/>
      <c r="PD295" s="47"/>
      <c r="PE295" s="47"/>
      <c r="PF295" s="47"/>
      <c r="PG295" s="47"/>
      <c r="PH295" s="47"/>
      <c r="PI295" s="47"/>
      <c r="PJ295" s="47"/>
      <c r="PK295" s="47"/>
      <c r="PL295" s="47"/>
      <c r="PM295" s="47"/>
      <c r="PN295" s="47"/>
      <c r="PO295" s="47"/>
      <c r="PP295" s="47"/>
      <c r="PQ295" s="47"/>
      <c r="PR295" s="47"/>
      <c r="PS295" s="47"/>
      <c r="PT295" s="47"/>
      <c r="PU295" s="47"/>
      <c r="PV295" s="47"/>
      <c r="PW295" s="47"/>
      <c r="PX295" s="47"/>
      <c r="PY295" s="47"/>
      <c r="PZ295" s="47"/>
      <c r="QA295" s="47"/>
      <c r="QB295" s="47"/>
      <c r="QC295" s="47"/>
      <c r="QD295" s="47"/>
      <c r="QE295" s="47"/>
      <c r="QF295" s="47"/>
      <c r="QG295" s="47"/>
      <c r="QH295" s="47"/>
      <c r="QI295" s="47"/>
      <c r="QJ295" s="47"/>
      <c r="QK295" s="47"/>
      <c r="QL295" s="47"/>
      <c r="QM295" s="47"/>
      <c r="QN295" s="47"/>
      <c r="QO295" s="47"/>
      <c r="QP295" s="47"/>
      <c r="QQ295" s="47"/>
      <c r="QR295" s="47"/>
      <c r="QS295" s="47"/>
      <c r="QT295" s="47"/>
      <c r="QU295" s="47"/>
      <c r="QV295" s="47"/>
      <c r="QW295" s="47"/>
      <c r="QX295" s="47"/>
      <c r="QY295" s="47"/>
      <c r="QZ295" s="47"/>
      <c r="RA295" s="47"/>
      <c r="RB295" s="47"/>
      <c r="RC295" s="47"/>
      <c r="RD295" s="47"/>
      <c r="RE295" s="47"/>
      <c r="RF295" s="47"/>
      <c r="RG295" s="47"/>
      <c r="RH295" s="47"/>
      <c r="RI295" s="47"/>
      <c r="RJ295" s="47"/>
      <c r="RK295" s="47"/>
      <c r="RL295" s="47"/>
      <c r="RM295" s="47"/>
      <c r="RN295" s="47"/>
      <c r="RO295" s="47"/>
      <c r="RP295" s="47"/>
      <c r="RQ295" s="47"/>
      <c r="RR295" s="47"/>
      <c r="RS295" s="47"/>
      <c r="RT295" s="47"/>
      <c r="RU295" s="47"/>
      <c r="RV295" s="47"/>
      <c r="RW295" s="47"/>
      <c r="RX295" s="47"/>
      <c r="RY295" s="47"/>
      <c r="RZ295" s="47"/>
      <c r="SA295" s="47"/>
      <c r="SB295" s="47"/>
      <c r="SC295" s="47"/>
      <c r="SD295" s="47"/>
      <c r="SE295" s="47"/>
      <c r="SF295" s="47"/>
      <c r="SG295" s="47"/>
      <c r="SH295" s="47"/>
      <c r="SI295" s="47"/>
      <c r="SJ295" s="47"/>
      <c r="SK295" s="47"/>
      <c r="SL295" s="47"/>
      <c r="SM295" s="47"/>
      <c r="SN295" s="47"/>
      <c r="SO295" s="47"/>
      <c r="SP295" s="47"/>
      <c r="SQ295" s="47"/>
      <c r="SR295" s="47"/>
      <c r="SS295" s="47"/>
      <c r="ST295" s="47"/>
      <c r="SU295" s="47"/>
      <c r="SV295" s="47"/>
      <c r="SW295" s="47"/>
      <c r="SX295" s="47"/>
      <c r="SY295" s="47"/>
      <c r="SZ295" s="47"/>
      <c r="TA295" s="47"/>
      <c r="TB295" s="47"/>
      <c r="TC295" s="47"/>
      <c r="TD295" s="47"/>
      <c r="TE295" s="47"/>
      <c r="TF295" s="47"/>
      <c r="TG295" s="47"/>
      <c r="TH295" s="47"/>
      <c r="TI295" s="47"/>
      <c r="TJ295" s="47"/>
      <c r="TK295" s="47"/>
      <c r="TL295" s="47"/>
      <c r="TM295" s="47"/>
      <c r="TN295" s="47"/>
      <c r="TO295" s="47"/>
      <c r="TP295" s="47"/>
      <c r="TQ295" s="47"/>
      <c r="TR295" s="47"/>
      <c r="TS295" s="47"/>
      <c r="TT295" s="47"/>
      <c r="TU295" s="47"/>
      <c r="TV295" s="47"/>
      <c r="TW295" s="47"/>
      <c r="TX295" s="47"/>
      <c r="TY295" s="47"/>
      <c r="TZ295" s="47"/>
      <c r="UA295" s="47"/>
      <c r="UB295" s="47"/>
      <c r="UC295" s="47"/>
      <c r="UD295" s="47"/>
      <c r="UE295" s="47"/>
      <c r="UF295" s="47"/>
      <c r="UG295" s="47"/>
      <c r="UH295" s="47"/>
      <c r="UI295" s="47"/>
      <c r="UJ295" s="47"/>
      <c r="UK295" s="47"/>
      <c r="UL295" s="47"/>
      <c r="UM295" s="47"/>
      <c r="UN295" s="47"/>
      <c r="UO295" s="47"/>
      <c r="UP295" s="47"/>
      <c r="UQ295" s="47"/>
      <c r="UR295" s="47"/>
      <c r="US295" s="47"/>
      <c r="UT295" s="47"/>
      <c r="UU295" s="47"/>
      <c r="UV295" s="47"/>
      <c r="UW295" s="47"/>
      <c r="UX295" s="47"/>
      <c r="UY295" s="47"/>
      <c r="UZ295" s="47"/>
      <c r="VA295" s="47"/>
      <c r="VB295" s="47"/>
      <c r="VC295" s="47"/>
      <c r="VD295" s="47"/>
      <c r="VE295" s="47"/>
      <c r="VF295" s="47"/>
    </row>
    <row r="296" spans="1:578" s="41" customFormat="1" ht="80.25" hidden="1" customHeight="1" x14ac:dyDescent="0.2">
      <c r="A296" s="39" t="s">
        <v>532</v>
      </c>
      <c r="B296" s="90" t="s">
        <v>534</v>
      </c>
      <c r="C296" s="90" t="s">
        <v>69</v>
      </c>
      <c r="D296" s="53" t="s">
        <v>533</v>
      </c>
      <c r="E296" s="65">
        <v>0</v>
      </c>
      <c r="F296" s="65"/>
      <c r="G296" s="65"/>
      <c r="H296" s="65"/>
      <c r="I296" s="65"/>
      <c r="J296" s="65"/>
      <c r="K296" s="130" t="e">
        <f t="shared" si="94"/>
        <v>#DIV/0!</v>
      </c>
      <c r="L296" s="65">
        <f>N296+Q296</f>
        <v>0</v>
      </c>
      <c r="M296" s="65"/>
      <c r="N296" s="65"/>
      <c r="O296" s="65"/>
      <c r="P296" s="65"/>
      <c r="Q296" s="65"/>
      <c r="R296" s="65">
        <f>T296+W296</f>
        <v>0</v>
      </c>
      <c r="S296" s="65"/>
      <c r="T296" s="65"/>
      <c r="U296" s="65"/>
      <c r="V296" s="65"/>
      <c r="W296" s="65"/>
      <c r="X296" s="132" t="e">
        <f t="shared" si="91"/>
        <v>#DIV/0!</v>
      </c>
      <c r="Y296" s="65">
        <f t="shared" si="92"/>
        <v>0</v>
      </c>
      <c r="Z296" s="202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  <c r="IV296" s="47"/>
      <c r="IW296" s="47"/>
      <c r="IX296" s="47"/>
      <c r="IY296" s="47"/>
      <c r="IZ296" s="47"/>
      <c r="JA296" s="47"/>
      <c r="JB296" s="47"/>
      <c r="JC296" s="47"/>
      <c r="JD296" s="47"/>
      <c r="JE296" s="47"/>
      <c r="JF296" s="47"/>
      <c r="JG296" s="47"/>
      <c r="JH296" s="47"/>
      <c r="JI296" s="47"/>
      <c r="JJ296" s="47"/>
      <c r="JK296" s="47"/>
      <c r="JL296" s="47"/>
      <c r="JM296" s="47"/>
      <c r="JN296" s="47"/>
      <c r="JO296" s="47"/>
      <c r="JP296" s="47"/>
      <c r="JQ296" s="47"/>
      <c r="JR296" s="47"/>
      <c r="JS296" s="47"/>
      <c r="JT296" s="47"/>
      <c r="JU296" s="47"/>
      <c r="JV296" s="47"/>
      <c r="JW296" s="47"/>
      <c r="JX296" s="47"/>
      <c r="JY296" s="47"/>
      <c r="JZ296" s="47"/>
      <c r="KA296" s="47"/>
      <c r="KB296" s="47"/>
      <c r="KC296" s="47"/>
      <c r="KD296" s="47"/>
      <c r="KE296" s="47"/>
      <c r="KF296" s="47"/>
      <c r="KG296" s="47"/>
      <c r="KH296" s="47"/>
      <c r="KI296" s="47"/>
      <c r="KJ296" s="47"/>
      <c r="KK296" s="47"/>
      <c r="KL296" s="47"/>
      <c r="KM296" s="47"/>
      <c r="KN296" s="47"/>
      <c r="KO296" s="47"/>
      <c r="KP296" s="47"/>
      <c r="KQ296" s="47"/>
      <c r="KR296" s="47"/>
      <c r="KS296" s="47"/>
      <c r="KT296" s="47"/>
      <c r="KU296" s="47"/>
      <c r="KV296" s="47"/>
      <c r="KW296" s="47"/>
      <c r="KX296" s="47"/>
      <c r="KY296" s="47"/>
      <c r="KZ296" s="47"/>
      <c r="LA296" s="47"/>
      <c r="LB296" s="47"/>
      <c r="LC296" s="47"/>
      <c r="LD296" s="47"/>
      <c r="LE296" s="47"/>
      <c r="LF296" s="47"/>
      <c r="LG296" s="47"/>
      <c r="LH296" s="47"/>
      <c r="LI296" s="47"/>
      <c r="LJ296" s="47"/>
      <c r="LK296" s="47"/>
      <c r="LL296" s="47"/>
      <c r="LM296" s="47"/>
      <c r="LN296" s="47"/>
      <c r="LO296" s="47"/>
      <c r="LP296" s="47"/>
      <c r="LQ296" s="47"/>
      <c r="LR296" s="47"/>
      <c r="LS296" s="47"/>
      <c r="LT296" s="47"/>
      <c r="LU296" s="47"/>
      <c r="LV296" s="47"/>
      <c r="LW296" s="47"/>
      <c r="LX296" s="47"/>
      <c r="LY296" s="47"/>
      <c r="LZ296" s="47"/>
      <c r="MA296" s="47"/>
      <c r="MB296" s="47"/>
      <c r="MC296" s="47"/>
      <c r="MD296" s="47"/>
      <c r="ME296" s="47"/>
      <c r="MF296" s="47"/>
      <c r="MG296" s="47"/>
      <c r="MH296" s="47"/>
      <c r="MI296" s="47"/>
      <c r="MJ296" s="47"/>
      <c r="MK296" s="47"/>
      <c r="ML296" s="47"/>
      <c r="MM296" s="47"/>
      <c r="MN296" s="47"/>
      <c r="MO296" s="47"/>
      <c r="MP296" s="47"/>
      <c r="MQ296" s="47"/>
      <c r="MR296" s="47"/>
      <c r="MS296" s="47"/>
      <c r="MT296" s="47"/>
      <c r="MU296" s="47"/>
      <c r="MV296" s="47"/>
      <c r="MW296" s="47"/>
      <c r="MX296" s="47"/>
      <c r="MY296" s="47"/>
      <c r="MZ296" s="47"/>
      <c r="NA296" s="47"/>
      <c r="NB296" s="47"/>
      <c r="NC296" s="47"/>
      <c r="ND296" s="47"/>
      <c r="NE296" s="47"/>
      <c r="NF296" s="47"/>
      <c r="NG296" s="47"/>
      <c r="NH296" s="47"/>
      <c r="NI296" s="47"/>
      <c r="NJ296" s="47"/>
      <c r="NK296" s="47"/>
      <c r="NL296" s="47"/>
      <c r="NM296" s="47"/>
      <c r="NN296" s="47"/>
      <c r="NO296" s="47"/>
      <c r="NP296" s="47"/>
      <c r="NQ296" s="47"/>
      <c r="NR296" s="47"/>
      <c r="NS296" s="47"/>
      <c r="NT296" s="47"/>
      <c r="NU296" s="47"/>
      <c r="NV296" s="47"/>
      <c r="NW296" s="47"/>
      <c r="NX296" s="47"/>
      <c r="NY296" s="47"/>
      <c r="NZ296" s="47"/>
      <c r="OA296" s="47"/>
      <c r="OB296" s="47"/>
      <c r="OC296" s="47"/>
      <c r="OD296" s="47"/>
      <c r="OE296" s="47"/>
      <c r="OF296" s="47"/>
      <c r="OG296" s="47"/>
      <c r="OH296" s="47"/>
      <c r="OI296" s="47"/>
      <c r="OJ296" s="47"/>
      <c r="OK296" s="47"/>
      <c r="OL296" s="47"/>
      <c r="OM296" s="47"/>
      <c r="ON296" s="47"/>
      <c r="OO296" s="47"/>
      <c r="OP296" s="47"/>
      <c r="OQ296" s="47"/>
      <c r="OR296" s="47"/>
      <c r="OS296" s="47"/>
      <c r="OT296" s="47"/>
      <c r="OU296" s="47"/>
      <c r="OV296" s="47"/>
      <c r="OW296" s="47"/>
      <c r="OX296" s="47"/>
      <c r="OY296" s="47"/>
      <c r="OZ296" s="47"/>
      <c r="PA296" s="47"/>
      <c r="PB296" s="47"/>
      <c r="PC296" s="47"/>
      <c r="PD296" s="47"/>
      <c r="PE296" s="47"/>
      <c r="PF296" s="47"/>
      <c r="PG296" s="47"/>
      <c r="PH296" s="47"/>
      <c r="PI296" s="47"/>
      <c r="PJ296" s="47"/>
      <c r="PK296" s="47"/>
      <c r="PL296" s="47"/>
      <c r="PM296" s="47"/>
      <c r="PN296" s="47"/>
      <c r="PO296" s="47"/>
      <c r="PP296" s="47"/>
      <c r="PQ296" s="47"/>
      <c r="PR296" s="47"/>
      <c r="PS296" s="47"/>
      <c r="PT296" s="47"/>
      <c r="PU296" s="47"/>
      <c r="PV296" s="47"/>
      <c r="PW296" s="47"/>
      <c r="PX296" s="47"/>
      <c r="PY296" s="47"/>
      <c r="PZ296" s="47"/>
      <c r="QA296" s="47"/>
      <c r="QB296" s="47"/>
      <c r="QC296" s="47"/>
      <c r="QD296" s="47"/>
      <c r="QE296" s="47"/>
      <c r="QF296" s="47"/>
      <c r="QG296" s="47"/>
      <c r="QH296" s="47"/>
      <c r="QI296" s="47"/>
      <c r="QJ296" s="47"/>
      <c r="QK296" s="47"/>
      <c r="QL296" s="47"/>
      <c r="QM296" s="47"/>
      <c r="QN296" s="47"/>
      <c r="QO296" s="47"/>
      <c r="QP296" s="47"/>
      <c r="QQ296" s="47"/>
      <c r="QR296" s="47"/>
      <c r="QS296" s="47"/>
      <c r="QT296" s="47"/>
      <c r="QU296" s="47"/>
      <c r="QV296" s="47"/>
      <c r="QW296" s="47"/>
      <c r="QX296" s="47"/>
      <c r="QY296" s="47"/>
      <c r="QZ296" s="47"/>
      <c r="RA296" s="47"/>
      <c r="RB296" s="47"/>
      <c r="RC296" s="47"/>
      <c r="RD296" s="47"/>
      <c r="RE296" s="47"/>
      <c r="RF296" s="47"/>
      <c r="RG296" s="47"/>
      <c r="RH296" s="47"/>
      <c r="RI296" s="47"/>
      <c r="RJ296" s="47"/>
      <c r="RK296" s="47"/>
      <c r="RL296" s="47"/>
      <c r="RM296" s="47"/>
      <c r="RN296" s="47"/>
      <c r="RO296" s="47"/>
      <c r="RP296" s="47"/>
      <c r="RQ296" s="47"/>
      <c r="RR296" s="47"/>
      <c r="RS296" s="47"/>
      <c r="RT296" s="47"/>
      <c r="RU296" s="47"/>
      <c r="RV296" s="47"/>
      <c r="RW296" s="47"/>
      <c r="RX296" s="47"/>
      <c r="RY296" s="47"/>
      <c r="RZ296" s="47"/>
      <c r="SA296" s="47"/>
      <c r="SB296" s="47"/>
      <c r="SC296" s="47"/>
      <c r="SD296" s="47"/>
      <c r="SE296" s="47"/>
      <c r="SF296" s="47"/>
      <c r="SG296" s="47"/>
      <c r="SH296" s="47"/>
      <c r="SI296" s="47"/>
      <c r="SJ296" s="47"/>
      <c r="SK296" s="47"/>
      <c r="SL296" s="47"/>
      <c r="SM296" s="47"/>
      <c r="SN296" s="47"/>
      <c r="SO296" s="47"/>
      <c r="SP296" s="47"/>
      <c r="SQ296" s="47"/>
      <c r="SR296" s="47"/>
      <c r="SS296" s="47"/>
      <c r="ST296" s="47"/>
      <c r="SU296" s="47"/>
      <c r="SV296" s="47"/>
      <c r="SW296" s="47"/>
      <c r="SX296" s="47"/>
      <c r="SY296" s="47"/>
      <c r="SZ296" s="47"/>
      <c r="TA296" s="47"/>
      <c r="TB296" s="47"/>
      <c r="TC296" s="47"/>
      <c r="TD296" s="47"/>
      <c r="TE296" s="47"/>
      <c r="TF296" s="47"/>
      <c r="TG296" s="47"/>
      <c r="TH296" s="47"/>
      <c r="TI296" s="47"/>
      <c r="TJ296" s="47"/>
      <c r="TK296" s="47"/>
      <c r="TL296" s="47"/>
      <c r="TM296" s="47"/>
      <c r="TN296" s="47"/>
      <c r="TO296" s="47"/>
      <c r="TP296" s="47"/>
      <c r="TQ296" s="47"/>
      <c r="TR296" s="47"/>
      <c r="TS296" s="47"/>
      <c r="TT296" s="47"/>
      <c r="TU296" s="47"/>
      <c r="TV296" s="47"/>
      <c r="TW296" s="47"/>
      <c r="TX296" s="47"/>
      <c r="TY296" s="47"/>
      <c r="TZ296" s="47"/>
      <c r="UA296" s="47"/>
      <c r="UB296" s="47"/>
      <c r="UC296" s="47"/>
      <c r="UD296" s="47"/>
      <c r="UE296" s="47"/>
      <c r="UF296" s="47"/>
      <c r="UG296" s="47"/>
      <c r="UH296" s="47"/>
      <c r="UI296" s="47"/>
      <c r="UJ296" s="47"/>
      <c r="UK296" s="47"/>
      <c r="UL296" s="47"/>
      <c r="UM296" s="47"/>
      <c r="UN296" s="47"/>
      <c r="UO296" s="47"/>
      <c r="UP296" s="47"/>
      <c r="UQ296" s="47"/>
      <c r="UR296" s="47"/>
      <c r="US296" s="47"/>
      <c r="UT296" s="47"/>
      <c r="UU296" s="47"/>
      <c r="UV296" s="47"/>
      <c r="UW296" s="47"/>
      <c r="UX296" s="47"/>
      <c r="UY296" s="47"/>
      <c r="UZ296" s="47"/>
      <c r="VA296" s="47"/>
      <c r="VB296" s="47"/>
      <c r="VC296" s="47"/>
      <c r="VD296" s="47"/>
      <c r="VE296" s="47"/>
      <c r="VF296" s="47"/>
    </row>
    <row r="297" spans="1:578" s="41" customFormat="1" ht="15" hidden="1" customHeight="1" x14ac:dyDescent="0.2">
      <c r="A297" s="39"/>
      <c r="B297" s="90"/>
      <c r="C297" s="90"/>
      <c r="D297" s="40" t="s">
        <v>344</v>
      </c>
      <c r="E297" s="65">
        <v>0</v>
      </c>
      <c r="F297" s="65"/>
      <c r="G297" s="65"/>
      <c r="H297" s="65"/>
      <c r="I297" s="65"/>
      <c r="J297" s="65"/>
      <c r="K297" s="130" t="e">
        <f t="shared" si="94"/>
        <v>#DIV/0!</v>
      </c>
      <c r="L297" s="65">
        <f>N297+Q297</f>
        <v>0</v>
      </c>
      <c r="M297" s="65"/>
      <c r="N297" s="65"/>
      <c r="O297" s="65"/>
      <c r="P297" s="65"/>
      <c r="Q297" s="65"/>
      <c r="R297" s="65">
        <f>T297+W297</f>
        <v>0</v>
      </c>
      <c r="S297" s="65"/>
      <c r="T297" s="65"/>
      <c r="U297" s="65"/>
      <c r="V297" s="65"/>
      <c r="W297" s="65"/>
      <c r="X297" s="132" t="e">
        <f t="shared" si="91"/>
        <v>#DIV/0!</v>
      </c>
      <c r="Y297" s="65">
        <f t="shared" si="92"/>
        <v>0</v>
      </c>
      <c r="Z297" s="202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  <c r="ID297" s="47"/>
      <c r="IE297" s="47"/>
      <c r="IF297" s="47"/>
      <c r="IG297" s="47"/>
      <c r="IH297" s="47"/>
      <c r="II297" s="47"/>
      <c r="IJ297" s="47"/>
      <c r="IK297" s="47"/>
      <c r="IL297" s="47"/>
      <c r="IM297" s="47"/>
      <c r="IN297" s="47"/>
      <c r="IO297" s="47"/>
      <c r="IP297" s="47"/>
      <c r="IQ297" s="47"/>
      <c r="IR297" s="47"/>
      <c r="IS297" s="47"/>
      <c r="IT297" s="47"/>
      <c r="IU297" s="47"/>
      <c r="IV297" s="47"/>
      <c r="IW297" s="47"/>
      <c r="IX297" s="47"/>
      <c r="IY297" s="47"/>
      <c r="IZ297" s="47"/>
      <c r="JA297" s="47"/>
      <c r="JB297" s="47"/>
      <c r="JC297" s="47"/>
      <c r="JD297" s="47"/>
      <c r="JE297" s="47"/>
      <c r="JF297" s="47"/>
      <c r="JG297" s="47"/>
      <c r="JH297" s="47"/>
      <c r="JI297" s="47"/>
      <c r="JJ297" s="47"/>
      <c r="JK297" s="47"/>
      <c r="JL297" s="47"/>
      <c r="JM297" s="47"/>
      <c r="JN297" s="47"/>
      <c r="JO297" s="47"/>
      <c r="JP297" s="47"/>
      <c r="JQ297" s="47"/>
      <c r="JR297" s="47"/>
      <c r="JS297" s="47"/>
      <c r="JT297" s="47"/>
      <c r="JU297" s="47"/>
      <c r="JV297" s="47"/>
      <c r="JW297" s="47"/>
      <c r="JX297" s="47"/>
      <c r="JY297" s="47"/>
      <c r="JZ297" s="47"/>
      <c r="KA297" s="47"/>
      <c r="KB297" s="47"/>
      <c r="KC297" s="47"/>
      <c r="KD297" s="47"/>
      <c r="KE297" s="47"/>
      <c r="KF297" s="47"/>
      <c r="KG297" s="47"/>
      <c r="KH297" s="47"/>
      <c r="KI297" s="47"/>
      <c r="KJ297" s="47"/>
      <c r="KK297" s="47"/>
      <c r="KL297" s="47"/>
      <c r="KM297" s="47"/>
      <c r="KN297" s="47"/>
      <c r="KO297" s="47"/>
      <c r="KP297" s="47"/>
      <c r="KQ297" s="47"/>
      <c r="KR297" s="47"/>
      <c r="KS297" s="47"/>
      <c r="KT297" s="47"/>
      <c r="KU297" s="47"/>
      <c r="KV297" s="47"/>
      <c r="KW297" s="47"/>
      <c r="KX297" s="47"/>
      <c r="KY297" s="47"/>
      <c r="KZ297" s="47"/>
      <c r="LA297" s="47"/>
      <c r="LB297" s="47"/>
      <c r="LC297" s="47"/>
      <c r="LD297" s="47"/>
      <c r="LE297" s="47"/>
      <c r="LF297" s="47"/>
      <c r="LG297" s="47"/>
      <c r="LH297" s="47"/>
      <c r="LI297" s="47"/>
      <c r="LJ297" s="47"/>
      <c r="LK297" s="47"/>
      <c r="LL297" s="47"/>
      <c r="LM297" s="47"/>
      <c r="LN297" s="47"/>
      <c r="LO297" s="47"/>
      <c r="LP297" s="47"/>
      <c r="LQ297" s="47"/>
      <c r="LR297" s="47"/>
      <c r="LS297" s="47"/>
      <c r="LT297" s="47"/>
      <c r="LU297" s="47"/>
      <c r="LV297" s="47"/>
      <c r="LW297" s="47"/>
      <c r="LX297" s="47"/>
      <c r="LY297" s="47"/>
      <c r="LZ297" s="47"/>
      <c r="MA297" s="47"/>
      <c r="MB297" s="47"/>
      <c r="MC297" s="47"/>
      <c r="MD297" s="47"/>
      <c r="ME297" s="47"/>
      <c r="MF297" s="47"/>
      <c r="MG297" s="47"/>
      <c r="MH297" s="47"/>
      <c r="MI297" s="47"/>
      <c r="MJ297" s="47"/>
      <c r="MK297" s="47"/>
      <c r="ML297" s="47"/>
      <c r="MM297" s="47"/>
      <c r="MN297" s="47"/>
      <c r="MO297" s="47"/>
      <c r="MP297" s="47"/>
      <c r="MQ297" s="47"/>
      <c r="MR297" s="47"/>
      <c r="MS297" s="47"/>
      <c r="MT297" s="47"/>
      <c r="MU297" s="47"/>
      <c r="MV297" s="47"/>
      <c r="MW297" s="47"/>
      <c r="MX297" s="47"/>
      <c r="MY297" s="47"/>
      <c r="MZ297" s="47"/>
      <c r="NA297" s="47"/>
      <c r="NB297" s="47"/>
      <c r="NC297" s="47"/>
      <c r="ND297" s="47"/>
      <c r="NE297" s="47"/>
      <c r="NF297" s="47"/>
      <c r="NG297" s="47"/>
      <c r="NH297" s="47"/>
      <c r="NI297" s="47"/>
      <c r="NJ297" s="47"/>
      <c r="NK297" s="47"/>
      <c r="NL297" s="47"/>
      <c r="NM297" s="47"/>
      <c r="NN297" s="47"/>
      <c r="NO297" s="47"/>
      <c r="NP297" s="47"/>
      <c r="NQ297" s="47"/>
      <c r="NR297" s="47"/>
      <c r="NS297" s="47"/>
      <c r="NT297" s="47"/>
      <c r="NU297" s="47"/>
      <c r="NV297" s="47"/>
      <c r="NW297" s="47"/>
      <c r="NX297" s="47"/>
      <c r="NY297" s="47"/>
      <c r="NZ297" s="47"/>
      <c r="OA297" s="47"/>
      <c r="OB297" s="47"/>
      <c r="OC297" s="47"/>
      <c r="OD297" s="47"/>
      <c r="OE297" s="47"/>
      <c r="OF297" s="47"/>
      <c r="OG297" s="47"/>
      <c r="OH297" s="47"/>
      <c r="OI297" s="47"/>
      <c r="OJ297" s="47"/>
      <c r="OK297" s="47"/>
      <c r="OL297" s="47"/>
      <c r="OM297" s="47"/>
      <c r="ON297" s="47"/>
      <c r="OO297" s="47"/>
      <c r="OP297" s="47"/>
      <c r="OQ297" s="47"/>
      <c r="OR297" s="47"/>
      <c r="OS297" s="47"/>
      <c r="OT297" s="47"/>
      <c r="OU297" s="47"/>
      <c r="OV297" s="47"/>
      <c r="OW297" s="47"/>
      <c r="OX297" s="47"/>
      <c r="OY297" s="47"/>
      <c r="OZ297" s="47"/>
      <c r="PA297" s="47"/>
      <c r="PB297" s="47"/>
      <c r="PC297" s="47"/>
      <c r="PD297" s="47"/>
      <c r="PE297" s="47"/>
      <c r="PF297" s="47"/>
      <c r="PG297" s="47"/>
      <c r="PH297" s="47"/>
      <c r="PI297" s="47"/>
      <c r="PJ297" s="47"/>
      <c r="PK297" s="47"/>
      <c r="PL297" s="47"/>
      <c r="PM297" s="47"/>
      <c r="PN297" s="47"/>
      <c r="PO297" s="47"/>
      <c r="PP297" s="47"/>
      <c r="PQ297" s="47"/>
      <c r="PR297" s="47"/>
      <c r="PS297" s="47"/>
      <c r="PT297" s="47"/>
      <c r="PU297" s="47"/>
      <c r="PV297" s="47"/>
      <c r="PW297" s="47"/>
      <c r="PX297" s="47"/>
      <c r="PY297" s="47"/>
      <c r="PZ297" s="47"/>
      <c r="QA297" s="47"/>
      <c r="QB297" s="47"/>
      <c r="QC297" s="47"/>
      <c r="QD297" s="47"/>
      <c r="QE297" s="47"/>
      <c r="QF297" s="47"/>
      <c r="QG297" s="47"/>
      <c r="QH297" s="47"/>
      <c r="QI297" s="47"/>
      <c r="QJ297" s="47"/>
      <c r="QK297" s="47"/>
      <c r="QL297" s="47"/>
      <c r="QM297" s="47"/>
      <c r="QN297" s="47"/>
      <c r="QO297" s="47"/>
      <c r="QP297" s="47"/>
      <c r="QQ297" s="47"/>
      <c r="QR297" s="47"/>
      <c r="QS297" s="47"/>
      <c r="QT297" s="47"/>
      <c r="QU297" s="47"/>
      <c r="QV297" s="47"/>
      <c r="QW297" s="47"/>
      <c r="QX297" s="47"/>
      <c r="QY297" s="47"/>
      <c r="QZ297" s="47"/>
      <c r="RA297" s="47"/>
      <c r="RB297" s="47"/>
      <c r="RC297" s="47"/>
      <c r="RD297" s="47"/>
      <c r="RE297" s="47"/>
      <c r="RF297" s="47"/>
      <c r="RG297" s="47"/>
      <c r="RH297" s="47"/>
      <c r="RI297" s="47"/>
      <c r="RJ297" s="47"/>
      <c r="RK297" s="47"/>
      <c r="RL297" s="47"/>
      <c r="RM297" s="47"/>
      <c r="RN297" s="47"/>
      <c r="RO297" s="47"/>
      <c r="RP297" s="47"/>
      <c r="RQ297" s="47"/>
      <c r="RR297" s="47"/>
      <c r="RS297" s="47"/>
      <c r="RT297" s="47"/>
      <c r="RU297" s="47"/>
      <c r="RV297" s="47"/>
      <c r="RW297" s="47"/>
      <c r="RX297" s="47"/>
      <c r="RY297" s="47"/>
      <c r="RZ297" s="47"/>
      <c r="SA297" s="47"/>
      <c r="SB297" s="47"/>
      <c r="SC297" s="47"/>
      <c r="SD297" s="47"/>
      <c r="SE297" s="47"/>
      <c r="SF297" s="47"/>
      <c r="SG297" s="47"/>
      <c r="SH297" s="47"/>
      <c r="SI297" s="47"/>
      <c r="SJ297" s="47"/>
      <c r="SK297" s="47"/>
      <c r="SL297" s="47"/>
      <c r="SM297" s="47"/>
      <c r="SN297" s="47"/>
      <c r="SO297" s="47"/>
      <c r="SP297" s="47"/>
      <c r="SQ297" s="47"/>
      <c r="SR297" s="47"/>
      <c r="SS297" s="47"/>
      <c r="ST297" s="47"/>
      <c r="SU297" s="47"/>
      <c r="SV297" s="47"/>
      <c r="SW297" s="47"/>
      <c r="SX297" s="47"/>
      <c r="SY297" s="47"/>
      <c r="SZ297" s="47"/>
      <c r="TA297" s="47"/>
      <c r="TB297" s="47"/>
      <c r="TC297" s="47"/>
      <c r="TD297" s="47"/>
      <c r="TE297" s="47"/>
      <c r="TF297" s="47"/>
      <c r="TG297" s="47"/>
      <c r="TH297" s="47"/>
      <c r="TI297" s="47"/>
      <c r="TJ297" s="47"/>
      <c r="TK297" s="47"/>
      <c r="TL297" s="47"/>
      <c r="TM297" s="47"/>
      <c r="TN297" s="47"/>
      <c r="TO297" s="47"/>
      <c r="TP297" s="47"/>
      <c r="TQ297" s="47"/>
      <c r="TR297" s="47"/>
      <c r="TS297" s="47"/>
      <c r="TT297" s="47"/>
      <c r="TU297" s="47"/>
      <c r="TV297" s="47"/>
      <c r="TW297" s="47"/>
      <c r="TX297" s="47"/>
      <c r="TY297" s="47"/>
      <c r="TZ297" s="47"/>
      <c r="UA297" s="47"/>
      <c r="UB297" s="47"/>
      <c r="UC297" s="47"/>
      <c r="UD297" s="47"/>
      <c r="UE297" s="47"/>
      <c r="UF297" s="47"/>
      <c r="UG297" s="47"/>
      <c r="UH297" s="47"/>
      <c r="UI297" s="47"/>
      <c r="UJ297" s="47"/>
      <c r="UK297" s="47"/>
      <c r="UL297" s="47"/>
      <c r="UM297" s="47"/>
      <c r="UN297" s="47"/>
      <c r="UO297" s="47"/>
      <c r="UP297" s="47"/>
      <c r="UQ297" s="47"/>
      <c r="UR297" s="47"/>
      <c r="US297" s="47"/>
      <c r="UT297" s="47"/>
      <c r="UU297" s="47"/>
      <c r="UV297" s="47"/>
      <c r="UW297" s="47"/>
      <c r="UX297" s="47"/>
      <c r="UY297" s="47"/>
      <c r="UZ297" s="47"/>
      <c r="VA297" s="47"/>
      <c r="VB297" s="47"/>
      <c r="VC297" s="47"/>
      <c r="VD297" s="47"/>
      <c r="VE297" s="47"/>
      <c r="VF297" s="47"/>
    </row>
    <row r="298" spans="1:578" s="41" customFormat="1" ht="21.75" customHeight="1" x14ac:dyDescent="0.2">
      <c r="A298" s="39" t="s">
        <v>416</v>
      </c>
      <c r="B298" s="90" t="str">
        <f>'дод 3'!A220</f>
        <v>9770</v>
      </c>
      <c r="C298" s="90" t="str">
        <f>'дод 3'!B220</f>
        <v>0180</v>
      </c>
      <c r="D298" s="42" t="str">
        <f>'дод 3'!C220</f>
        <v xml:space="preserve">Інші субвенції з місцевого бюджету </v>
      </c>
      <c r="E298" s="65">
        <v>0</v>
      </c>
      <c r="F298" s="65"/>
      <c r="G298" s="65"/>
      <c r="H298" s="65"/>
      <c r="I298" s="65"/>
      <c r="J298" s="65"/>
      <c r="K298" s="130"/>
      <c r="L298" s="65">
        <f>N298+Q298</f>
        <v>500000</v>
      </c>
      <c r="M298" s="65">
        <v>500000</v>
      </c>
      <c r="N298" s="65"/>
      <c r="O298" s="65"/>
      <c r="P298" s="65"/>
      <c r="Q298" s="65">
        <v>500000</v>
      </c>
      <c r="R298" s="65">
        <f>T298+W298</f>
        <v>0</v>
      </c>
      <c r="S298" s="65"/>
      <c r="T298" s="65"/>
      <c r="U298" s="65"/>
      <c r="V298" s="65"/>
      <c r="W298" s="65"/>
      <c r="X298" s="132">
        <f t="shared" si="91"/>
        <v>0</v>
      </c>
      <c r="Y298" s="65">
        <f t="shared" si="92"/>
        <v>0</v>
      </c>
      <c r="Z298" s="202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  <c r="IV298" s="47"/>
      <c r="IW298" s="47"/>
      <c r="IX298" s="47"/>
      <c r="IY298" s="47"/>
      <c r="IZ298" s="47"/>
      <c r="JA298" s="47"/>
      <c r="JB298" s="47"/>
      <c r="JC298" s="47"/>
      <c r="JD298" s="47"/>
      <c r="JE298" s="47"/>
      <c r="JF298" s="47"/>
      <c r="JG298" s="47"/>
      <c r="JH298" s="47"/>
      <c r="JI298" s="47"/>
      <c r="JJ298" s="47"/>
      <c r="JK298" s="47"/>
      <c r="JL298" s="47"/>
      <c r="JM298" s="47"/>
      <c r="JN298" s="47"/>
      <c r="JO298" s="47"/>
      <c r="JP298" s="47"/>
      <c r="JQ298" s="47"/>
      <c r="JR298" s="47"/>
      <c r="JS298" s="47"/>
      <c r="JT298" s="47"/>
      <c r="JU298" s="47"/>
      <c r="JV298" s="47"/>
      <c r="JW298" s="47"/>
      <c r="JX298" s="47"/>
      <c r="JY298" s="47"/>
      <c r="JZ298" s="47"/>
      <c r="KA298" s="47"/>
      <c r="KB298" s="47"/>
      <c r="KC298" s="47"/>
      <c r="KD298" s="47"/>
      <c r="KE298" s="47"/>
      <c r="KF298" s="47"/>
      <c r="KG298" s="47"/>
      <c r="KH298" s="47"/>
      <c r="KI298" s="47"/>
      <c r="KJ298" s="47"/>
      <c r="KK298" s="47"/>
      <c r="KL298" s="47"/>
      <c r="KM298" s="47"/>
      <c r="KN298" s="47"/>
      <c r="KO298" s="47"/>
      <c r="KP298" s="47"/>
      <c r="KQ298" s="47"/>
      <c r="KR298" s="47"/>
      <c r="KS298" s="47"/>
      <c r="KT298" s="47"/>
      <c r="KU298" s="47"/>
      <c r="KV298" s="47"/>
      <c r="KW298" s="47"/>
      <c r="KX298" s="47"/>
      <c r="KY298" s="47"/>
      <c r="KZ298" s="47"/>
      <c r="LA298" s="47"/>
      <c r="LB298" s="47"/>
      <c r="LC298" s="47"/>
      <c r="LD298" s="47"/>
      <c r="LE298" s="47"/>
      <c r="LF298" s="47"/>
      <c r="LG298" s="47"/>
      <c r="LH298" s="47"/>
      <c r="LI298" s="47"/>
      <c r="LJ298" s="47"/>
      <c r="LK298" s="47"/>
      <c r="LL298" s="47"/>
      <c r="LM298" s="47"/>
      <c r="LN298" s="47"/>
      <c r="LO298" s="47"/>
      <c r="LP298" s="47"/>
      <c r="LQ298" s="47"/>
      <c r="LR298" s="47"/>
      <c r="LS298" s="47"/>
      <c r="LT298" s="47"/>
      <c r="LU298" s="47"/>
      <c r="LV298" s="47"/>
      <c r="LW298" s="47"/>
      <c r="LX298" s="47"/>
      <c r="LY298" s="47"/>
      <c r="LZ298" s="47"/>
      <c r="MA298" s="47"/>
      <c r="MB298" s="47"/>
      <c r="MC298" s="47"/>
      <c r="MD298" s="47"/>
      <c r="ME298" s="47"/>
      <c r="MF298" s="47"/>
      <c r="MG298" s="47"/>
      <c r="MH298" s="47"/>
      <c r="MI298" s="47"/>
      <c r="MJ298" s="47"/>
      <c r="MK298" s="47"/>
      <c r="ML298" s="47"/>
      <c r="MM298" s="47"/>
      <c r="MN298" s="47"/>
      <c r="MO298" s="47"/>
      <c r="MP298" s="47"/>
      <c r="MQ298" s="47"/>
      <c r="MR298" s="47"/>
      <c r="MS298" s="47"/>
      <c r="MT298" s="47"/>
      <c r="MU298" s="47"/>
      <c r="MV298" s="47"/>
      <c r="MW298" s="47"/>
      <c r="MX298" s="47"/>
      <c r="MY298" s="47"/>
      <c r="MZ298" s="47"/>
      <c r="NA298" s="47"/>
      <c r="NB298" s="47"/>
      <c r="NC298" s="47"/>
      <c r="ND298" s="47"/>
      <c r="NE298" s="47"/>
      <c r="NF298" s="47"/>
      <c r="NG298" s="47"/>
      <c r="NH298" s="47"/>
      <c r="NI298" s="47"/>
      <c r="NJ298" s="47"/>
      <c r="NK298" s="47"/>
      <c r="NL298" s="47"/>
      <c r="NM298" s="47"/>
      <c r="NN298" s="47"/>
      <c r="NO298" s="47"/>
      <c r="NP298" s="47"/>
      <c r="NQ298" s="47"/>
      <c r="NR298" s="47"/>
      <c r="NS298" s="47"/>
      <c r="NT298" s="47"/>
      <c r="NU298" s="47"/>
      <c r="NV298" s="47"/>
      <c r="NW298" s="47"/>
      <c r="NX298" s="47"/>
      <c r="NY298" s="47"/>
      <c r="NZ298" s="47"/>
      <c r="OA298" s="47"/>
      <c r="OB298" s="47"/>
      <c r="OC298" s="47"/>
      <c r="OD298" s="47"/>
      <c r="OE298" s="47"/>
      <c r="OF298" s="47"/>
      <c r="OG298" s="47"/>
      <c r="OH298" s="47"/>
      <c r="OI298" s="47"/>
      <c r="OJ298" s="47"/>
      <c r="OK298" s="47"/>
      <c r="OL298" s="47"/>
      <c r="OM298" s="47"/>
      <c r="ON298" s="47"/>
      <c r="OO298" s="47"/>
      <c r="OP298" s="47"/>
      <c r="OQ298" s="47"/>
      <c r="OR298" s="47"/>
      <c r="OS298" s="47"/>
      <c r="OT298" s="47"/>
      <c r="OU298" s="47"/>
      <c r="OV298" s="47"/>
      <c r="OW298" s="47"/>
      <c r="OX298" s="47"/>
      <c r="OY298" s="47"/>
      <c r="OZ298" s="47"/>
      <c r="PA298" s="47"/>
      <c r="PB298" s="47"/>
      <c r="PC298" s="47"/>
      <c r="PD298" s="47"/>
      <c r="PE298" s="47"/>
      <c r="PF298" s="47"/>
      <c r="PG298" s="47"/>
      <c r="PH298" s="47"/>
      <c r="PI298" s="47"/>
      <c r="PJ298" s="47"/>
      <c r="PK298" s="47"/>
      <c r="PL298" s="47"/>
      <c r="PM298" s="47"/>
      <c r="PN298" s="47"/>
      <c r="PO298" s="47"/>
      <c r="PP298" s="47"/>
      <c r="PQ298" s="47"/>
      <c r="PR298" s="47"/>
      <c r="PS298" s="47"/>
      <c r="PT298" s="47"/>
      <c r="PU298" s="47"/>
      <c r="PV298" s="47"/>
      <c r="PW298" s="47"/>
      <c r="PX298" s="47"/>
      <c r="PY298" s="47"/>
      <c r="PZ298" s="47"/>
      <c r="QA298" s="47"/>
      <c r="QB298" s="47"/>
      <c r="QC298" s="47"/>
      <c r="QD298" s="47"/>
      <c r="QE298" s="47"/>
      <c r="QF298" s="47"/>
      <c r="QG298" s="47"/>
      <c r="QH298" s="47"/>
      <c r="QI298" s="47"/>
      <c r="QJ298" s="47"/>
      <c r="QK298" s="47"/>
      <c r="QL298" s="47"/>
      <c r="QM298" s="47"/>
      <c r="QN298" s="47"/>
      <c r="QO298" s="47"/>
      <c r="QP298" s="47"/>
      <c r="QQ298" s="47"/>
      <c r="QR298" s="47"/>
      <c r="QS298" s="47"/>
      <c r="QT298" s="47"/>
      <c r="QU298" s="47"/>
      <c r="QV298" s="47"/>
      <c r="QW298" s="47"/>
      <c r="QX298" s="47"/>
      <c r="QY298" s="47"/>
      <c r="QZ298" s="47"/>
      <c r="RA298" s="47"/>
      <c r="RB298" s="47"/>
      <c r="RC298" s="47"/>
      <c r="RD298" s="47"/>
      <c r="RE298" s="47"/>
      <c r="RF298" s="47"/>
      <c r="RG298" s="47"/>
      <c r="RH298" s="47"/>
      <c r="RI298" s="47"/>
      <c r="RJ298" s="47"/>
      <c r="RK298" s="47"/>
      <c r="RL298" s="47"/>
      <c r="RM298" s="47"/>
      <c r="RN298" s="47"/>
      <c r="RO298" s="47"/>
      <c r="RP298" s="47"/>
      <c r="RQ298" s="47"/>
      <c r="RR298" s="47"/>
      <c r="RS298" s="47"/>
      <c r="RT298" s="47"/>
      <c r="RU298" s="47"/>
      <c r="RV298" s="47"/>
      <c r="RW298" s="47"/>
      <c r="RX298" s="47"/>
      <c r="RY298" s="47"/>
      <c r="RZ298" s="47"/>
      <c r="SA298" s="47"/>
      <c r="SB298" s="47"/>
      <c r="SC298" s="47"/>
      <c r="SD298" s="47"/>
      <c r="SE298" s="47"/>
      <c r="SF298" s="47"/>
      <c r="SG298" s="47"/>
      <c r="SH298" s="47"/>
      <c r="SI298" s="47"/>
      <c r="SJ298" s="47"/>
      <c r="SK298" s="47"/>
      <c r="SL298" s="47"/>
      <c r="SM298" s="47"/>
      <c r="SN298" s="47"/>
      <c r="SO298" s="47"/>
      <c r="SP298" s="47"/>
      <c r="SQ298" s="47"/>
      <c r="SR298" s="47"/>
      <c r="SS298" s="47"/>
      <c r="ST298" s="47"/>
      <c r="SU298" s="47"/>
      <c r="SV298" s="47"/>
      <c r="SW298" s="47"/>
      <c r="SX298" s="47"/>
      <c r="SY298" s="47"/>
      <c r="SZ298" s="47"/>
      <c r="TA298" s="47"/>
      <c r="TB298" s="47"/>
      <c r="TC298" s="47"/>
      <c r="TD298" s="47"/>
      <c r="TE298" s="47"/>
      <c r="TF298" s="47"/>
      <c r="TG298" s="47"/>
      <c r="TH298" s="47"/>
      <c r="TI298" s="47"/>
      <c r="TJ298" s="47"/>
      <c r="TK298" s="47"/>
      <c r="TL298" s="47"/>
      <c r="TM298" s="47"/>
      <c r="TN298" s="47"/>
      <c r="TO298" s="47"/>
      <c r="TP298" s="47"/>
      <c r="TQ298" s="47"/>
      <c r="TR298" s="47"/>
      <c r="TS298" s="47"/>
      <c r="TT298" s="47"/>
      <c r="TU298" s="47"/>
      <c r="TV298" s="47"/>
      <c r="TW298" s="47"/>
      <c r="TX298" s="47"/>
      <c r="TY298" s="47"/>
      <c r="TZ298" s="47"/>
      <c r="UA298" s="47"/>
      <c r="UB298" s="47"/>
      <c r="UC298" s="47"/>
      <c r="UD298" s="47"/>
      <c r="UE298" s="47"/>
      <c r="UF298" s="47"/>
      <c r="UG298" s="47"/>
      <c r="UH298" s="47"/>
      <c r="UI298" s="47"/>
      <c r="UJ298" s="47"/>
      <c r="UK298" s="47"/>
      <c r="UL298" s="47"/>
      <c r="UM298" s="47"/>
      <c r="UN298" s="47"/>
      <c r="UO298" s="47"/>
      <c r="UP298" s="47"/>
      <c r="UQ298" s="47"/>
      <c r="UR298" s="47"/>
      <c r="US298" s="47"/>
      <c r="UT298" s="47"/>
      <c r="UU298" s="47"/>
      <c r="UV298" s="47"/>
      <c r="UW298" s="47"/>
      <c r="UX298" s="47"/>
      <c r="UY298" s="47"/>
      <c r="UZ298" s="47"/>
      <c r="VA298" s="47"/>
      <c r="VB298" s="47"/>
      <c r="VC298" s="47"/>
      <c r="VD298" s="47"/>
      <c r="VE298" s="47"/>
      <c r="VF298" s="47"/>
    </row>
    <row r="299" spans="1:578" s="57" customFormat="1" ht="20.25" customHeight="1" x14ac:dyDescent="0.2">
      <c r="A299" s="55"/>
      <c r="B299" s="99"/>
      <c r="C299" s="55"/>
      <c r="D299" s="56" t="s">
        <v>34</v>
      </c>
      <c r="E299" s="79">
        <v>2578610527.5299997</v>
      </c>
      <c r="F299" s="79">
        <f t="shared" ref="F299:Q299" si="107">F15+F53+F82+F116+F187+F195+F206+F234+F238+F266+F273+F276+F286</f>
        <v>787688705</v>
      </c>
      <c r="G299" s="79">
        <f t="shared" si="107"/>
        <v>111362604</v>
      </c>
      <c r="H299" s="79">
        <f>H15+H53+H82+H116+H187+H195+H206+H234+H238+H266+H273+H276+H286</f>
        <v>642050730.35000002</v>
      </c>
      <c r="I299" s="79">
        <f>I15+I53+I82+I116+I187+I195+I206+I234+I238+I266+I273+I276+I286</f>
        <v>180852308.26000002</v>
      </c>
      <c r="J299" s="79">
        <f>J15+J53+J82+J116+J187+J195+J206+J234+J238+J266+J273+J276+J286</f>
        <v>39900984.109999992</v>
      </c>
      <c r="K299" s="129">
        <f t="shared" si="94"/>
        <v>24.899096761425533</v>
      </c>
      <c r="L299" s="79">
        <f t="shared" si="107"/>
        <v>670737570.53000009</v>
      </c>
      <c r="M299" s="79">
        <f t="shared" ref="M299" si="108">M15+M53+M82+M116+M187+M195+M206+M234+M238+M266+M273+M276+M286</f>
        <v>551376524.47000003</v>
      </c>
      <c r="N299" s="79">
        <f t="shared" si="107"/>
        <v>73679172.079999998</v>
      </c>
      <c r="O299" s="79">
        <f t="shared" si="107"/>
        <v>7954920</v>
      </c>
      <c r="P299" s="79">
        <f t="shared" si="107"/>
        <v>2775444</v>
      </c>
      <c r="Q299" s="79">
        <f t="shared" si="107"/>
        <v>597058398.45000005</v>
      </c>
      <c r="R299" s="79">
        <f t="shared" ref="R299:W299" si="109">R15+R53+R82+R116+R187+R195+R206+R234+R238+R266+R273+R276+R286</f>
        <v>58381549.659999989</v>
      </c>
      <c r="S299" s="79">
        <f t="shared" ref="S299" si="110">S15+S53+S82+S116+S187+S195+S206+S234+S238+S266+S273+S276+S286</f>
        <v>38242226.119999997</v>
      </c>
      <c r="T299" s="79">
        <f t="shared" si="109"/>
        <v>19183712.199999996</v>
      </c>
      <c r="U299" s="79">
        <f t="shared" si="109"/>
        <v>2460937.44</v>
      </c>
      <c r="V299" s="79">
        <f t="shared" si="109"/>
        <v>775077.7</v>
      </c>
      <c r="W299" s="79">
        <f t="shared" si="109"/>
        <v>39197837.460000001</v>
      </c>
      <c r="X299" s="131">
        <f t="shared" si="91"/>
        <v>8.7040822260587465</v>
      </c>
      <c r="Y299" s="79">
        <f t="shared" si="92"/>
        <v>700432280.00999999</v>
      </c>
      <c r="Z299" s="202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  <c r="GX299" s="73"/>
      <c r="GY299" s="73"/>
      <c r="GZ299" s="73"/>
      <c r="HA299" s="73"/>
      <c r="HB299" s="73"/>
      <c r="HC299" s="73"/>
      <c r="HD299" s="73"/>
      <c r="HE299" s="73"/>
      <c r="HF299" s="73"/>
      <c r="HG299" s="73"/>
      <c r="HH299" s="73"/>
      <c r="HI299" s="73"/>
      <c r="HJ299" s="73"/>
      <c r="HK299" s="73"/>
      <c r="HL299" s="73"/>
      <c r="HM299" s="73"/>
      <c r="HN299" s="73"/>
      <c r="HO299" s="73"/>
      <c r="HP299" s="73"/>
      <c r="HQ299" s="73"/>
      <c r="HR299" s="73"/>
      <c r="HS299" s="73"/>
      <c r="HT299" s="73"/>
      <c r="HU299" s="73"/>
      <c r="HV299" s="73"/>
      <c r="HW299" s="73"/>
      <c r="HX299" s="73"/>
      <c r="HY299" s="73"/>
      <c r="HZ299" s="73"/>
      <c r="IA299" s="73"/>
      <c r="IB299" s="73"/>
      <c r="IC299" s="73"/>
      <c r="ID299" s="73"/>
      <c r="IE299" s="73"/>
      <c r="IF299" s="73"/>
      <c r="IG299" s="73"/>
      <c r="IH299" s="73"/>
      <c r="II299" s="73"/>
      <c r="IJ299" s="73"/>
      <c r="IK299" s="73"/>
      <c r="IL299" s="73"/>
      <c r="IM299" s="73"/>
      <c r="IN299" s="73"/>
      <c r="IO299" s="73"/>
      <c r="IP299" s="73"/>
      <c r="IQ299" s="73"/>
      <c r="IR299" s="73"/>
      <c r="IS299" s="73"/>
      <c r="IT299" s="73"/>
      <c r="IU299" s="73"/>
      <c r="IV299" s="73"/>
      <c r="IW299" s="73"/>
      <c r="IX299" s="73"/>
      <c r="IY299" s="73"/>
      <c r="IZ299" s="73"/>
      <c r="JA299" s="73"/>
      <c r="JB299" s="73"/>
      <c r="JC299" s="73"/>
      <c r="JD299" s="73"/>
      <c r="JE299" s="73"/>
      <c r="JF299" s="73"/>
      <c r="JG299" s="73"/>
      <c r="JH299" s="73"/>
      <c r="JI299" s="73"/>
      <c r="JJ299" s="73"/>
      <c r="JK299" s="73"/>
      <c r="JL299" s="73"/>
      <c r="JM299" s="73"/>
      <c r="JN299" s="73"/>
      <c r="JO299" s="73"/>
      <c r="JP299" s="73"/>
      <c r="JQ299" s="73"/>
      <c r="JR299" s="73"/>
      <c r="JS299" s="73"/>
      <c r="JT299" s="73"/>
      <c r="JU299" s="73"/>
      <c r="JV299" s="73"/>
      <c r="JW299" s="73"/>
      <c r="JX299" s="73"/>
      <c r="JY299" s="73"/>
      <c r="JZ299" s="73"/>
      <c r="KA299" s="73"/>
      <c r="KB299" s="73"/>
      <c r="KC299" s="73"/>
      <c r="KD299" s="73"/>
      <c r="KE299" s="73"/>
      <c r="KF299" s="73"/>
      <c r="KG299" s="73"/>
      <c r="KH299" s="73"/>
      <c r="KI299" s="73"/>
      <c r="KJ299" s="73"/>
      <c r="KK299" s="73"/>
      <c r="KL299" s="73"/>
      <c r="KM299" s="73"/>
      <c r="KN299" s="73"/>
      <c r="KO299" s="73"/>
      <c r="KP299" s="73"/>
      <c r="KQ299" s="73"/>
      <c r="KR299" s="73"/>
      <c r="KS299" s="73"/>
      <c r="KT299" s="73"/>
      <c r="KU299" s="73"/>
      <c r="KV299" s="73"/>
      <c r="KW299" s="73"/>
      <c r="KX299" s="73"/>
      <c r="KY299" s="73"/>
      <c r="KZ299" s="73"/>
      <c r="LA299" s="73"/>
      <c r="LB299" s="73"/>
      <c r="LC299" s="73"/>
      <c r="LD299" s="73"/>
      <c r="LE299" s="73"/>
      <c r="LF299" s="73"/>
      <c r="LG299" s="73"/>
      <c r="LH299" s="73"/>
      <c r="LI299" s="73"/>
      <c r="LJ299" s="73"/>
      <c r="LK299" s="73"/>
      <c r="LL299" s="73"/>
      <c r="LM299" s="73"/>
      <c r="LN299" s="73"/>
      <c r="LO299" s="73"/>
      <c r="LP299" s="73"/>
      <c r="LQ299" s="73"/>
      <c r="LR299" s="73"/>
      <c r="LS299" s="73"/>
      <c r="LT299" s="73"/>
      <c r="LU299" s="73"/>
      <c r="LV299" s="73"/>
      <c r="LW299" s="73"/>
      <c r="LX299" s="73"/>
      <c r="LY299" s="73"/>
      <c r="LZ299" s="73"/>
      <c r="MA299" s="73"/>
      <c r="MB299" s="73"/>
      <c r="MC299" s="73"/>
      <c r="MD299" s="73"/>
      <c r="ME299" s="73"/>
      <c r="MF299" s="73"/>
      <c r="MG299" s="73"/>
      <c r="MH299" s="73"/>
      <c r="MI299" s="73"/>
      <c r="MJ299" s="73"/>
      <c r="MK299" s="73"/>
      <c r="ML299" s="73"/>
      <c r="MM299" s="73"/>
      <c r="MN299" s="73"/>
      <c r="MO299" s="73"/>
      <c r="MP299" s="73"/>
      <c r="MQ299" s="73"/>
      <c r="MR299" s="73"/>
      <c r="MS299" s="73"/>
      <c r="MT299" s="73"/>
      <c r="MU299" s="73"/>
      <c r="MV299" s="73"/>
      <c r="MW299" s="73"/>
      <c r="MX299" s="73"/>
      <c r="MY299" s="73"/>
      <c r="MZ299" s="73"/>
      <c r="NA299" s="73"/>
      <c r="NB299" s="73"/>
      <c r="NC299" s="73"/>
      <c r="ND299" s="73"/>
      <c r="NE299" s="73"/>
      <c r="NF299" s="73"/>
      <c r="NG299" s="73"/>
      <c r="NH299" s="73"/>
      <c r="NI299" s="73"/>
      <c r="NJ299" s="73"/>
      <c r="NK299" s="73"/>
      <c r="NL299" s="73"/>
      <c r="NM299" s="73"/>
      <c r="NN299" s="73"/>
      <c r="NO299" s="73"/>
      <c r="NP299" s="73"/>
      <c r="NQ299" s="73"/>
      <c r="NR299" s="73"/>
      <c r="NS299" s="73"/>
      <c r="NT299" s="73"/>
      <c r="NU299" s="73"/>
      <c r="NV299" s="73"/>
      <c r="NW299" s="73"/>
      <c r="NX299" s="73"/>
      <c r="NY299" s="73"/>
      <c r="NZ299" s="73"/>
      <c r="OA299" s="73"/>
      <c r="OB299" s="73"/>
      <c r="OC299" s="73"/>
      <c r="OD299" s="73"/>
      <c r="OE299" s="73"/>
      <c r="OF299" s="73"/>
      <c r="OG299" s="73"/>
      <c r="OH299" s="73"/>
      <c r="OI299" s="73"/>
      <c r="OJ299" s="73"/>
      <c r="OK299" s="73"/>
      <c r="OL299" s="73"/>
      <c r="OM299" s="73"/>
      <c r="ON299" s="73"/>
      <c r="OO299" s="73"/>
      <c r="OP299" s="73"/>
      <c r="OQ299" s="73"/>
      <c r="OR299" s="73"/>
      <c r="OS299" s="73"/>
      <c r="OT299" s="73"/>
      <c r="OU299" s="73"/>
      <c r="OV299" s="73"/>
      <c r="OW299" s="73"/>
      <c r="OX299" s="73"/>
      <c r="OY299" s="73"/>
      <c r="OZ299" s="73"/>
      <c r="PA299" s="73"/>
      <c r="PB299" s="73"/>
      <c r="PC299" s="73"/>
      <c r="PD299" s="73"/>
      <c r="PE299" s="73"/>
      <c r="PF299" s="73"/>
      <c r="PG299" s="73"/>
      <c r="PH299" s="73"/>
      <c r="PI299" s="73"/>
      <c r="PJ299" s="73"/>
      <c r="PK299" s="73"/>
      <c r="PL299" s="73"/>
      <c r="PM299" s="73"/>
      <c r="PN299" s="73"/>
      <c r="PO299" s="73"/>
      <c r="PP299" s="73"/>
      <c r="PQ299" s="73"/>
      <c r="PR299" s="73"/>
      <c r="PS299" s="73"/>
      <c r="PT299" s="73"/>
      <c r="PU299" s="73"/>
      <c r="PV299" s="73"/>
      <c r="PW299" s="73"/>
      <c r="PX299" s="73"/>
      <c r="PY299" s="73"/>
      <c r="PZ299" s="73"/>
      <c r="QA299" s="73"/>
      <c r="QB299" s="73"/>
      <c r="QC299" s="73"/>
      <c r="QD299" s="73"/>
      <c r="QE299" s="73"/>
      <c r="QF299" s="73"/>
      <c r="QG299" s="73"/>
      <c r="QH299" s="73"/>
      <c r="QI299" s="73"/>
      <c r="QJ299" s="73"/>
      <c r="QK299" s="73"/>
      <c r="QL299" s="73"/>
      <c r="QM299" s="73"/>
      <c r="QN299" s="73"/>
      <c r="QO299" s="73"/>
      <c r="QP299" s="73"/>
      <c r="QQ299" s="73"/>
      <c r="QR299" s="73"/>
      <c r="QS299" s="73"/>
      <c r="QT299" s="73"/>
      <c r="QU299" s="73"/>
      <c r="QV299" s="73"/>
      <c r="QW299" s="73"/>
      <c r="QX299" s="73"/>
      <c r="QY299" s="73"/>
      <c r="QZ299" s="73"/>
      <c r="RA299" s="73"/>
      <c r="RB299" s="73"/>
      <c r="RC299" s="73"/>
      <c r="RD299" s="73"/>
      <c r="RE299" s="73"/>
      <c r="RF299" s="73"/>
      <c r="RG299" s="73"/>
      <c r="RH299" s="73"/>
      <c r="RI299" s="73"/>
      <c r="RJ299" s="73"/>
      <c r="RK299" s="73"/>
      <c r="RL299" s="73"/>
      <c r="RM299" s="73"/>
      <c r="RN299" s="73"/>
      <c r="RO299" s="73"/>
      <c r="RP299" s="73"/>
      <c r="RQ299" s="73"/>
      <c r="RR299" s="73"/>
      <c r="RS299" s="73"/>
      <c r="RT299" s="73"/>
      <c r="RU299" s="73"/>
      <c r="RV299" s="73"/>
      <c r="RW299" s="73"/>
      <c r="RX299" s="73"/>
      <c r="RY299" s="73"/>
      <c r="RZ299" s="73"/>
      <c r="SA299" s="73"/>
      <c r="SB299" s="73"/>
      <c r="SC299" s="73"/>
      <c r="SD299" s="73"/>
      <c r="SE299" s="73"/>
      <c r="SF299" s="73"/>
      <c r="SG299" s="73"/>
      <c r="SH299" s="73"/>
      <c r="SI299" s="73"/>
      <c r="SJ299" s="73"/>
      <c r="SK299" s="73"/>
      <c r="SL299" s="73"/>
      <c r="SM299" s="73"/>
      <c r="SN299" s="73"/>
      <c r="SO299" s="73"/>
      <c r="SP299" s="73"/>
      <c r="SQ299" s="73"/>
      <c r="SR299" s="73"/>
      <c r="SS299" s="73"/>
      <c r="ST299" s="73"/>
      <c r="SU299" s="73"/>
      <c r="SV299" s="73"/>
      <c r="SW299" s="73"/>
      <c r="SX299" s="73"/>
      <c r="SY299" s="73"/>
      <c r="SZ299" s="73"/>
      <c r="TA299" s="73"/>
      <c r="TB299" s="73"/>
      <c r="TC299" s="73"/>
      <c r="TD299" s="73"/>
      <c r="TE299" s="73"/>
      <c r="TF299" s="73"/>
      <c r="TG299" s="73"/>
      <c r="TH299" s="73"/>
      <c r="TI299" s="73"/>
      <c r="TJ299" s="73"/>
      <c r="TK299" s="73"/>
      <c r="TL299" s="73"/>
      <c r="TM299" s="73"/>
      <c r="TN299" s="73"/>
      <c r="TO299" s="73"/>
      <c r="TP299" s="73"/>
      <c r="TQ299" s="73"/>
      <c r="TR299" s="73"/>
      <c r="TS299" s="73"/>
      <c r="TT299" s="73"/>
      <c r="TU299" s="73"/>
      <c r="TV299" s="73"/>
      <c r="TW299" s="73"/>
      <c r="TX299" s="73"/>
      <c r="TY299" s="73"/>
      <c r="TZ299" s="73"/>
      <c r="UA299" s="73"/>
      <c r="UB299" s="73"/>
      <c r="UC299" s="73"/>
      <c r="UD299" s="73"/>
      <c r="UE299" s="73"/>
      <c r="UF299" s="73"/>
      <c r="UG299" s="73"/>
      <c r="UH299" s="73"/>
      <c r="UI299" s="73"/>
      <c r="UJ299" s="73"/>
      <c r="UK299" s="73"/>
      <c r="UL299" s="73"/>
      <c r="UM299" s="73"/>
      <c r="UN299" s="73"/>
      <c r="UO299" s="73"/>
      <c r="UP299" s="73"/>
      <c r="UQ299" s="73"/>
      <c r="UR299" s="73"/>
      <c r="US299" s="73"/>
      <c r="UT299" s="73"/>
      <c r="UU299" s="73"/>
      <c r="UV299" s="73"/>
      <c r="UW299" s="73"/>
      <c r="UX299" s="73"/>
      <c r="UY299" s="73"/>
      <c r="UZ299" s="73"/>
      <c r="VA299" s="73"/>
      <c r="VB299" s="73"/>
      <c r="VC299" s="73"/>
      <c r="VD299" s="73"/>
      <c r="VE299" s="73"/>
      <c r="VF299" s="73"/>
    </row>
    <row r="300" spans="1:578" s="57" customFormat="1" ht="15.75" customHeight="1" x14ac:dyDescent="0.2">
      <c r="A300" s="55"/>
      <c r="B300" s="99"/>
      <c r="C300" s="55"/>
      <c r="D300" s="56" t="s">
        <v>344</v>
      </c>
      <c r="E300" s="79">
        <v>1152992316</v>
      </c>
      <c r="F300" s="79">
        <f t="shared" ref="F300:Q300" si="111">F55+F84+F118+F189+F197+F208+F240+F288</f>
        <v>256919167</v>
      </c>
      <c r="G300" s="79">
        <f t="shared" si="111"/>
        <v>0</v>
      </c>
      <c r="H300" s="79">
        <f>H55+H84+H118+H189+H197+H208+H240+H288</f>
        <v>316436947.69</v>
      </c>
      <c r="I300" s="79">
        <f>I55+I84+I118+I189+I197+I208+I240+I288</f>
        <v>58821450.240000002</v>
      </c>
      <c r="J300" s="79">
        <f>J55+J84+J118+J189+J197+J208+J240+J288</f>
        <v>0</v>
      </c>
      <c r="K300" s="129">
        <f t="shared" si="94"/>
        <v>27.444844453759572</v>
      </c>
      <c r="L300" s="79">
        <f t="shared" si="111"/>
        <v>43321759.670000002</v>
      </c>
      <c r="M300" s="79">
        <f t="shared" ref="M300" si="112">M55+M84+M118+M189+M197+M208+M240+M288</f>
        <v>43321759.670000002</v>
      </c>
      <c r="N300" s="79">
        <f t="shared" si="111"/>
        <v>0</v>
      </c>
      <c r="O300" s="79">
        <f t="shared" si="111"/>
        <v>0</v>
      </c>
      <c r="P300" s="79">
        <f t="shared" si="111"/>
        <v>0</v>
      </c>
      <c r="Q300" s="79">
        <f t="shared" si="111"/>
        <v>43321759.670000002</v>
      </c>
      <c r="R300" s="79">
        <f t="shared" ref="R300:W300" si="113">R55+R84+R118+R189+R197+R208+R240+R288</f>
        <v>4990468.8599999994</v>
      </c>
      <c r="S300" s="79">
        <f t="shared" ref="S300" si="114">S55+S84+S118+S189+S197+S208+S240+S288</f>
        <v>4990468.8599999994</v>
      </c>
      <c r="T300" s="79">
        <f t="shared" si="113"/>
        <v>0</v>
      </c>
      <c r="U300" s="79">
        <f t="shared" si="113"/>
        <v>0</v>
      </c>
      <c r="V300" s="79">
        <f t="shared" si="113"/>
        <v>0</v>
      </c>
      <c r="W300" s="79">
        <f t="shared" si="113"/>
        <v>4990468.8599999994</v>
      </c>
      <c r="X300" s="131">
        <f t="shared" si="91"/>
        <v>11.519543291903405</v>
      </c>
      <c r="Y300" s="79">
        <f t="shared" si="92"/>
        <v>321427416.55000001</v>
      </c>
      <c r="Z300" s="202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  <c r="GX300" s="73"/>
      <c r="GY300" s="73"/>
      <c r="GZ300" s="73"/>
      <c r="HA300" s="73"/>
      <c r="HB300" s="73"/>
      <c r="HC300" s="73"/>
      <c r="HD300" s="73"/>
      <c r="HE300" s="73"/>
      <c r="HF300" s="73"/>
      <c r="HG300" s="73"/>
      <c r="HH300" s="73"/>
      <c r="HI300" s="73"/>
      <c r="HJ300" s="73"/>
      <c r="HK300" s="73"/>
      <c r="HL300" s="73"/>
      <c r="HM300" s="73"/>
      <c r="HN300" s="73"/>
      <c r="HO300" s="73"/>
      <c r="HP300" s="73"/>
      <c r="HQ300" s="73"/>
      <c r="HR300" s="73"/>
      <c r="HS300" s="73"/>
      <c r="HT300" s="73"/>
      <c r="HU300" s="73"/>
      <c r="HV300" s="73"/>
      <c r="HW300" s="73"/>
      <c r="HX300" s="73"/>
      <c r="HY300" s="73"/>
      <c r="HZ300" s="73"/>
      <c r="IA300" s="73"/>
      <c r="IB300" s="73"/>
      <c r="IC300" s="73"/>
      <c r="ID300" s="73"/>
      <c r="IE300" s="73"/>
      <c r="IF300" s="73"/>
      <c r="IG300" s="73"/>
      <c r="IH300" s="73"/>
      <c r="II300" s="73"/>
      <c r="IJ300" s="73"/>
      <c r="IK300" s="73"/>
      <c r="IL300" s="73"/>
      <c r="IM300" s="73"/>
      <c r="IN300" s="73"/>
      <c r="IO300" s="73"/>
      <c r="IP300" s="73"/>
      <c r="IQ300" s="73"/>
      <c r="IR300" s="73"/>
      <c r="IS300" s="73"/>
      <c r="IT300" s="73"/>
      <c r="IU300" s="73"/>
      <c r="IV300" s="73"/>
      <c r="IW300" s="73"/>
      <c r="IX300" s="73"/>
      <c r="IY300" s="73"/>
      <c r="IZ300" s="73"/>
      <c r="JA300" s="73"/>
      <c r="JB300" s="73"/>
      <c r="JC300" s="73"/>
      <c r="JD300" s="73"/>
      <c r="JE300" s="73"/>
      <c r="JF300" s="73"/>
      <c r="JG300" s="73"/>
      <c r="JH300" s="73"/>
      <c r="JI300" s="73"/>
      <c r="JJ300" s="73"/>
      <c r="JK300" s="73"/>
      <c r="JL300" s="73"/>
      <c r="JM300" s="73"/>
      <c r="JN300" s="73"/>
      <c r="JO300" s="73"/>
      <c r="JP300" s="73"/>
      <c r="JQ300" s="73"/>
      <c r="JR300" s="73"/>
      <c r="JS300" s="73"/>
      <c r="JT300" s="73"/>
      <c r="JU300" s="73"/>
      <c r="JV300" s="73"/>
      <c r="JW300" s="73"/>
      <c r="JX300" s="73"/>
      <c r="JY300" s="73"/>
      <c r="JZ300" s="73"/>
      <c r="KA300" s="73"/>
      <c r="KB300" s="73"/>
      <c r="KC300" s="73"/>
      <c r="KD300" s="73"/>
      <c r="KE300" s="73"/>
      <c r="KF300" s="73"/>
      <c r="KG300" s="73"/>
      <c r="KH300" s="73"/>
      <c r="KI300" s="73"/>
      <c r="KJ300" s="73"/>
      <c r="KK300" s="73"/>
      <c r="KL300" s="73"/>
      <c r="KM300" s="73"/>
      <c r="KN300" s="73"/>
      <c r="KO300" s="73"/>
      <c r="KP300" s="73"/>
      <c r="KQ300" s="73"/>
      <c r="KR300" s="73"/>
      <c r="KS300" s="73"/>
      <c r="KT300" s="73"/>
      <c r="KU300" s="73"/>
      <c r="KV300" s="73"/>
      <c r="KW300" s="73"/>
      <c r="KX300" s="73"/>
      <c r="KY300" s="73"/>
      <c r="KZ300" s="73"/>
      <c r="LA300" s="73"/>
      <c r="LB300" s="73"/>
      <c r="LC300" s="73"/>
      <c r="LD300" s="73"/>
      <c r="LE300" s="73"/>
      <c r="LF300" s="73"/>
      <c r="LG300" s="73"/>
      <c r="LH300" s="73"/>
      <c r="LI300" s="73"/>
      <c r="LJ300" s="73"/>
      <c r="LK300" s="73"/>
      <c r="LL300" s="73"/>
      <c r="LM300" s="73"/>
      <c r="LN300" s="73"/>
      <c r="LO300" s="73"/>
      <c r="LP300" s="73"/>
      <c r="LQ300" s="73"/>
      <c r="LR300" s="73"/>
      <c r="LS300" s="73"/>
      <c r="LT300" s="73"/>
      <c r="LU300" s="73"/>
      <c r="LV300" s="73"/>
      <c r="LW300" s="73"/>
      <c r="LX300" s="73"/>
      <c r="LY300" s="73"/>
      <c r="LZ300" s="73"/>
      <c r="MA300" s="73"/>
      <c r="MB300" s="73"/>
      <c r="MC300" s="73"/>
      <c r="MD300" s="73"/>
      <c r="ME300" s="73"/>
      <c r="MF300" s="73"/>
      <c r="MG300" s="73"/>
      <c r="MH300" s="73"/>
      <c r="MI300" s="73"/>
      <c r="MJ300" s="73"/>
      <c r="MK300" s="73"/>
      <c r="ML300" s="73"/>
      <c r="MM300" s="73"/>
      <c r="MN300" s="73"/>
      <c r="MO300" s="73"/>
      <c r="MP300" s="73"/>
      <c r="MQ300" s="73"/>
      <c r="MR300" s="73"/>
      <c r="MS300" s="73"/>
      <c r="MT300" s="73"/>
      <c r="MU300" s="73"/>
      <c r="MV300" s="73"/>
      <c r="MW300" s="73"/>
      <c r="MX300" s="73"/>
      <c r="MY300" s="73"/>
      <c r="MZ300" s="73"/>
      <c r="NA300" s="73"/>
      <c r="NB300" s="73"/>
      <c r="NC300" s="73"/>
      <c r="ND300" s="73"/>
      <c r="NE300" s="73"/>
      <c r="NF300" s="73"/>
      <c r="NG300" s="73"/>
      <c r="NH300" s="73"/>
      <c r="NI300" s="73"/>
      <c r="NJ300" s="73"/>
      <c r="NK300" s="73"/>
      <c r="NL300" s="73"/>
      <c r="NM300" s="73"/>
      <c r="NN300" s="73"/>
      <c r="NO300" s="73"/>
      <c r="NP300" s="73"/>
      <c r="NQ300" s="73"/>
      <c r="NR300" s="73"/>
      <c r="NS300" s="73"/>
      <c r="NT300" s="73"/>
      <c r="NU300" s="73"/>
      <c r="NV300" s="73"/>
      <c r="NW300" s="73"/>
      <c r="NX300" s="73"/>
      <c r="NY300" s="73"/>
      <c r="NZ300" s="73"/>
      <c r="OA300" s="73"/>
      <c r="OB300" s="73"/>
      <c r="OC300" s="73"/>
      <c r="OD300" s="73"/>
      <c r="OE300" s="73"/>
      <c r="OF300" s="73"/>
      <c r="OG300" s="73"/>
      <c r="OH300" s="73"/>
      <c r="OI300" s="73"/>
      <c r="OJ300" s="73"/>
      <c r="OK300" s="73"/>
      <c r="OL300" s="73"/>
      <c r="OM300" s="73"/>
      <c r="ON300" s="73"/>
      <c r="OO300" s="73"/>
      <c r="OP300" s="73"/>
      <c r="OQ300" s="73"/>
      <c r="OR300" s="73"/>
      <c r="OS300" s="73"/>
      <c r="OT300" s="73"/>
      <c r="OU300" s="73"/>
      <c r="OV300" s="73"/>
      <c r="OW300" s="73"/>
      <c r="OX300" s="73"/>
      <c r="OY300" s="73"/>
      <c r="OZ300" s="73"/>
      <c r="PA300" s="73"/>
      <c r="PB300" s="73"/>
      <c r="PC300" s="73"/>
      <c r="PD300" s="73"/>
      <c r="PE300" s="73"/>
      <c r="PF300" s="73"/>
      <c r="PG300" s="73"/>
      <c r="PH300" s="73"/>
      <c r="PI300" s="73"/>
      <c r="PJ300" s="73"/>
      <c r="PK300" s="73"/>
      <c r="PL300" s="73"/>
      <c r="PM300" s="73"/>
      <c r="PN300" s="73"/>
      <c r="PO300" s="73"/>
      <c r="PP300" s="73"/>
      <c r="PQ300" s="73"/>
      <c r="PR300" s="73"/>
      <c r="PS300" s="73"/>
      <c r="PT300" s="73"/>
      <c r="PU300" s="73"/>
      <c r="PV300" s="73"/>
      <c r="PW300" s="73"/>
      <c r="PX300" s="73"/>
      <c r="PY300" s="73"/>
      <c r="PZ300" s="73"/>
      <c r="QA300" s="73"/>
      <c r="QB300" s="73"/>
      <c r="QC300" s="73"/>
      <c r="QD300" s="73"/>
      <c r="QE300" s="73"/>
      <c r="QF300" s="73"/>
      <c r="QG300" s="73"/>
      <c r="QH300" s="73"/>
      <c r="QI300" s="73"/>
      <c r="QJ300" s="73"/>
      <c r="QK300" s="73"/>
      <c r="QL300" s="73"/>
      <c r="QM300" s="73"/>
      <c r="QN300" s="73"/>
      <c r="QO300" s="73"/>
      <c r="QP300" s="73"/>
      <c r="QQ300" s="73"/>
      <c r="QR300" s="73"/>
      <c r="QS300" s="73"/>
      <c r="QT300" s="73"/>
      <c r="QU300" s="73"/>
      <c r="QV300" s="73"/>
      <c r="QW300" s="73"/>
      <c r="QX300" s="73"/>
      <c r="QY300" s="73"/>
      <c r="QZ300" s="73"/>
      <c r="RA300" s="73"/>
      <c r="RB300" s="73"/>
      <c r="RC300" s="73"/>
      <c r="RD300" s="73"/>
      <c r="RE300" s="73"/>
      <c r="RF300" s="73"/>
      <c r="RG300" s="73"/>
      <c r="RH300" s="73"/>
      <c r="RI300" s="73"/>
      <c r="RJ300" s="73"/>
      <c r="RK300" s="73"/>
      <c r="RL300" s="73"/>
      <c r="RM300" s="73"/>
      <c r="RN300" s="73"/>
      <c r="RO300" s="73"/>
      <c r="RP300" s="73"/>
      <c r="RQ300" s="73"/>
      <c r="RR300" s="73"/>
      <c r="RS300" s="73"/>
      <c r="RT300" s="73"/>
      <c r="RU300" s="73"/>
      <c r="RV300" s="73"/>
      <c r="RW300" s="73"/>
      <c r="RX300" s="73"/>
      <c r="RY300" s="73"/>
      <c r="RZ300" s="73"/>
      <c r="SA300" s="73"/>
      <c r="SB300" s="73"/>
      <c r="SC300" s="73"/>
      <c r="SD300" s="73"/>
      <c r="SE300" s="73"/>
      <c r="SF300" s="73"/>
      <c r="SG300" s="73"/>
      <c r="SH300" s="73"/>
      <c r="SI300" s="73"/>
      <c r="SJ300" s="73"/>
      <c r="SK300" s="73"/>
      <c r="SL300" s="73"/>
      <c r="SM300" s="73"/>
      <c r="SN300" s="73"/>
      <c r="SO300" s="73"/>
      <c r="SP300" s="73"/>
      <c r="SQ300" s="73"/>
      <c r="SR300" s="73"/>
      <c r="SS300" s="73"/>
      <c r="ST300" s="73"/>
      <c r="SU300" s="73"/>
      <c r="SV300" s="73"/>
      <c r="SW300" s="73"/>
      <c r="SX300" s="73"/>
      <c r="SY300" s="73"/>
      <c r="SZ300" s="73"/>
      <c r="TA300" s="73"/>
      <c r="TB300" s="73"/>
      <c r="TC300" s="73"/>
      <c r="TD300" s="73"/>
      <c r="TE300" s="73"/>
      <c r="TF300" s="73"/>
      <c r="TG300" s="73"/>
      <c r="TH300" s="73"/>
      <c r="TI300" s="73"/>
      <c r="TJ300" s="73"/>
      <c r="TK300" s="73"/>
      <c r="TL300" s="73"/>
      <c r="TM300" s="73"/>
      <c r="TN300" s="73"/>
      <c r="TO300" s="73"/>
      <c r="TP300" s="73"/>
      <c r="TQ300" s="73"/>
      <c r="TR300" s="73"/>
      <c r="TS300" s="73"/>
      <c r="TT300" s="73"/>
      <c r="TU300" s="73"/>
      <c r="TV300" s="73"/>
      <c r="TW300" s="73"/>
      <c r="TX300" s="73"/>
      <c r="TY300" s="73"/>
      <c r="TZ300" s="73"/>
      <c r="UA300" s="73"/>
      <c r="UB300" s="73"/>
      <c r="UC300" s="73"/>
      <c r="UD300" s="73"/>
      <c r="UE300" s="73"/>
      <c r="UF300" s="73"/>
      <c r="UG300" s="73"/>
      <c r="UH300" s="73"/>
      <c r="UI300" s="73"/>
      <c r="UJ300" s="73"/>
      <c r="UK300" s="73"/>
      <c r="UL300" s="73"/>
      <c r="UM300" s="73"/>
      <c r="UN300" s="73"/>
      <c r="UO300" s="73"/>
      <c r="UP300" s="73"/>
      <c r="UQ300" s="73"/>
      <c r="UR300" s="73"/>
      <c r="US300" s="73"/>
      <c r="UT300" s="73"/>
      <c r="UU300" s="73"/>
      <c r="UV300" s="73"/>
      <c r="UW300" s="73"/>
      <c r="UX300" s="73"/>
      <c r="UY300" s="73"/>
      <c r="UZ300" s="73"/>
      <c r="VA300" s="73"/>
      <c r="VB300" s="73"/>
      <c r="VC300" s="73"/>
      <c r="VD300" s="73"/>
      <c r="VE300" s="73"/>
      <c r="VF300" s="73"/>
    </row>
    <row r="301" spans="1:578" ht="38.25" customHeight="1" x14ac:dyDescent="0.25">
      <c r="D301" s="68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Z301" s="202"/>
    </row>
    <row r="302" spans="1:578" ht="34.5" customHeight="1" x14ac:dyDescent="0.45">
      <c r="A302" s="171" t="s">
        <v>599</v>
      </c>
      <c r="B302" s="172"/>
      <c r="C302" s="171"/>
      <c r="D302" s="172"/>
      <c r="E302" s="172"/>
      <c r="F302" s="172"/>
      <c r="G302" s="173"/>
      <c r="H302" s="172"/>
      <c r="I302" s="174"/>
      <c r="J302" s="175"/>
      <c r="K302" s="175"/>
      <c r="L302" s="175"/>
      <c r="M302" s="175"/>
      <c r="N302" s="175"/>
      <c r="O302" s="175"/>
      <c r="P302" s="175"/>
      <c r="Q302" s="175"/>
      <c r="R302" s="176"/>
      <c r="S302" s="175"/>
      <c r="T302" s="174"/>
      <c r="U302" s="172" t="s">
        <v>600</v>
      </c>
      <c r="V302" s="177"/>
      <c r="W302" s="178"/>
      <c r="Z302" s="202"/>
    </row>
    <row r="303" spans="1:578" ht="19.5" customHeight="1" x14ac:dyDescent="0.3">
      <c r="A303" s="159"/>
      <c r="B303" s="160"/>
      <c r="C303" s="160"/>
      <c r="D303" s="160"/>
      <c r="E303" s="160"/>
      <c r="F303" s="160"/>
      <c r="G303" s="160"/>
      <c r="H303" s="160"/>
      <c r="I303" s="161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161"/>
      <c r="U303" s="158"/>
      <c r="V303" s="145"/>
      <c r="W303" s="148"/>
      <c r="Z303" s="202"/>
    </row>
    <row r="304" spans="1:578" s="188" customFormat="1" ht="28.5" customHeight="1" x14ac:dyDescent="0.4">
      <c r="A304" s="181" t="s">
        <v>601</v>
      </c>
      <c r="B304" s="181"/>
      <c r="C304" s="181"/>
      <c r="D304" s="181"/>
      <c r="E304" s="181"/>
      <c r="F304" s="181"/>
      <c r="G304" s="181"/>
      <c r="H304" s="181"/>
      <c r="I304" s="182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2"/>
      <c r="U304" s="184"/>
      <c r="V304" s="185"/>
      <c r="W304" s="186"/>
      <c r="X304" s="185"/>
      <c r="Y304" s="187"/>
      <c r="Z304" s="202"/>
    </row>
    <row r="305" spans="1:26" s="69" customFormat="1" ht="31.5" x14ac:dyDescent="0.35">
      <c r="A305" s="169"/>
      <c r="B305" s="170"/>
      <c r="C305" s="160"/>
      <c r="D305" s="160"/>
      <c r="E305" s="160"/>
      <c r="F305" s="160"/>
      <c r="G305" s="160"/>
      <c r="H305" s="160"/>
      <c r="I305" s="166"/>
      <c r="J305" s="167"/>
      <c r="K305" s="167"/>
      <c r="L305" s="167"/>
      <c r="M305" s="167"/>
      <c r="N305" s="167"/>
      <c r="O305" s="168"/>
      <c r="P305" s="192"/>
      <c r="Q305" s="192"/>
      <c r="R305" s="192"/>
      <c r="S305" s="192"/>
      <c r="T305" s="192"/>
      <c r="U305" s="165"/>
      <c r="V305" s="113"/>
      <c r="W305" s="117"/>
      <c r="X305" s="111"/>
      <c r="Y305" s="111"/>
      <c r="Z305" s="202"/>
    </row>
    <row r="306" spans="1:26" s="69" customFormat="1" x14ac:dyDescent="0.25">
      <c r="A306" s="81"/>
      <c r="B306" s="81"/>
      <c r="C306" s="81"/>
      <c r="D306" s="82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111"/>
      <c r="S306" s="111"/>
      <c r="T306" s="111"/>
      <c r="U306" s="111"/>
      <c r="V306" s="111"/>
      <c r="W306" s="111"/>
      <c r="X306" s="111"/>
      <c r="Y306" s="111"/>
      <c r="Z306" s="202"/>
    </row>
    <row r="307" spans="1:26" s="69" customFormat="1" x14ac:dyDescent="0.25">
      <c r="A307" s="81"/>
      <c r="B307" s="81"/>
      <c r="C307" s="81"/>
      <c r="D307" s="82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111"/>
      <c r="S307" s="111"/>
      <c r="T307" s="111"/>
      <c r="U307" s="111"/>
      <c r="V307" s="111"/>
      <c r="W307" s="111"/>
      <c r="X307" s="111"/>
      <c r="Y307" s="111"/>
      <c r="Z307" s="202"/>
    </row>
    <row r="308" spans="1:26" s="69" customFormat="1" x14ac:dyDescent="0.25">
      <c r="A308" s="81"/>
      <c r="B308" s="81"/>
      <c r="C308" s="81"/>
      <c r="D308" s="82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111"/>
      <c r="S308" s="111"/>
      <c r="T308" s="111"/>
      <c r="U308" s="111"/>
      <c r="V308" s="111"/>
      <c r="W308" s="111"/>
      <c r="X308" s="111"/>
      <c r="Y308" s="111"/>
      <c r="Z308" s="202"/>
    </row>
    <row r="309" spans="1:26" s="69" customFormat="1" x14ac:dyDescent="0.25">
      <c r="A309" s="81"/>
      <c r="B309" s="81"/>
      <c r="C309" s="81"/>
      <c r="D309" s="82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111"/>
      <c r="S309" s="111"/>
      <c r="T309" s="111"/>
      <c r="U309" s="111"/>
      <c r="V309" s="111"/>
      <c r="W309" s="111"/>
      <c r="X309" s="111"/>
      <c r="Y309" s="111"/>
      <c r="Z309" s="149"/>
    </row>
    <row r="310" spans="1:26" s="69" customFormat="1" x14ac:dyDescent="0.25">
      <c r="A310" s="81"/>
      <c r="B310" s="81"/>
      <c r="C310" s="81"/>
      <c r="D310" s="82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111"/>
      <c r="S310" s="111"/>
      <c r="T310" s="111"/>
      <c r="U310" s="111"/>
      <c r="V310" s="111"/>
      <c r="W310" s="111"/>
      <c r="X310" s="111"/>
      <c r="Y310" s="111"/>
      <c r="Z310" s="149"/>
    </row>
    <row r="311" spans="1:26" s="69" customFormat="1" x14ac:dyDescent="0.25">
      <c r="A311" s="81"/>
      <c r="B311" s="81"/>
      <c r="C311" s="81"/>
      <c r="D311" s="82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111"/>
      <c r="S311" s="111"/>
      <c r="T311" s="111"/>
      <c r="U311" s="111"/>
      <c r="V311" s="111"/>
      <c r="W311" s="111"/>
      <c r="X311" s="111"/>
      <c r="Y311" s="111"/>
      <c r="Z311" s="149"/>
    </row>
    <row r="312" spans="1:26" s="69" customFormat="1" x14ac:dyDescent="0.25">
      <c r="A312" s="81"/>
      <c r="B312" s="81"/>
      <c r="C312" s="81"/>
      <c r="D312" s="82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111"/>
      <c r="S312" s="111"/>
      <c r="T312" s="111"/>
      <c r="U312" s="111"/>
      <c r="V312" s="111"/>
      <c r="W312" s="111"/>
      <c r="X312" s="111"/>
      <c r="Y312" s="111"/>
      <c r="Z312" s="149"/>
    </row>
    <row r="313" spans="1:26" s="69" customFormat="1" x14ac:dyDescent="0.25">
      <c r="A313" s="81"/>
      <c r="B313" s="81"/>
      <c r="C313" s="81"/>
      <c r="D313" s="82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111"/>
      <c r="S313" s="111"/>
      <c r="T313" s="111"/>
      <c r="U313" s="111"/>
      <c r="V313" s="111"/>
      <c r="W313" s="111"/>
      <c r="X313" s="111"/>
      <c r="Y313" s="111"/>
      <c r="Z313" s="149"/>
    </row>
    <row r="314" spans="1:26" s="69" customFormat="1" x14ac:dyDescent="0.25">
      <c r="A314" s="81"/>
      <c r="B314" s="81"/>
      <c r="C314" s="81"/>
      <c r="D314" s="82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111"/>
      <c r="S314" s="111"/>
      <c r="T314" s="111"/>
      <c r="U314" s="111"/>
      <c r="V314" s="111"/>
      <c r="W314" s="111"/>
      <c r="X314" s="111"/>
      <c r="Y314" s="111"/>
      <c r="Z314" s="149"/>
    </row>
    <row r="315" spans="1:26" s="69" customFormat="1" x14ac:dyDescent="0.25">
      <c r="A315" s="81"/>
      <c r="B315" s="81"/>
      <c r="C315" s="81"/>
      <c r="D315" s="82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111"/>
      <c r="S315" s="111"/>
      <c r="T315" s="111"/>
      <c r="U315" s="111"/>
      <c r="V315" s="111"/>
      <c r="W315" s="111"/>
      <c r="X315" s="111"/>
      <c r="Y315" s="111"/>
      <c r="Z315" s="149"/>
    </row>
    <row r="316" spans="1:26" s="69" customFormat="1" x14ac:dyDescent="0.25">
      <c r="A316" s="81"/>
      <c r="B316" s="81"/>
      <c r="C316" s="81"/>
      <c r="D316" s="82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111"/>
      <c r="S316" s="111"/>
      <c r="T316" s="111"/>
      <c r="U316" s="111"/>
      <c r="V316" s="111"/>
      <c r="W316" s="111"/>
      <c r="X316" s="111"/>
      <c r="Y316" s="111"/>
      <c r="Z316" s="149"/>
    </row>
    <row r="317" spans="1:26" s="69" customFormat="1" x14ac:dyDescent="0.25">
      <c r="A317" s="81"/>
      <c r="B317" s="81"/>
      <c r="C317" s="81"/>
      <c r="D317" s="82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111"/>
      <c r="S317" s="111"/>
      <c r="T317" s="111"/>
      <c r="U317" s="111"/>
      <c r="V317" s="111"/>
      <c r="W317" s="111"/>
      <c r="X317" s="111"/>
      <c r="Y317" s="111"/>
      <c r="Z317" s="149"/>
    </row>
    <row r="318" spans="1:26" s="69" customFormat="1" x14ac:dyDescent="0.25">
      <c r="A318" s="81"/>
      <c r="B318" s="81"/>
      <c r="C318" s="81"/>
      <c r="D318" s="82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111"/>
      <c r="S318" s="111"/>
      <c r="T318" s="111"/>
      <c r="U318" s="111"/>
      <c r="V318" s="111"/>
      <c r="W318" s="111"/>
      <c r="X318" s="111"/>
      <c r="Y318" s="111"/>
      <c r="Z318" s="149"/>
    </row>
    <row r="319" spans="1:26" s="69" customFormat="1" x14ac:dyDescent="0.25">
      <c r="A319" s="81"/>
      <c r="B319" s="81"/>
      <c r="C319" s="81"/>
      <c r="D319" s="82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111"/>
      <c r="S319" s="111"/>
      <c r="T319" s="111"/>
      <c r="U319" s="111"/>
      <c r="V319" s="111"/>
      <c r="W319" s="111"/>
      <c r="X319" s="111"/>
      <c r="Y319" s="111"/>
      <c r="Z319" s="149"/>
    </row>
    <row r="320" spans="1:26" s="69" customFormat="1" x14ac:dyDescent="0.25">
      <c r="A320" s="81"/>
      <c r="B320" s="81"/>
      <c r="C320" s="81"/>
      <c r="D320" s="82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111"/>
      <c r="S320" s="111"/>
      <c r="T320" s="111"/>
      <c r="U320" s="111"/>
      <c r="V320" s="111"/>
      <c r="W320" s="111"/>
      <c r="X320" s="111"/>
      <c r="Y320" s="111"/>
      <c r="Z320" s="149"/>
    </row>
    <row r="321" spans="1:26" s="69" customFormat="1" x14ac:dyDescent="0.25">
      <c r="A321" s="81"/>
      <c r="B321" s="81"/>
      <c r="C321" s="81"/>
      <c r="D321" s="82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111"/>
      <c r="S321" s="111"/>
      <c r="T321" s="111"/>
      <c r="U321" s="111"/>
      <c r="V321" s="111"/>
      <c r="W321" s="111"/>
      <c r="X321" s="111"/>
      <c r="Y321" s="111"/>
      <c r="Z321" s="149"/>
    </row>
    <row r="322" spans="1:26" s="69" customFormat="1" x14ac:dyDescent="0.25">
      <c r="A322" s="81"/>
      <c r="B322" s="81"/>
      <c r="C322" s="81"/>
      <c r="D322" s="82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111"/>
      <c r="S322" s="111"/>
      <c r="T322" s="111"/>
      <c r="U322" s="111"/>
      <c r="V322" s="111"/>
      <c r="W322" s="111"/>
      <c r="X322" s="111"/>
      <c r="Y322" s="111"/>
      <c r="Z322" s="149"/>
    </row>
    <row r="323" spans="1:26" s="69" customFormat="1" x14ac:dyDescent="0.25">
      <c r="A323" s="81"/>
      <c r="B323" s="81"/>
      <c r="C323" s="81"/>
      <c r="D323" s="82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111"/>
      <c r="S323" s="111"/>
      <c r="T323" s="111"/>
      <c r="U323" s="111"/>
      <c r="V323" s="111"/>
      <c r="W323" s="111"/>
      <c r="X323" s="111"/>
      <c r="Y323" s="111"/>
      <c r="Z323" s="149"/>
    </row>
    <row r="324" spans="1:26" s="69" customFormat="1" x14ac:dyDescent="0.25">
      <c r="A324" s="81"/>
      <c r="B324" s="81"/>
      <c r="C324" s="81"/>
      <c r="D324" s="82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111"/>
      <c r="S324" s="111"/>
      <c r="T324" s="111"/>
      <c r="U324" s="111"/>
      <c r="V324" s="111"/>
      <c r="W324" s="111"/>
      <c r="X324" s="111"/>
      <c r="Y324" s="111"/>
      <c r="Z324" s="149"/>
    </row>
    <row r="325" spans="1:26" s="69" customFormat="1" x14ac:dyDescent="0.25">
      <c r="A325" s="81"/>
      <c r="B325" s="81"/>
      <c r="C325" s="81"/>
      <c r="D325" s="82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111"/>
      <c r="S325" s="111"/>
      <c r="T325" s="111"/>
      <c r="U325" s="111"/>
      <c r="V325" s="111"/>
      <c r="W325" s="111"/>
      <c r="X325" s="111"/>
      <c r="Y325" s="111"/>
      <c r="Z325" s="149"/>
    </row>
    <row r="326" spans="1:26" s="69" customFormat="1" x14ac:dyDescent="0.25">
      <c r="A326" s="81"/>
      <c r="B326" s="81"/>
      <c r="C326" s="81"/>
      <c r="D326" s="82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111"/>
      <c r="S326" s="111"/>
      <c r="T326" s="111"/>
      <c r="U326" s="111"/>
      <c r="V326" s="111"/>
      <c r="W326" s="111"/>
      <c r="X326" s="111"/>
      <c r="Y326" s="111"/>
      <c r="Z326" s="149"/>
    </row>
    <row r="327" spans="1:26" s="69" customFormat="1" x14ac:dyDescent="0.25">
      <c r="A327" s="81"/>
      <c r="B327" s="81"/>
      <c r="C327" s="81"/>
      <c r="D327" s="82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111"/>
      <c r="S327" s="111"/>
      <c r="T327" s="111"/>
      <c r="U327" s="111"/>
      <c r="V327" s="111"/>
      <c r="W327" s="111"/>
      <c r="X327" s="111"/>
      <c r="Y327" s="111"/>
      <c r="Z327" s="149"/>
    </row>
    <row r="328" spans="1:26" s="69" customFormat="1" x14ac:dyDescent="0.25">
      <c r="A328" s="81"/>
      <c r="B328" s="81"/>
      <c r="C328" s="81"/>
      <c r="D328" s="82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111"/>
      <c r="S328" s="111"/>
      <c r="T328" s="111"/>
      <c r="U328" s="111"/>
      <c r="V328" s="111"/>
      <c r="W328" s="111"/>
      <c r="X328" s="111"/>
      <c r="Y328" s="111"/>
      <c r="Z328" s="149"/>
    </row>
    <row r="329" spans="1:26" s="69" customFormat="1" x14ac:dyDescent="0.25">
      <c r="A329" s="81"/>
      <c r="B329" s="81"/>
      <c r="C329" s="81"/>
      <c r="D329" s="82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111"/>
      <c r="S329" s="111"/>
      <c r="T329" s="111"/>
      <c r="U329" s="111"/>
      <c r="V329" s="111"/>
      <c r="W329" s="111"/>
      <c r="X329" s="111"/>
      <c r="Y329" s="111"/>
      <c r="Z329" s="149"/>
    </row>
    <row r="330" spans="1:26" s="69" customFormat="1" x14ac:dyDescent="0.25">
      <c r="A330" s="81"/>
      <c r="B330" s="81"/>
      <c r="C330" s="81"/>
      <c r="D330" s="82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111"/>
      <c r="S330" s="111"/>
      <c r="T330" s="111"/>
      <c r="U330" s="111"/>
      <c r="V330" s="111"/>
      <c r="W330" s="111"/>
      <c r="X330" s="111"/>
      <c r="Y330" s="111"/>
      <c r="Z330" s="149"/>
    </row>
    <row r="331" spans="1:26" s="69" customFormat="1" x14ac:dyDescent="0.25">
      <c r="A331" s="81"/>
      <c r="B331" s="81"/>
      <c r="C331" s="81"/>
      <c r="D331" s="82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111"/>
      <c r="S331" s="111"/>
      <c r="T331" s="111"/>
      <c r="U331" s="111"/>
      <c r="V331" s="111"/>
      <c r="W331" s="111"/>
      <c r="X331" s="111"/>
      <c r="Y331" s="111"/>
      <c r="Z331" s="149"/>
    </row>
    <row r="332" spans="1:26" s="69" customFormat="1" x14ac:dyDescent="0.25">
      <c r="A332" s="81"/>
      <c r="B332" s="81"/>
      <c r="C332" s="81"/>
      <c r="D332" s="82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111"/>
      <c r="S332" s="111"/>
      <c r="T332" s="111"/>
      <c r="U332" s="111"/>
      <c r="V332" s="111"/>
      <c r="W332" s="111"/>
      <c r="X332" s="111"/>
      <c r="Y332" s="111"/>
      <c r="Z332" s="149"/>
    </row>
    <row r="333" spans="1:26" s="69" customFormat="1" x14ac:dyDescent="0.25">
      <c r="A333" s="81"/>
      <c r="B333" s="81"/>
      <c r="C333" s="81"/>
      <c r="D333" s="82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111"/>
      <c r="S333" s="111"/>
      <c r="T333" s="111"/>
      <c r="U333" s="111"/>
      <c r="V333" s="111"/>
      <c r="W333" s="111"/>
      <c r="X333" s="111"/>
      <c r="Y333" s="111"/>
      <c r="Z333" s="149"/>
    </row>
    <row r="334" spans="1:26" s="69" customFormat="1" x14ac:dyDescent="0.25">
      <c r="A334" s="81"/>
      <c r="B334" s="81"/>
      <c r="C334" s="81"/>
      <c r="D334" s="82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111"/>
      <c r="S334" s="111"/>
      <c r="T334" s="111"/>
      <c r="U334" s="111"/>
      <c r="V334" s="111"/>
      <c r="W334" s="111"/>
      <c r="X334" s="111"/>
      <c r="Y334" s="111"/>
      <c r="Z334" s="149"/>
    </row>
    <row r="335" spans="1:26" s="69" customFormat="1" x14ac:dyDescent="0.25">
      <c r="A335" s="81"/>
      <c r="B335" s="81"/>
      <c r="C335" s="81"/>
      <c r="D335" s="82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111"/>
      <c r="S335" s="111"/>
      <c r="T335" s="111"/>
      <c r="U335" s="111"/>
      <c r="V335" s="111"/>
      <c r="W335" s="111"/>
      <c r="X335" s="111"/>
      <c r="Y335" s="111"/>
      <c r="Z335" s="149"/>
    </row>
    <row r="336" spans="1:26" s="69" customFormat="1" x14ac:dyDescent="0.25">
      <c r="A336" s="81"/>
      <c r="B336" s="81"/>
      <c r="C336" s="81"/>
      <c r="D336" s="82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111"/>
      <c r="S336" s="111"/>
      <c r="T336" s="111"/>
      <c r="U336" s="111"/>
      <c r="V336" s="111"/>
      <c r="W336" s="111"/>
      <c r="X336" s="111"/>
      <c r="Y336" s="111"/>
      <c r="Z336" s="149"/>
    </row>
    <row r="337" spans="1:26" s="69" customFormat="1" x14ac:dyDescent="0.25">
      <c r="A337" s="81"/>
      <c r="B337" s="81"/>
      <c r="C337" s="81"/>
      <c r="D337" s="82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111"/>
      <c r="S337" s="111"/>
      <c r="T337" s="111"/>
      <c r="U337" s="111"/>
      <c r="V337" s="111"/>
      <c r="W337" s="111"/>
      <c r="X337" s="111"/>
      <c r="Y337" s="111"/>
      <c r="Z337" s="149"/>
    </row>
    <row r="338" spans="1:26" s="69" customFormat="1" x14ac:dyDescent="0.25">
      <c r="A338" s="81"/>
      <c r="B338" s="81"/>
      <c r="C338" s="81"/>
      <c r="D338" s="82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111"/>
      <c r="S338" s="111"/>
      <c r="T338" s="111"/>
      <c r="U338" s="111"/>
      <c r="V338" s="111"/>
      <c r="W338" s="111"/>
      <c r="X338" s="111"/>
      <c r="Y338" s="111"/>
      <c r="Z338" s="149"/>
    </row>
    <row r="339" spans="1:26" s="69" customFormat="1" x14ac:dyDescent="0.25">
      <c r="A339" s="81"/>
      <c r="B339" s="81"/>
      <c r="C339" s="81"/>
      <c r="D339" s="82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111"/>
      <c r="S339" s="111"/>
      <c r="T339" s="111"/>
      <c r="U339" s="111"/>
      <c r="V339" s="111"/>
      <c r="W339" s="111"/>
      <c r="X339" s="111"/>
      <c r="Y339" s="111"/>
      <c r="Z339" s="149"/>
    </row>
    <row r="340" spans="1:26" s="69" customFormat="1" x14ac:dyDescent="0.25">
      <c r="A340" s="81"/>
      <c r="B340" s="81"/>
      <c r="C340" s="81"/>
      <c r="D340" s="82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111"/>
      <c r="S340" s="111"/>
      <c r="T340" s="111"/>
      <c r="U340" s="111"/>
      <c r="V340" s="111"/>
      <c r="W340" s="111"/>
      <c r="X340" s="111"/>
      <c r="Y340" s="111"/>
      <c r="Z340" s="149"/>
    </row>
    <row r="341" spans="1:26" s="69" customFormat="1" x14ac:dyDescent="0.25">
      <c r="A341" s="81"/>
      <c r="B341" s="81"/>
      <c r="C341" s="81"/>
      <c r="D341" s="82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111"/>
      <c r="S341" s="111"/>
      <c r="T341" s="111"/>
      <c r="U341" s="111"/>
      <c r="V341" s="111"/>
      <c r="W341" s="111"/>
      <c r="X341" s="111"/>
      <c r="Y341" s="111"/>
      <c r="Z341" s="149"/>
    </row>
    <row r="342" spans="1:26" s="69" customFormat="1" x14ac:dyDescent="0.25">
      <c r="A342" s="81"/>
      <c r="B342" s="81"/>
      <c r="C342" s="81"/>
      <c r="D342" s="82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111"/>
      <c r="S342" s="111"/>
      <c r="T342" s="111"/>
      <c r="U342" s="111"/>
      <c r="V342" s="111"/>
      <c r="W342" s="111"/>
      <c r="X342" s="111"/>
      <c r="Y342" s="111"/>
      <c r="Z342" s="149"/>
    </row>
    <row r="343" spans="1:26" s="69" customFormat="1" x14ac:dyDescent="0.25">
      <c r="A343" s="81"/>
      <c r="B343" s="81"/>
      <c r="C343" s="81"/>
      <c r="D343" s="82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111"/>
      <c r="S343" s="111"/>
      <c r="T343" s="111"/>
      <c r="U343" s="111"/>
      <c r="V343" s="111"/>
      <c r="W343" s="111"/>
      <c r="X343" s="111"/>
      <c r="Y343" s="111"/>
      <c r="Z343" s="149"/>
    </row>
    <row r="344" spans="1:26" s="69" customFormat="1" x14ac:dyDescent="0.25">
      <c r="A344" s="81"/>
      <c r="B344" s="81"/>
      <c r="C344" s="81"/>
      <c r="D344" s="82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111"/>
      <c r="S344" s="111"/>
      <c r="T344" s="111"/>
      <c r="U344" s="111"/>
      <c r="V344" s="111"/>
      <c r="W344" s="111"/>
      <c r="X344" s="111"/>
      <c r="Y344" s="111"/>
      <c r="Z344" s="149"/>
    </row>
    <row r="345" spans="1:26" s="69" customFormat="1" x14ac:dyDescent="0.25">
      <c r="A345" s="81"/>
      <c r="B345" s="81"/>
      <c r="C345" s="81"/>
      <c r="D345" s="82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111"/>
      <c r="S345" s="111"/>
      <c r="T345" s="111"/>
      <c r="U345" s="111"/>
      <c r="V345" s="111"/>
      <c r="W345" s="111"/>
      <c r="X345" s="111"/>
      <c r="Y345" s="111"/>
      <c r="Z345" s="149"/>
    </row>
    <row r="346" spans="1:26" s="69" customFormat="1" x14ac:dyDescent="0.25">
      <c r="A346" s="81"/>
      <c r="B346" s="81"/>
      <c r="C346" s="81"/>
      <c r="D346" s="82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111"/>
      <c r="S346" s="111"/>
      <c r="T346" s="111"/>
      <c r="U346" s="111"/>
      <c r="V346" s="111"/>
      <c r="W346" s="111"/>
      <c r="X346" s="111"/>
      <c r="Y346" s="111"/>
      <c r="Z346" s="149"/>
    </row>
    <row r="347" spans="1:26" s="69" customFormat="1" x14ac:dyDescent="0.25">
      <c r="A347" s="81"/>
      <c r="B347" s="81"/>
      <c r="C347" s="81"/>
      <c r="D347" s="82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111"/>
      <c r="S347" s="111"/>
      <c r="T347" s="111"/>
      <c r="U347" s="111"/>
      <c r="V347" s="111"/>
      <c r="W347" s="111"/>
      <c r="X347" s="111"/>
      <c r="Y347" s="111"/>
      <c r="Z347" s="149"/>
    </row>
    <row r="348" spans="1:26" s="69" customFormat="1" x14ac:dyDescent="0.25">
      <c r="A348" s="81"/>
      <c r="B348" s="81"/>
      <c r="C348" s="81"/>
      <c r="D348" s="82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111"/>
      <c r="S348" s="111"/>
      <c r="T348" s="111"/>
      <c r="U348" s="111"/>
      <c r="V348" s="111"/>
      <c r="W348" s="111"/>
      <c r="X348" s="111"/>
      <c r="Y348" s="111"/>
      <c r="Z348" s="149"/>
    </row>
    <row r="349" spans="1:26" s="69" customFormat="1" x14ac:dyDescent="0.25">
      <c r="A349" s="81"/>
      <c r="B349" s="81"/>
      <c r="C349" s="81"/>
      <c r="D349" s="82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111"/>
      <c r="S349" s="111"/>
      <c r="T349" s="111"/>
      <c r="U349" s="111"/>
      <c r="V349" s="111"/>
      <c r="W349" s="111"/>
      <c r="X349" s="111"/>
      <c r="Y349" s="111"/>
      <c r="Z349" s="149"/>
    </row>
    <row r="350" spans="1:26" s="69" customFormat="1" x14ac:dyDescent="0.25">
      <c r="A350" s="81"/>
      <c r="B350" s="81"/>
      <c r="C350" s="81"/>
      <c r="D350" s="82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111"/>
      <c r="S350" s="111"/>
      <c r="T350" s="111"/>
      <c r="U350" s="111"/>
      <c r="V350" s="111"/>
      <c r="W350" s="111"/>
      <c r="X350" s="111"/>
      <c r="Y350" s="111"/>
      <c r="Z350" s="149"/>
    </row>
    <row r="351" spans="1:26" s="69" customFormat="1" x14ac:dyDescent="0.25">
      <c r="A351" s="81"/>
      <c r="B351" s="81"/>
      <c r="C351" s="81"/>
      <c r="D351" s="82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111"/>
      <c r="S351" s="111"/>
      <c r="T351" s="111"/>
      <c r="U351" s="111"/>
      <c r="V351" s="111"/>
      <c r="W351" s="111"/>
      <c r="X351" s="111"/>
      <c r="Y351" s="111"/>
      <c r="Z351" s="149"/>
    </row>
    <row r="352" spans="1:26" s="69" customFormat="1" x14ac:dyDescent="0.25">
      <c r="A352" s="81"/>
      <c r="B352" s="81"/>
      <c r="C352" s="81"/>
      <c r="D352" s="82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111"/>
      <c r="S352" s="111"/>
      <c r="T352" s="111"/>
      <c r="U352" s="111"/>
      <c r="V352" s="111"/>
      <c r="W352" s="111"/>
      <c r="X352" s="111"/>
      <c r="Y352" s="111"/>
      <c r="Z352" s="149"/>
    </row>
    <row r="353" spans="1:26" s="69" customFormat="1" x14ac:dyDescent="0.25">
      <c r="A353" s="81"/>
      <c r="B353" s="81"/>
      <c r="C353" s="81"/>
      <c r="D353" s="82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111"/>
      <c r="S353" s="111"/>
      <c r="T353" s="111"/>
      <c r="U353" s="111"/>
      <c r="V353" s="111"/>
      <c r="W353" s="111"/>
      <c r="X353" s="111"/>
      <c r="Y353" s="111"/>
      <c r="Z353" s="149"/>
    </row>
    <row r="354" spans="1:26" s="69" customFormat="1" x14ac:dyDescent="0.25">
      <c r="A354" s="81"/>
      <c r="B354" s="81"/>
      <c r="C354" s="81"/>
      <c r="D354" s="82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111"/>
      <c r="S354" s="111"/>
      <c r="T354" s="111"/>
      <c r="U354" s="111"/>
      <c r="V354" s="111"/>
      <c r="W354" s="111"/>
      <c r="X354" s="111"/>
      <c r="Y354" s="111"/>
      <c r="Z354" s="149"/>
    </row>
    <row r="355" spans="1:26" s="69" customFormat="1" x14ac:dyDescent="0.25">
      <c r="A355" s="81"/>
      <c r="B355" s="81"/>
      <c r="C355" s="81"/>
      <c r="D355" s="82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111"/>
      <c r="S355" s="111"/>
      <c r="T355" s="111"/>
      <c r="U355" s="111"/>
      <c r="V355" s="111"/>
      <c r="W355" s="111"/>
      <c r="X355" s="111"/>
      <c r="Y355" s="111"/>
      <c r="Z355" s="149"/>
    </row>
    <row r="356" spans="1:26" s="69" customFormat="1" x14ac:dyDescent="0.25">
      <c r="A356" s="81"/>
      <c r="B356" s="81"/>
      <c r="C356" s="81"/>
      <c r="D356" s="82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111"/>
      <c r="S356" s="111"/>
      <c r="T356" s="111"/>
      <c r="U356" s="111"/>
      <c r="V356" s="111"/>
      <c r="W356" s="111"/>
      <c r="X356" s="111"/>
      <c r="Y356" s="111"/>
      <c r="Z356" s="149"/>
    </row>
    <row r="357" spans="1:26" s="69" customFormat="1" x14ac:dyDescent="0.25">
      <c r="A357" s="81"/>
      <c r="B357" s="81"/>
      <c r="C357" s="81"/>
      <c r="D357" s="82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111"/>
      <c r="S357" s="111"/>
      <c r="T357" s="111"/>
      <c r="U357" s="111"/>
      <c r="V357" s="111"/>
      <c r="W357" s="111"/>
      <c r="X357" s="111"/>
      <c r="Y357" s="111"/>
      <c r="Z357" s="149"/>
    </row>
    <row r="358" spans="1:26" s="69" customFormat="1" x14ac:dyDescent="0.25">
      <c r="A358" s="81"/>
      <c r="B358" s="81"/>
      <c r="C358" s="81"/>
      <c r="D358" s="82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111"/>
      <c r="S358" s="111"/>
      <c r="T358" s="111"/>
      <c r="U358" s="111"/>
      <c r="V358" s="111"/>
      <c r="W358" s="111"/>
      <c r="X358" s="111"/>
      <c r="Y358" s="111"/>
      <c r="Z358" s="149"/>
    </row>
    <row r="359" spans="1:26" s="69" customFormat="1" x14ac:dyDescent="0.25">
      <c r="A359" s="81"/>
      <c r="B359" s="81"/>
      <c r="C359" s="81"/>
      <c r="D359" s="82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111"/>
      <c r="S359" s="111"/>
      <c r="T359" s="111"/>
      <c r="U359" s="111"/>
      <c r="V359" s="111"/>
      <c r="W359" s="111"/>
      <c r="X359" s="111"/>
      <c r="Y359" s="111"/>
      <c r="Z359" s="149"/>
    </row>
    <row r="360" spans="1:26" s="69" customFormat="1" x14ac:dyDescent="0.25">
      <c r="A360" s="81"/>
      <c r="B360" s="81"/>
      <c r="C360" s="81"/>
      <c r="D360" s="82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111"/>
      <c r="S360" s="111"/>
      <c r="T360" s="111"/>
      <c r="U360" s="111"/>
      <c r="V360" s="111"/>
      <c r="W360" s="111"/>
      <c r="X360" s="111"/>
      <c r="Y360" s="111"/>
      <c r="Z360" s="149"/>
    </row>
    <row r="361" spans="1:26" s="69" customFormat="1" x14ac:dyDescent="0.25">
      <c r="A361" s="81"/>
      <c r="B361" s="81"/>
      <c r="C361" s="81"/>
      <c r="D361" s="82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111"/>
      <c r="S361" s="111"/>
      <c r="T361" s="111"/>
      <c r="U361" s="111"/>
      <c r="V361" s="111"/>
      <c r="W361" s="111"/>
      <c r="X361" s="111"/>
      <c r="Y361" s="111"/>
      <c r="Z361" s="149"/>
    </row>
    <row r="362" spans="1:26" s="69" customFormat="1" x14ac:dyDescent="0.25">
      <c r="A362" s="81"/>
      <c r="B362" s="81"/>
      <c r="C362" s="81"/>
      <c r="D362" s="82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111"/>
      <c r="S362" s="111"/>
      <c r="T362" s="111"/>
      <c r="U362" s="111"/>
      <c r="V362" s="111"/>
      <c r="W362" s="111"/>
      <c r="X362" s="111"/>
      <c r="Y362" s="111"/>
      <c r="Z362" s="149"/>
    </row>
    <row r="363" spans="1:26" s="69" customFormat="1" x14ac:dyDescent="0.25">
      <c r="A363" s="81"/>
      <c r="B363" s="81"/>
      <c r="C363" s="81"/>
      <c r="D363" s="82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111"/>
      <c r="S363" s="111"/>
      <c r="T363" s="111"/>
      <c r="U363" s="111"/>
      <c r="V363" s="111"/>
      <c r="W363" s="111"/>
      <c r="X363" s="111"/>
      <c r="Y363" s="111"/>
      <c r="Z363" s="149"/>
    </row>
    <row r="364" spans="1:26" s="69" customFormat="1" x14ac:dyDescent="0.25">
      <c r="A364" s="81"/>
      <c r="B364" s="81"/>
      <c r="C364" s="81"/>
      <c r="D364" s="82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111"/>
      <c r="S364" s="111"/>
      <c r="T364" s="111"/>
      <c r="U364" s="111"/>
      <c r="V364" s="111"/>
      <c r="W364" s="111"/>
      <c r="X364" s="111"/>
      <c r="Y364" s="111"/>
      <c r="Z364" s="149"/>
    </row>
    <row r="365" spans="1:26" s="69" customFormat="1" x14ac:dyDescent="0.25">
      <c r="A365" s="81"/>
      <c r="B365" s="81"/>
      <c r="C365" s="81"/>
      <c r="D365" s="82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111"/>
      <c r="S365" s="111"/>
      <c r="T365" s="111"/>
      <c r="U365" s="111"/>
      <c r="V365" s="111"/>
      <c r="W365" s="111"/>
      <c r="X365" s="111"/>
      <c r="Y365" s="111"/>
      <c r="Z365" s="149"/>
    </row>
    <row r="366" spans="1:26" s="69" customFormat="1" x14ac:dyDescent="0.25">
      <c r="A366" s="81"/>
      <c r="B366" s="81"/>
      <c r="C366" s="81"/>
      <c r="D366" s="82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111"/>
      <c r="S366" s="111"/>
      <c r="T366" s="111"/>
      <c r="U366" s="111"/>
      <c r="V366" s="111"/>
      <c r="W366" s="111"/>
      <c r="X366" s="111"/>
      <c r="Y366" s="111"/>
      <c r="Z366" s="149"/>
    </row>
    <row r="367" spans="1:26" s="69" customFormat="1" x14ac:dyDescent="0.25">
      <c r="A367" s="81"/>
      <c r="B367" s="81"/>
      <c r="C367" s="81"/>
      <c r="D367" s="82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111"/>
      <c r="S367" s="111"/>
      <c r="T367" s="111"/>
      <c r="U367" s="111"/>
      <c r="V367" s="111"/>
      <c r="W367" s="111"/>
      <c r="X367" s="111"/>
      <c r="Y367" s="111"/>
      <c r="Z367" s="149"/>
    </row>
    <row r="368" spans="1:26" s="69" customFormat="1" x14ac:dyDescent="0.25">
      <c r="A368" s="81"/>
      <c r="B368" s="81"/>
      <c r="C368" s="81"/>
      <c r="D368" s="82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111"/>
      <c r="S368" s="111"/>
      <c r="T368" s="111"/>
      <c r="U368" s="111"/>
      <c r="V368" s="111"/>
      <c r="W368" s="111"/>
      <c r="X368" s="111"/>
      <c r="Y368" s="111"/>
      <c r="Z368" s="149"/>
    </row>
    <row r="369" spans="1:26" s="69" customFormat="1" x14ac:dyDescent="0.25">
      <c r="A369" s="81"/>
      <c r="B369" s="81"/>
      <c r="C369" s="81"/>
      <c r="D369" s="82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111"/>
      <c r="S369" s="111"/>
      <c r="T369" s="111"/>
      <c r="U369" s="111"/>
      <c r="V369" s="111"/>
      <c r="W369" s="111"/>
      <c r="X369" s="111"/>
      <c r="Y369" s="111"/>
      <c r="Z369" s="149"/>
    </row>
    <row r="370" spans="1:26" s="69" customFormat="1" x14ac:dyDescent="0.25">
      <c r="A370" s="81"/>
      <c r="B370" s="81"/>
      <c r="C370" s="81"/>
      <c r="D370" s="82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111"/>
      <c r="S370" s="111"/>
      <c r="T370" s="111"/>
      <c r="U370" s="111"/>
      <c r="V370" s="111"/>
      <c r="W370" s="111"/>
      <c r="X370" s="111"/>
      <c r="Y370" s="111"/>
      <c r="Z370" s="149"/>
    </row>
    <row r="371" spans="1:26" s="69" customFormat="1" x14ac:dyDescent="0.25">
      <c r="A371" s="81"/>
      <c r="B371" s="81"/>
      <c r="C371" s="81"/>
      <c r="D371" s="82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111"/>
      <c r="S371" s="111"/>
      <c r="T371" s="111"/>
      <c r="U371" s="111"/>
      <c r="V371" s="111"/>
      <c r="W371" s="111"/>
      <c r="X371" s="111"/>
      <c r="Y371" s="111"/>
      <c r="Z371" s="149"/>
    </row>
    <row r="372" spans="1:26" s="69" customFormat="1" x14ac:dyDescent="0.25">
      <c r="A372" s="81"/>
      <c r="B372" s="81"/>
      <c r="C372" s="81"/>
      <c r="D372" s="82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111"/>
      <c r="S372" s="111"/>
      <c r="T372" s="111"/>
      <c r="U372" s="111"/>
      <c r="V372" s="111"/>
      <c r="W372" s="111"/>
      <c r="X372" s="111"/>
      <c r="Y372" s="111"/>
      <c r="Z372" s="149"/>
    </row>
    <row r="373" spans="1:26" s="69" customFormat="1" x14ac:dyDescent="0.25">
      <c r="A373" s="81"/>
      <c r="B373" s="81"/>
      <c r="C373" s="81"/>
      <c r="D373" s="82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111"/>
      <c r="S373" s="111"/>
      <c r="T373" s="111"/>
      <c r="U373" s="111"/>
      <c r="V373" s="111"/>
      <c r="W373" s="111"/>
      <c r="X373" s="111"/>
      <c r="Y373" s="111"/>
      <c r="Z373" s="149"/>
    </row>
    <row r="374" spans="1:26" s="69" customFormat="1" x14ac:dyDescent="0.25">
      <c r="A374" s="81"/>
      <c r="B374" s="81"/>
      <c r="C374" s="81"/>
      <c r="D374" s="82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111"/>
      <c r="S374" s="111"/>
      <c r="T374" s="111"/>
      <c r="U374" s="111"/>
      <c r="V374" s="111"/>
      <c r="W374" s="111"/>
      <c r="X374" s="111"/>
      <c r="Y374" s="111"/>
      <c r="Z374" s="149"/>
    </row>
    <row r="375" spans="1:26" s="69" customFormat="1" x14ac:dyDescent="0.25">
      <c r="A375" s="81"/>
      <c r="B375" s="81"/>
      <c r="C375" s="81"/>
      <c r="D375" s="82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111"/>
      <c r="S375" s="111"/>
      <c r="T375" s="111"/>
      <c r="U375" s="111"/>
      <c r="V375" s="111"/>
      <c r="W375" s="111"/>
      <c r="X375" s="111"/>
      <c r="Y375" s="111"/>
      <c r="Z375" s="149"/>
    </row>
    <row r="376" spans="1:26" s="69" customFormat="1" x14ac:dyDescent="0.25">
      <c r="A376" s="81"/>
      <c r="B376" s="81"/>
      <c r="C376" s="81"/>
      <c r="D376" s="82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111"/>
      <c r="S376" s="111"/>
      <c r="T376" s="111"/>
      <c r="U376" s="111"/>
      <c r="V376" s="111"/>
      <c r="W376" s="111"/>
      <c r="X376" s="111"/>
      <c r="Y376" s="111"/>
      <c r="Z376" s="149"/>
    </row>
    <row r="377" spans="1:26" s="69" customFormat="1" x14ac:dyDescent="0.25">
      <c r="A377" s="81"/>
      <c r="B377" s="81"/>
      <c r="C377" s="81"/>
      <c r="D377" s="82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111"/>
      <c r="S377" s="111"/>
      <c r="T377" s="111"/>
      <c r="U377" s="111"/>
      <c r="V377" s="111"/>
      <c r="W377" s="111"/>
      <c r="X377" s="111"/>
      <c r="Y377" s="111"/>
      <c r="Z377" s="149"/>
    </row>
    <row r="378" spans="1:26" s="69" customFormat="1" x14ac:dyDescent="0.25">
      <c r="A378" s="81"/>
      <c r="B378" s="81"/>
      <c r="C378" s="81"/>
      <c r="D378" s="82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111"/>
      <c r="S378" s="111"/>
      <c r="T378" s="111"/>
      <c r="U378" s="111"/>
      <c r="V378" s="111"/>
      <c r="W378" s="111"/>
      <c r="X378" s="111"/>
      <c r="Y378" s="111"/>
      <c r="Z378" s="149"/>
    </row>
    <row r="379" spans="1:26" s="69" customFormat="1" x14ac:dyDescent="0.25">
      <c r="A379" s="81"/>
      <c r="B379" s="81"/>
      <c r="C379" s="81"/>
      <c r="D379" s="82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111"/>
      <c r="S379" s="111"/>
      <c r="T379" s="111"/>
      <c r="U379" s="111"/>
      <c r="V379" s="111"/>
      <c r="W379" s="111"/>
      <c r="X379" s="111"/>
      <c r="Y379" s="111"/>
      <c r="Z379" s="149"/>
    </row>
    <row r="380" spans="1:26" s="69" customFormat="1" x14ac:dyDescent="0.25">
      <c r="A380" s="81"/>
      <c r="B380" s="81"/>
      <c r="C380" s="81"/>
      <c r="D380" s="82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111"/>
      <c r="S380" s="111"/>
      <c r="T380" s="111"/>
      <c r="U380" s="111"/>
      <c r="V380" s="111"/>
      <c r="W380" s="111"/>
      <c r="X380" s="111"/>
      <c r="Y380" s="111"/>
      <c r="Z380" s="149"/>
    </row>
    <row r="381" spans="1:26" s="69" customFormat="1" x14ac:dyDescent="0.25">
      <c r="A381" s="81"/>
      <c r="B381" s="81"/>
      <c r="C381" s="81"/>
      <c r="D381" s="82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111"/>
      <c r="S381" s="111"/>
      <c r="T381" s="111"/>
      <c r="U381" s="111"/>
      <c r="V381" s="111"/>
      <c r="W381" s="111"/>
      <c r="X381" s="111"/>
      <c r="Y381" s="111"/>
      <c r="Z381" s="149"/>
    </row>
    <row r="382" spans="1:26" s="69" customFormat="1" x14ac:dyDescent="0.25">
      <c r="A382" s="81"/>
      <c r="B382" s="81"/>
      <c r="C382" s="81"/>
      <c r="D382" s="82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111"/>
      <c r="S382" s="111"/>
      <c r="T382" s="111"/>
      <c r="U382" s="111"/>
      <c r="V382" s="111"/>
      <c r="W382" s="111"/>
      <c r="X382" s="111"/>
      <c r="Y382" s="111"/>
      <c r="Z382" s="149"/>
    </row>
    <row r="383" spans="1:26" s="69" customFormat="1" x14ac:dyDescent="0.25">
      <c r="A383" s="81"/>
      <c r="B383" s="81"/>
      <c r="C383" s="81"/>
      <c r="D383" s="82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111"/>
      <c r="S383" s="111"/>
      <c r="T383" s="111"/>
      <c r="U383" s="111"/>
      <c r="V383" s="111"/>
      <c r="W383" s="111"/>
      <c r="X383" s="111"/>
      <c r="Y383" s="111"/>
      <c r="Z383" s="149"/>
    </row>
    <row r="384" spans="1:26" s="69" customFormat="1" x14ac:dyDescent="0.25">
      <c r="A384" s="81"/>
      <c r="B384" s="81"/>
      <c r="C384" s="81"/>
      <c r="D384" s="82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111"/>
      <c r="S384" s="111"/>
      <c r="T384" s="111"/>
      <c r="U384" s="111"/>
      <c r="V384" s="111"/>
      <c r="W384" s="111"/>
      <c r="X384" s="111"/>
      <c r="Y384" s="111"/>
      <c r="Z384" s="149"/>
    </row>
    <row r="385" spans="1:26" s="69" customFormat="1" x14ac:dyDescent="0.25">
      <c r="A385" s="81"/>
      <c r="B385" s="81"/>
      <c r="C385" s="81"/>
      <c r="D385" s="82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111"/>
      <c r="S385" s="111"/>
      <c r="T385" s="111"/>
      <c r="U385" s="111"/>
      <c r="V385" s="111"/>
      <c r="W385" s="111"/>
      <c r="X385" s="111"/>
      <c r="Y385" s="111"/>
      <c r="Z385" s="149"/>
    </row>
    <row r="386" spans="1:26" s="69" customFormat="1" x14ac:dyDescent="0.25">
      <c r="A386" s="81"/>
      <c r="B386" s="81"/>
      <c r="C386" s="81"/>
      <c r="D386" s="82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111"/>
      <c r="S386" s="111"/>
      <c r="T386" s="111"/>
      <c r="U386" s="111"/>
      <c r="V386" s="111"/>
      <c r="W386" s="111"/>
      <c r="X386" s="111"/>
      <c r="Y386" s="111"/>
      <c r="Z386" s="149"/>
    </row>
    <row r="387" spans="1:26" s="69" customFormat="1" x14ac:dyDescent="0.25">
      <c r="A387" s="81"/>
      <c r="B387" s="81"/>
      <c r="C387" s="81"/>
      <c r="D387" s="82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111"/>
      <c r="S387" s="111"/>
      <c r="T387" s="111"/>
      <c r="U387" s="111"/>
      <c r="V387" s="111"/>
      <c r="W387" s="111"/>
      <c r="X387" s="111"/>
      <c r="Y387" s="111"/>
      <c r="Z387" s="149"/>
    </row>
    <row r="388" spans="1:26" s="69" customFormat="1" x14ac:dyDescent="0.25">
      <c r="A388" s="81"/>
      <c r="B388" s="81"/>
      <c r="C388" s="81"/>
      <c r="D388" s="82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111"/>
      <c r="S388" s="111"/>
      <c r="T388" s="111"/>
      <c r="U388" s="111"/>
      <c r="V388" s="111"/>
      <c r="W388" s="111"/>
      <c r="X388" s="111"/>
      <c r="Y388" s="111"/>
      <c r="Z388" s="149"/>
    </row>
    <row r="389" spans="1:26" s="69" customFormat="1" x14ac:dyDescent="0.25">
      <c r="A389" s="81"/>
      <c r="B389" s="81"/>
      <c r="C389" s="81"/>
      <c r="D389" s="82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111"/>
      <c r="S389" s="111"/>
      <c r="T389" s="111"/>
      <c r="U389" s="111"/>
      <c r="V389" s="111"/>
      <c r="W389" s="111"/>
      <c r="X389" s="111"/>
      <c r="Y389" s="111"/>
      <c r="Z389" s="149"/>
    </row>
    <row r="390" spans="1:26" s="69" customFormat="1" x14ac:dyDescent="0.25">
      <c r="A390" s="81"/>
      <c r="B390" s="81"/>
      <c r="C390" s="81"/>
      <c r="D390" s="82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111"/>
      <c r="S390" s="111"/>
      <c r="T390" s="111"/>
      <c r="U390" s="111"/>
      <c r="V390" s="111"/>
      <c r="W390" s="111"/>
      <c r="X390" s="111"/>
      <c r="Y390" s="111"/>
      <c r="Z390" s="149"/>
    </row>
    <row r="391" spans="1:26" s="69" customFormat="1" x14ac:dyDescent="0.25">
      <c r="A391" s="81"/>
      <c r="B391" s="81"/>
      <c r="C391" s="81"/>
      <c r="D391" s="82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111"/>
      <c r="S391" s="111"/>
      <c r="T391" s="111"/>
      <c r="U391" s="111"/>
      <c r="V391" s="111"/>
      <c r="W391" s="111"/>
      <c r="X391" s="111"/>
      <c r="Y391" s="111"/>
      <c r="Z391" s="149"/>
    </row>
    <row r="392" spans="1:26" s="69" customFormat="1" x14ac:dyDescent="0.25">
      <c r="A392" s="81"/>
      <c r="B392" s="81"/>
      <c r="C392" s="81"/>
      <c r="D392" s="82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111"/>
      <c r="S392" s="111"/>
      <c r="T392" s="111"/>
      <c r="U392" s="111"/>
      <c r="V392" s="111"/>
      <c r="W392" s="111"/>
      <c r="X392" s="111"/>
      <c r="Y392" s="111"/>
      <c r="Z392" s="149"/>
    </row>
    <row r="393" spans="1:26" s="69" customFormat="1" x14ac:dyDescent="0.25">
      <c r="A393" s="81"/>
      <c r="B393" s="81"/>
      <c r="C393" s="81"/>
      <c r="D393" s="82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111"/>
      <c r="S393" s="111"/>
      <c r="T393" s="111"/>
      <c r="U393" s="111"/>
      <c r="V393" s="111"/>
      <c r="W393" s="111"/>
      <c r="X393" s="111"/>
      <c r="Y393" s="111"/>
      <c r="Z393" s="149"/>
    </row>
    <row r="394" spans="1:26" s="69" customFormat="1" x14ac:dyDescent="0.25">
      <c r="A394" s="81"/>
      <c r="B394" s="81"/>
      <c r="C394" s="81"/>
      <c r="D394" s="82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111"/>
      <c r="S394" s="111"/>
      <c r="T394" s="111"/>
      <c r="U394" s="111"/>
      <c r="V394" s="111"/>
      <c r="W394" s="111"/>
      <c r="X394" s="111"/>
      <c r="Y394" s="111"/>
      <c r="Z394" s="149"/>
    </row>
    <row r="395" spans="1:26" s="69" customFormat="1" x14ac:dyDescent="0.25">
      <c r="A395" s="81"/>
      <c r="B395" s="81"/>
      <c r="C395" s="81"/>
      <c r="D395" s="82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111"/>
      <c r="S395" s="111"/>
      <c r="T395" s="111"/>
      <c r="U395" s="111"/>
      <c r="V395" s="111"/>
      <c r="W395" s="111"/>
      <c r="X395" s="111"/>
      <c r="Y395" s="111"/>
      <c r="Z395" s="149"/>
    </row>
    <row r="396" spans="1:26" s="69" customFormat="1" x14ac:dyDescent="0.25">
      <c r="A396" s="81"/>
      <c r="B396" s="81"/>
      <c r="C396" s="81"/>
      <c r="D396" s="82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111"/>
      <c r="S396" s="111"/>
      <c r="T396" s="111"/>
      <c r="U396" s="111"/>
      <c r="V396" s="111"/>
      <c r="W396" s="111"/>
      <c r="X396" s="111"/>
      <c r="Y396" s="111"/>
      <c r="Z396" s="149"/>
    </row>
    <row r="397" spans="1:26" s="69" customFormat="1" x14ac:dyDescent="0.25">
      <c r="A397" s="81"/>
      <c r="B397" s="81"/>
      <c r="C397" s="81"/>
      <c r="D397" s="82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111"/>
      <c r="S397" s="111"/>
      <c r="T397" s="111"/>
      <c r="U397" s="111"/>
      <c r="V397" s="111"/>
      <c r="W397" s="111"/>
      <c r="X397" s="111"/>
      <c r="Y397" s="111"/>
      <c r="Z397" s="149"/>
    </row>
    <row r="398" spans="1:26" s="69" customFormat="1" x14ac:dyDescent="0.25">
      <c r="A398" s="81"/>
      <c r="B398" s="81"/>
      <c r="C398" s="81"/>
      <c r="D398" s="82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111"/>
      <c r="S398" s="111"/>
      <c r="T398" s="111"/>
      <c r="U398" s="111"/>
      <c r="V398" s="111"/>
      <c r="W398" s="111"/>
      <c r="X398" s="111"/>
      <c r="Y398" s="111"/>
      <c r="Z398" s="149"/>
    </row>
    <row r="399" spans="1:26" s="69" customFormat="1" x14ac:dyDescent="0.25">
      <c r="A399" s="81"/>
      <c r="B399" s="81"/>
      <c r="C399" s="81"/>
      <c r="D399" s="82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111"/>
      <c r="S399" s="111"/>
      <c r="T399" s="111"/>
      <c r="U399" s="111"/>
      <c r="V399" s="111"/>
      <c r="W399" s="111"/>
      <c r="X399" s="111"/>
      <c r="Y399" s="111"/>
      <c r="Z399" s="149"/>
    </row>
    <row r="400" spans="1:26" s="69" customFormat="1" x14ac:dyDescent="0.25">
      <c r="A400" s="81"/>
      <c r="B400" s="81"/>
      <c r="C400" s="81"/>
      <c r="D400" s="82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111"/>
      <c r="S400" s="111"/>
      <c r="T400" s="111"/>
      <c r="U400" s="111"/>
      <c r="V400" s="111"/>
      <c r="W400" s="111"/>
      <c r="X400" s="111"/>
      <c r="Y400" s="111"/>
      <c r="Z400" s="149"/>
    </row>
    <row r="401" spans="1:26" s="69" customFormat="1" x14ac:dyDescent="0.25">
      <c r="A401" s="81"/>
      <c r="B401" s="81"/>
      <c r="C401" s="81"/>
      <c r="D401" s="82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111"/>
      <c r="S401" s="111"/>
      <c r="T401" s="111"/>
      <c r="U401" s="111"/>
      <c r="V401" s="111"/>
      <c r="W401" s="111"/>
      <c r="X401" s="111"/>
      <c r="Y401" s="111"/>
      <c r="Z401" s="149"/>
    </row>
    <row r="402" spans="1:26" s="69" customFormat="1" x14ac:dyDescent="0.25">
      <c r="A402" s="81"/>
      <c r="B402" s="81"/>
      <c r="C402" s="81"/>
      <c r="D402" s="82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111"/>
      <c r="S402" s="111"/>
      <c r="T402" s="111"/>
      <c r="U402" s="111"/>
      <c r="V402" s="111"/>
      <c r="W402" s="111"/>
      <c r="X402" s="111"/>
      <c r="Y402" s="111"/>
      <c r="Z402" s="149"/>
    </row>
    <row r="403" spans="1:26" s="69" customFormat="1" x14ac:dyDescent="0.25">
      <c r="A403" s="81"/>
      <c r="B403" s="81"/>
      <c r="C403" s="81"/>
      <c r="D403" s="82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111"/>
      <c r="S403" s="111"/>
      <c r="T403" s="111"/>
      <c r="U403" s="111"/>
      <c r="V403" s="111"/>
      <c r="W403" s="111"/>
      <c r="X403" s="111"/>
      <c r="Y403" s="111"/>
      <c r="Z403" s="149"/>
    </row>
    <row r="404" spans="1:26" s="69" customFormat="1" x14ac:dyDescent="0.25">
      <c r="A404" s="81"/>
      <c r="B404" s="81"/>
      <c r="C404" s="81"/>
      <c r="D404" s="82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111"/>
      <c r="S404" s="111"/>
      <c r="T404" s="111"/>
      <c r="U404" s="111"/>
      <c r="V404" s="111"/>
      <c r="W404" s="111"/>
      <c r="X404" s="111"/>
      <c r="Y404" s="111"/>
      <c r="Z404" s="149"/>
    </row>
    <row r="405" spans="1:26" s="69" customFormat="1" x14ac:dyDescent="0.25">
      <c r="A405" s="81"/>
      <c r="B405" s="81"/>
      <c r="C405" s="81"/>
      <c r="D405" s="82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111"/>
      <c r="S405" s="111"/>
      <c r="T405" s="111"/>
      <c r="U405" s="111"/>
      <c r="V405" s="111"/>
      <c r="W405" s="111"/>
      <c r="X405" s="111"/>
      <c r="Y405" s="111"/>
      <c r="Z405" s="149"/>
    </row>
    <row r="406" spans="1:26" s="69" customFormat="1" x14ac:dyDescent="0.25">
      <c r="A406" s="81"/>
      <c r="B406" s="81"/>
      <c r="C406" s="81"/>
      <c r="D406" s="82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111"/>
      <c r="S406" s="111"/>
      <c r="T406" s="111"/>
      <c r="U406" s="111"/>
      <c r="V406" s="111"/>
      <c r="W406" s="111"/>
      <c r="X406" s="111"/>
      <c r="Y406" s="111"/>
      <c r="Z406" s="149"/>
    </row>
    <row r="407" spans="1:26" s="69" customFormat="1" x14ac:dyDescent="0.25">
      <c r="A407" s="81"/>
      <c r="B407" s="81"/>
      <c r="C407" s="81"/>
      <c r="D407" s="82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111"/>
      <c r="S407" s="111"/>
      <c r="T407" s="111"/>
      <c r="U407" s="111"/>
      <c r="V407" s="111"/>
      <c r="W407" s="111"/>
      <c r="X407" s="111"/>
      <c r="Y407" s="111"/>
      <c r="Z407" s="149"/>
    </row>
    <row r="408" spans="1:26" s="69" customFormat="1" x14ac:dyDescent="0.25">
      <c r="A408" s="81"/>
      <c r="B408" s="81"/>
      <c r="C408" s="81"/>
      <c r="D408" s="82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111"/>
      <c r="S408" s="111"/>
      <c r="T408" s="111"/>
      <c r="U408" s="111"/>
      <c r="V408" s="111"/>
      <c r="W408" s="111"/>
      <c r="X408" s="111"/>
      <c r="Y408" s="111"/>
      <c r="Z408" s="149"/>
    </row>
    <row r="409" spans="1:26" s="69" customFormat="1" x14ac:dyDescent="0.25">
      <c r="A409" s="81"/>
      <c r="B409" s="81"/>
      <c r="C409" s="81"/>
      <c r="D409" s="82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111"/>
      <c r="S409" s="111"/>
      <c r="T409" s="111"/>
      <c r="U409" s="111"/>
      <c r="V409" s="111"/>
      <c r="W409" s="111"/>
      <c r="X409" s="111"/>
      <c r="Y409" s="111"/>
      <c r="Z409" s="149"/>
    </row>
    <row r="410" spans="1:26" s="69" customFormat="1" x14ac:dyDescent="0.25">
      <c r="A410" s="81"/>
      <c r="B410" s="81"/>
      <c r="C410" s="81"/>
      <c r="D410" s="82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111"/>
      <c r="S410" s="111"/>
      <c r="T410" s="111"/>
      <c r="U410" s="111"/>
      <c r="V410" s="111"/>
      <c r="W410" s="111"/>
      <c r="X410" s="111"/>
      <c r="Y410" s="111"/>
      <c r="Z410" s="149"/>
    </row>
    <row r="411" spans="1:26" s="69" customFormat="1" x14ac:dyDescent="0.25">
      <c r="A411" s="81"/>
      <c r="B411" s="81"/>
      <c r="C411" s="81"/>
      <c r="D411" s="82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111"/>
      <c r="S411" s="111"/>
      <c r="T411" s="111"/>
      <c r="U411" s="111"/>
      <c r="V411" s="111"/>
      <c r="W411" s="111"/>
      <c r="X411" s="111"/>
      <c r="Y411" s="111"/>
      <c r="Z411" s="149"/>
    </row>
    <row r="412" spans="1:26" s="69" customFormat="1" x14ac:dyDescent="0.25">
      <c r="A412" s="81"/>
      <c r="B412" s="81"/>
      <c r="C412" s="81"/>
      <c r="D412" s="82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111"/>
      <c r="S412" s="111"/>
      <c r="T412" s="111"/>
      <c r="U412" s="111"/>
      <c r="V412" s="111"/>
      <c r="W412" s="111"/>
      <c r="X412" s="111"/>
      <c r="Y412" s="111"/>
      <c r="Z412" s="149"/>
    </row>
    <row r="413" spans="1:26" s="69" customFormat="1" x14ac:dyDescent="0.25">
      <c r="A413" s="81"/>
      <c r="B413" s="81"/>
      <c r="C413" s="81"/>
      <c r="D413" s="82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111"/>
      <c r="S413" s="111"/>
      <c r="T413" s="111"/>
      <c r="U413" s="111"/>
      <c r="V413" s="111"/>
      <c r="W413" s="111"/>
      <c r="X413" s="111"/>
      <c r="Y413" s="111"/>
      <c r="Z413" s="149"/>
    </row>
    <row r="414" spans="1:26" s="69" customFormat="1" x14ac:dyDescent="0.25">
      <c r="A414" s="81"/>
      <c r="B414" s="81"/>
      <c r="C414" s="81"/>
      <c r="D414" s="82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111"/>
      <c r="S414" s="111"/>
      <c r="T414" s="111"/>
      <c r="U414" s="111"/>
      <c r="V414" s="111"/>
      <c r="W414" s="111"/>
      <c r="X414" s="111"/>
      <c r="Y414" s="111"/>
      <c r="Z414" s="149"/>
    </row>
    <row r="415" spans="1:26" s="69" customFormat="1" x14ac:dyDescent="0.25">
      <c r="A415" s="81"/>
      <c r="B415" s="81"/>
      <c r="C415" s="81"/>
      <c r="D415" s="82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111"/>
      <c r="S415" s="111"/>
      <c r="T415" s="111"/>
      <c r="U415" s="111"/>
      <c r="V415" s="111"/>
      <c r="W415" s="111"/>
      <c r="X415" s="111"/>
      <c r="Y415" s="111"/>
      <c r="Z415" s="149"/>
    </row>
    <row r="416" spans="1:26" s="69" customFormat="1" x14ac:dyDescent="0.25">
      <c r="A416" s="81"/>
      <c r="B416" s="81"/>
      <c r="C416" s="81"/>
      <c r="D416" s="82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111"/>
      <c r="S416" s="111"/>
      <c r="T416" s="111"/>
      <c r="U416" s="111"/>
      <c r="V416" s="111"/>
      <c r="W416" s="111"/>
      <c r="X416" s="111"/>
      <c r="Y416" s="111"/>
      <c r="Z416" s="149"/>
    </row>
    <row r="417" spans="1:26" s="69" customFormat="1" x14ac:dyDescent="0.25">
      <c r="A417" s="81"/>
      <c r="B417" s="81"/>
      <c r="C417" s="81"/>
      <c r="D417" s="82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111"/>
      <c r="S417" s="111"/>
      <c r="T417" s="111"/>
      <c r="U417" s="111"/>
      <c r="V417" s="111"/>
      <c r="W417" s="111"/>
      <c r="X417" s="111"/>
      <c r="Y417" s="111"/>
      <c r="Z417" s="149"/>
    </row>
    <row r="418" spans="1:26" s="69" customFormat="1" x14ac:dyDescent="0.25">
      <c r="A418" s="81"/>
      <c r="B418" s="81"/>
      <c r="C418" s="81"/>
      <c r="D418" s="82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111"/>
      <c r="S418" s="111"/>
      <c r="T418" s="111"/>
      <c r="U418" s="111"/>
      <c r="V418" s="111"/>
      <c r="W418" s="111"/>
      <c r="X418" s="111"/>
      <c r="Y418" s="111"/>
      <c r="Z418" s="149"/>
    </row>
    <row r="419" spans="1:26" s="69" customFormat="1" x14ac:dyDescent="0.25">
      <c r="A419" s="81"/>
      <c r="B419" s="81"/>
      <c r="C419" s="81"/>
      <c r="D419" s="82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111"/>
      <c r="S419" s="111"/>
      <c r="T419" s="111"/>
      <c r="U419" s="111"/>
      <c r="V419" s="111"/>
      <c r="W419" s="111"/>
      <c r="X419" s="111"/>
      <c r="Y419" s="111"/>
      <c r="Z419" s="149"/>
    </row>
    <row r="420" spans="1:26" s="69" customFormat="1" x14ac:dyDescent="0.25">
      <c r="A420" s="81"/>
      <c r="B420" s="81"/>
      <c r="C420" s="81"/>
      <c r="D420" s="82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111"/>
      <c r="S420" s="111"/>
      <c r="T420" s="111"/>
      <c r="U420" s="111"/>
      <c r="V420" s="111"/>
      <c r="W420" s="111"/>
      <c r="X420" s="111"/>
      <c r="Y420" s="111"/>
      <c r="Z420" s="149"/>
    </row>
    <row r="421" spans="1:26" s="69" customFormat="1" x14ac:dyDescent="0.25">
      <c r="A421" s="81"/>
      <c r="B421" s="81"/>
      <c r="C421" s="81"/>
      <c r="D421" s="82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111"/>
      <c r="S421" s="111"/>
      <c r="T421" s="111"/>
      <c r="U421" s="111"/>
      <c r="V421" s="111"/>
      <c r="W421" s="111"/>
      <c r="X421" s="111"/>
      <c r="Y421" s="111"/>
      <c r="Z421" s="149"/>
    </row>
    <row r="422" spans="1:26" s="69" customFormat="1" x14ac:dyDescent="0.25">
      <c r="A422" s="81"/>
      <c r="B422" s="81"/>
      <c r="C422" s="81"/>
      <c r="D422" s="82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111"/>
      <c r="S422" s="111"/>
      <c r="T422" s="111"/>
      <c r="U422" s="111"/>
      <c r="V422" s="111"/>
      <c r="W422" s="111"/>
      <c r="X422" s="111"/>
      <c r="Y422" s="111"/>
      <c r="Z422" s="149"/>
    </row>
    <row r="423" spans="1:26" s="69" customFormat="1" x14ac:dyDescent="0.25">
      <c r="A423" s="81"/>
      <c r="B423" s="81"/>
      <c r="C423" s="81"/>
      <c r="D423" s="82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111"/>
      <c r="S423" s="111"/>
      <c r="T423" s="111"/>
      <c r="U423" s="111"/>
      <c r="V423" s="111"/>
      <c r="W423" s="111"/>
      <c r="X423" s="111"/>
      <c r="Y423" s="111"/>
      <c r="Z423" s="149"/>
    </row>
    <row r="424" spans="1:26" s="69" customFormat="1" x14ac:dyDescent="0.25">
      <c r="A424" s="81"/>
      <c r="B424" s="81"/>
      <c r="C424" s="81"/>
      <c r="D424" s="82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111"/>
      <c r="S424" s="111"/>
      <c r="T424" s="111"/>
      <c r="U424" s="111"/>
      <c r="V424" s="111"/>
      <c r="W424" s="111"/>
      <c r="X424" s="111"/>
      <c r="Y424" s="111"/>
      <c r="Z424" s="149"/>
    </row>
    <row r="425" spans="1:26" s="69" customFormat="1" x14ac:dyDescent="0.25">
      <c r="A425" s="81"/>
      <c r="B425" s="81"/>
      <c r="C425" s="81"/>
      <c r="D425" s="82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111"/>
      <c r="S425" s="111"/>
      <c r="T425" s="111"/>
      <c r="U425" s="111"/>
      <c r="V425" s="111"/>
      <c r="W425" s="111"/>
      <c r="X425" s="111"/>
      <c r="Y425" s="111"/>
      <c r="Z425" s="149"/>
    </row>
    <row r="426" spans="1:26" s="69" customFormat="1" x14ac:dyDescent="0.25">
      <c r="A426" s="81"/>
      <c r="B426" s="81"/>
      <c r="C426" s="81"/>
      <c r="D426" s="82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111"/>
      <c r="S426" s="111"/>
      <c r="T426" s="111"/>
      <c r="U426" s="111"/>
      <c r="V426" s="111"/>
      <c r="W426" s="111"/>
      <c r="X426" s="111"/>
      <c r="Y426" s="111"/>
      <c r="Z426" s="149"/>
    </row>
    <row r="427" spans="1:26" s="69" customFormat="1" x14ac:dyDescent="0.25">
      <c r="A427" s="81"/>
      <c r="B427" s="81"/>
      <c r="C427" s="81"/>
      <c r="D427" s="82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111"/>
      <c r="S427" s="111"/>
      <c r="T427" s="111"/>
      <c r="U427" s="111"/>
      <c r="V427" s="111"/>
      <c r="W427" s="111"/>
      <c r="X427" s="111"/>
      <c r="Y427" s="111"/>
      <c r="Z427" s="149"/>
    </row>
    <row r="428" spans="1:26" s="69" customFormat="1" x14ac:dyDescent="0.25">
      <c r="A428" s="81"/>
      <c r="B428" s="81"/>
      <c r="C428" s="81"/>
      <c r="D428" s="82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111"/>
      <c r="S428" s="111"/>
      <c r="T428" s="111"/>
      <c r="U428" s="111"/>
      <c r="V428" s="111"/>
      <c r="W428" s="111"/>
      <c r="X428" s="111"/>
      <c r="Y428" s="111"/>
      <c r="Z428" s="149"/>
    </row>
    <row r="429" spans="1:26" s="69" customFormat="1" x14ac:dyDescent="0.25">
      <c r="A429" s="81"/>
      <c r="B429" s="81"/>
      <c r="C429" s="81"/>
      <c r="D429" s="82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111"/>
      <c r="S429" s="111"/>
      <c r="T429" s="111"/>
      <c r="U429" s="111"/>
      <c r="V429" s="111"/>
      <c r="W429" s="111"/>
      <c r="X429" s="111"/>
      <c r="Y429" s="111"/>
      <c r="Z429" s="149"/>
    </row>
    <row r="430" spans="1:26" s="69" customFormat="1" x14ac:dyDescent="0.25">
      <c r="A430" s="81"/>
      <c r="B430" s="81"/>
      <c r="C430" s="81"/>
      <c r="D430" s="82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111"/>
      <c r="S430" s="111"/>
      <c r="T430" s="111"/>
      <c r="U430" s="111"/>
      <c r="V430" s="111"/>
      <c r="W430" s="111"/>
      <c r="X430" s="111"/>
      <c r="Y430" s="111"/>
      <c r="Z430" s="149"/>
    </row>
    <row r="431" spans="1:26" s="69" customFormat="1" x14ac:dyDescent="0.25">
      <c r="A431" s="81"/>
      <c r="B431" s="81"/>
      <c r="C431" s="81"/>
      <c r="D431" s="82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111"/>
      <c r="S431" s="111"/>
      <c r="T431" s="111"/>
      <c r="U431" s="111"/>
      <c r="V431" s="111"/>
      <c r="W431" s="111"/>
      <c r="X431" s="111"/>
      <c r="Y431" s="111"/>
      <c r="Z431" s="149"/>
    </row>
    <row r="432" spans="1:26" s="69" customFormat="1" x14ac:dyDescent="0.25">
      <c r="A432" s="81"/>
      <c r="B432" s="81"/>
      <c r="C432" s="81"/>
      <c r="D432" s="82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111"/>
      <c r="S432" s="111"/>
      <c r="T432" s="111"/>
      <c r="U432" s="111"/>
      <c r="V432" s="111"/>
      <c r="W432" s="111"/>
      <c r="X432" s="111"/>
      <c r="Y432" s="111"/>
      <c r="Z432" s="149"/>
    </row>
    <row r="433" spans="1:26" s="69" customFormat="1" x14ac:dyDescent="0.25">
      <c r="A433" s="81"/>
      <c r="B433" s="81"/>
      <c r="C433" s="81"/>
      <c r="D433" s="82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111"/>
      <c r="S433" s="111"/>
      <c r="T433" s="111"/>
      <c r="U433" s="111"/>
      <c r="V433" s="111"/>
      <c r="W433" s="111"/>
      <c r="X433" s="111"/>
      <c r="Y433" s="111"/>
      <c r="Z433" s="149"/>
    </row>
    <row r="434" spans="1:26" s="69" customFormat="1" x14ac:dyDescent="0.25">
      <c r="A434" s="81"/>
      <c r="B434" s="81"/>
      <c r="C434" s="81"/>
      <c r="D434" s="82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111"/>
      <c r="S434" s="111"/>
      <c r="T434" s="111"/>
      <c r="U434" s="111"/>
      <c r="V434" s="111"/>
      <c r="W434" s="111"/>
      <c r="X434" s="111"/>
      <c r="Y434" s="111"/>
      <c r="Z434" s="149"/>
    </row>
    <row r="435" spans="1:26" s="69" customFormat="1" x14ac:dyDescent="0.25">
      <c r="A435" s="81"/>
      <c r="B435" s="81"/>
      <c r="C435" s="81"/>
      <c r="D435" s="82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111"/>
      <c r="S435" s="111"/>
      <c r="T435" s="111"/>
      <c r="U435" s="111"/>
      <c r="V435" s="111"/>
      <c r="W435" s="111"/>
      <c r="X435" s="111"/>
      <c r="Y435" s="111"/>
      <c r="Z435" s="149"/>
    </row>
    <row r="436" spans="1:26" s="69" customFormat="1" x14ac:dyDescent="0.25">
      <c r="A436" s="81"/>
      <c r="B436" s="81"/>
      <c r="C436" s="81"/>
      <c r="D436" s="82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111"/>
      <c r="S436" s="111"/>
      <c r="T436" s="111"/>
      <c r="U436" s="111"/>
      <c r="V436" s="111"/>
      <c r="W436" s="111"/>
      <c r="X436" s="111"/>
      <c r="Y436" s="111"/>
      <c r="Z436" s="149"/>
    </row>
    <row r="437" spans="1:26" s="69" customFormat="1" x14ac:dyDescent="0.25">
      <c r="A437" s="81"/>
      <c r="B437" s="81"/>
      <c r="C437" s="81"/>
      <c r="D437" s="82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111"/>
      <c r="S437" s="111"/>
      <c r="T437" s="111"/>
      <c r="U437" s="111"/>
      <c r="V437" s="111"/>
      <c r="W437" s="111"/>
      <c r="X437" s="111"/>
      <c r="Y437" s="111"/>
      <c r="Z437" s="149"/>
    </row>
    <row r="438" spans="1:26" s="69" customFormat="1" x14ac:dyDescent="0.25">
      <c r="A438" s="81"/>
      <c r="B438" s="81"/>
      <c r="C438" s="81"/>
      <c r="D438" s="82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111"/>
      <c r="S438" s="111"/>
      <c r="T438" s="111"/>
      <c r="U438" s="111"/>
      <c r="V438" s="111"/>
      <c r="W438" s="111"/>
      <c r="X438" s="111"/>
      <c r="Y438" s="111"/>
      <c r="Z438" s="149"/>
    </row>
    <row r="439" spans="1:26" s="69" customFormat="1" x14ac:dyDescent="0.25">
      <c r="A439" s="81"/>
      <c r="B439" s="81"/>
      <c r="C439" s="81"/>
      <c r="D439" s="82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111"/>
      <c r="S439" s="111"/>
      <c r="T439" s="111"/>
      <c r="U439" s="111"/>
      <c r="V439" s="111"/>
      <c r="W439" s="111"/>
      <c r="X439" s="111"/>
      <c r="Y439" s="111"/>
      <c r="Z439" s="149"/>
    </row>
    <row r="440" spans="1:26" s="69" customFormat="1" x14ac:dyDescent="0.25">
      <c r="A440" s="81"/>
      <c r="B440" s="81"/>
      <c r="C440" s="81"/>
      <c r="D440" s="82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111"/>
      <c r="S440" s="111"/>
      <c r="T440" s="111"/>
      <c r="U440" s="111"/>
      <c r="V440" s="111"/>
      <c r="W440" s="111"/>
      <c r="X440" s="111"/>
      <c r="Y440" s="111"/>
      <c r="Z440" s="149"/>
    </row>
    <row r="441" spans="1:26" s="69" customFormat="1" x14ac:dyDescent="0.25">
      <c r="A441" s="81"/>
      <c r="B441" s="81"/>
      <c r="C441" s="81"/>
      <c r="D441" s="82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111"/>
      <c r="S441" s="111"/>
      <c r="T441" s="111"/>
      <c r="U441" s="111"/>
      <c r="V441" s="111"/>
      <c r="W441" s="111"/>
      <c r="X441" s="111"/>
      <c r="Y441" s="111"/>
      <c r="Z441" s="149"/>
    </row>
    <row r="442" spans="1:26" s="69" customFormat="1" x14ac:dyDescent="0.25">
      <c r="A442" s="81"/>
      <c r="B442" s="81"/>
      <c r="C442" s="81"/>
      <c r="D442" s="82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111"/>
      <c r="S442" s="111"/>
      <c r="T442" s="111"/>
      <c r="U442" s="111"/>
      <c r="V442" s="111"/>
      <c r="W442" s="111"/>
      <c r="X442" s="111"/>
      <c r="Y442" s="111"/>
      <c r="Z442" s="149"/>
    </row>
    <row r="443" spans="1:26" s="69" customFormat="1" x14ac:dyDescent="0.25">
      <c r="A443" s="81"/>
      <c r="B443" s="81"/>
      <c r="C443" s="81"/>
      <c r="D443" s="82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111"/>
      <c r="S443" s="111"/>
      <c r="T443" s="111"/>
      <c r="U443" s="111"/>
      <c r="V443" s="111"/>
      <c r="W443" s="111"/>
      <c r="X443" s="111"/>
      <c r="Y443" s="111"/>
      <c r="Z443" s="149"/>
    </row>
    <row r="444" spans="1:26" s="69" customFormat="1" x14ac:dyDescent="0.25">
      <c r="A444" s="81"/>
      <c r="B444" s="81"/>
      <c r="C444" s="81"/>
      <c r="D444" s="82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111"/>
      <c r="S444" s="111"/>
      <c r="T444" s="111"/>
      <c r="U444" s="111"/>
      <c r="V444" s="111"/>
      <c r="W444" s="111"/>
      <c r="X444" s="111"/>
      <c r="Y444" s="111"/>
      <c r="Z444" s="149"/>
    </row>
    <row r="445" spans="1:26" s="69" customFormat="1" x14ac:dyDescent="0.25">
      <c r="A445" s="81"/>
      <c r="B445" s="81"/>
      <c r="C445" s="81"/>
      <c r="D445" s="82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111"/>
      <c r="S445" s="111"/>
      <c r="T445" s="111"/>
      <c r="U445" s="111"/>
      <c r="V445" s="111"/>
      <c r="W445" s="111"/>
      <c r="X445" s="111"/>
      <c r="Y445" s="111"/>
      <c r="Z445" s="149"/>
    </row>
    <row r="446" spans="1:26" s="69" customFormat="1" x14ac:dyDescent="0.25">
      <c r="A446" s="81"/>
      <c r="B446" s="81"/>
      <c r="C446" s="81"/>
      <c r="D446" s="82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111"/>
      <c r="S446" s="111"/>
      <c r="T446" s="111"/>
      <c r="U446" s="111"/>
      <c r="V446" s="111"/>
      <c r="W446" s="111"/>
      <c r="X446" s="111"/>
      <c r="Y446" s="111"/>
      <c r="Z446" s="149"/>
    </row>
    <row r="447" spans="1:26" s="69" customFormat="1" x14ac:dyDescent="0.25">
      <c r="A447" s="81"/>
      <c r="B447" s="81"/>
      <c r="C447" s="81"/>
      <c r="D447" s="82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111"/>
      <c r="S447" s="111"/>
      <c r="T447" s="111"/>
      <c r="U447" s="111"/>
      <c r="V447" s="111"/>
      <c r="W447" s="111"/>
      <c r="X447" s="111"/>
      <c r="Y447" s="111"/>
      <c r="Z447" s="149"/>
    </row>
    <row r="448" spans="1:26" s="69" customFormat="1" x14ac:dyDescent="0.25">
      <c r="A448" s="81"/>
      <c r="B448" s="81"/>
      <c r="C448" s="81"/>
      <c r="D448" s="82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111"/>
      <c r="S448" s="111"/>
      <c r="T448" s="111"/>
      <c r="U448" s="111"/>
      <c r="V448" s="111"/>
      <c r="W448" s="111"/>
      <c r="X448" s="111"/>
      <c r="Y448" s="111"/>
      <c r="Z448" s="149"/>
    </row>
    <row r="449" spans="1:26" s="69" customFormat="1" x14ac:dyDescent="0.25">
      <c r="A449" s="81"/>
      <c r="B449" s="81"/>
      <c r="C449" s="81"/>
      <c r="D449" s="82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111"/>
      <c r="S449" s="111"/>
      <c r="T449" s="111"/>
      <c r="U449" s="111"/>
      <c r="V449" s="111"/>
      <c r="W449" s="111"/>
      <c r="X449" s="111"/>
      <c r="Y449" s="111"/>
      <c r="Z449" s="149"/>
    </row>
    <row r="450" spans="1:26" s="69" customFormat="1" x14ac:dyDescent="0.25">
      <c r="A450" s="81"/>
      <c r="B450" s="81"/>
      <c r="C450" s="81"/>
      <c r="D450" s="82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111"/>
      <c r="S450" s="111"/>
      <c r="T450" s="111"/>
      <c r="U450" s="111"/>
      <c r="V450" s="111"/>
      <c r="W450" s="111"/>
      <c r="X450" s="111"/>
      <c r="Y450" s="111"/>
      <c r="Z450" s="149"/>
    </row>
    <row r="451" spans="1:26" s="69" customFormat="1" x14ac:dyDescent="0.25">
      <c r="A451" s="81"/>
      <c r="B451" s="81"/>
      <c r="C451" s="81"/>
      <c r="D451" s="82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111"/>
      <c r="S451" s="111"/>
      <c r="T451" s="111"/>
      <c r="U451" s="111"/>
      <c r="V451" s="111"/>
      <c r="W451" s="111"/>
      <c r="X451" s="111"/>
      <c r="Y451" s="111"/>
      <c r="Z451" s="149"/>
    </row>
    <row r="452" spans="1:26" s="69" customFormat="1" x14ac:dyDescent="0.25">
      <c r="A452" s="81"/>
      <c r="B452" s="81"/>
      <c r="C452" s="81"/>
      <c r="D452" s="82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111"/>
      <c r="S452" s="111"/>
      <c r="T452" s="111"/>
      <c r="U452" s="111"/>
      <c r="V452" s="111"/>
      <c r="W452" s="111"/>
      <c r="X452" s="111"/>
      <c r="Y452" s="111"/>
      <c r="Z452" s="149"/>
    </row>
    <row r="453" spans="1:26" s="69" customFormat="1" x14ac:dyDescent="0.25">
      <c r="A453" s="81"/>
      <c r="B453" s="81"/>
      <c r="C453" s="81"/>
      <c r="D453" s="82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111"/>
      <c r="S453" s="111"/>
      <c r="T453" s="111"/>
      <c r="U453" s="111"/>
      <c r="V453" s="111"/>
      <c r="W453" s="111"/>
      <c r="X453" s="111"/>
      <c r="Y453" s="111"/>
      <c r="Z453" s="149"/>
    </row>
    <row r="454" spans="1:26" s="69" customFormat="1" x14ac:dyDescent="0.25">
      <c r="A454" s="81"/>
      <c r="B454" s="81"/>
      <c r="C454" s="81"/>
      <c r="D454" s="82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111"/>
      <c r="S454" s="111"/>
      <c r="T454" s="111"/>
      <c r="U454" s="111"/>
      <c r="V454" s="111"/>
      <c r="W454" s="111"/>
      <c r="X454" s="111"/>
      <c r="Y454" s="111"/>
      <c r="Z454" s="149"/>
    </row>
    <row r="455" spans="1:26" s="69" customFormat="1" x14ac:dyDescent="0.25">
      <c r="A455" s="81"/>
      <c r="B455" s="81"/>
      <c r="C455" s="81"/>
      <c r="D455" s="82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111"/>
      <c r="S455" s="111"/>
      <c r="T455" s="111"/>
      <c r="U455" s="111"/>
      <c r="V455" s="111"/>
      <c r="W455" s="111"/>
      <c r="X455" s="111"/>
      <c r="Y455" s="111"/>
      <c r="Z455" s="149"/>
    </row>
    <row r="456" spans="1:26" s="69" customFormat="1" x14ac:dyDescent="0.25">
      <c r="A456" s="81"/>
      <c r="B456" s="81"/>
      <c r="C456" s="81"/>
      <c r="D456" s="82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111"/>
      <c r="S456" s="111"/>
      <c r="T456" s="111"/>
      <c r="U456" s="111"/>
      <c r="V456" s="111"/>
      <c r="W456" s="111"/>
      <c r="X456" s="111"/>
      <c r="Y456" s="111"/>
      <c r="Z456" s="149"/>
    </row>
    <row r="457" spans="1:26" s="69" customFormat="1" x14ac:dyDescent="0.25">
      <c r="A457" s="81"/>
      <c r="B457" s="81"/>
      <c r="C457" s="81"/>
      <c r="D457" s="82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111"/>
      <c r="S457" s="111"/>
      <c r="T457" s="111"/>
      <c r="U457" s="111"/>
      <c r="V457" s="111"/>
      <c r="W457" s="111"/>
      <c r="X457" s="111"/>
      <c r="Y457" s="111"/>
      <c r="Z457" s="149"/>
    </row>
    <row r="458" spans="1:26" s="69" customFormat="1" x14ac:dyDescent="0.25">
      <c r="A458" s="81"/>
      <c r="B458" s="81"/>
      <c r="C458" s="81"/>
      <c r="D458" s="82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111"/>
      <c r="S458" s="111"/>
      <c r="T458" s="111"/>
      <c r="U458" s="111"/>
      <c r="V458" s="111"/>
      <c r="W458" s="111"/>
      <c r="X458" s="111"/>
      <c r="Y458" s="111"/>
      <c r="Z458" s="149"/>
    </row>
    <row r="459" spans="1:26" s="69" customFormat="1" x14ac:dyDescent="0.25">
      <c r="A459" s="81"/>
      <c r="B459" s="81"/>
      <c r="C459" s="81"/>
      <c r="D459" s="82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111"/>
      <c r="S459" s="111"/>
      <c r="T459" s="111"/>
      <c r="U459" s="111"/>
      <c r="V459" s="111"/>
      <c r="W459" s="111"/>
      <c r="X459" s="111"/>
      <c r="Y459" s="111"/>
      <c r="Z459" s="149"/>
    </row>
    <row r="460" spans="1:26" s="69" customFormat="1" x14ac:dyDescent="0.25">
      <c r="A460" s="81"/>
      <c r="B460" s="81"/>
      <c r="C460" s="81"/>
      <c r="D460" s="82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111"/>
      <c r="S460" s="111"/>
      <c r="T460" s="111"/>
      <c r="U460" s="111"/>
      <c r="V460" s="111"/>
      <c r="W460" s="111"/>
      <c r="X460" s="111"/>
      <c r="Y460" s="111"/>
      <c r="Z460" s="149"/>
    </row>
    <row r="461" spans="1:26" s="69" customFormat="1" x14ac:dyDescent="0.25">
      <c r="A461" s="81"/>
      <c r="B461" s="81"/>
      <c r="C461" s="81"/>
      <c r="D461" s="82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111"/>
      <c r="S461" s="111"/>
      <c r="T461" s="111"/>
      <c r="U461" s="111"/>
      <c r="V461" s="111"/>
      <c r="W461" s="111"/>
      <c r="X461" s="111"/>
      <c r="Y461" s="111"/>
      <c r="Z461" s="149"/>
    </row>
    <row r="462" spans="1:26" s="69" customFormat="1" x14ac:dyDescent="0.25">
      <c r="A462" s="81"/>
      <c r="B462" s="81"/>
      <c r="C462" s="81"/>
      <c r="D462" s="82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111"/>
      <c r="S462" s="111"/>
      <c r="T462" s="111"/>
      <c r="U462" s="111"/>
      <c r="V462" s="111"/>
      <c r="W462" s="111"/>
      <c r="X462" s="111"/>
      <c r="Y462" s="111"/>
      <c r="Z462" s="149"/>
    </row>
    <row r="463" spans="1:26" s="69" customFormat="1" x14ac:dyDescent="0.25">
      <c r="A463" s="81"/>
      <c r="B463" s="81"/>
      <c r="C463" s="81"/>
      <c r="D463" s="82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111"/>
      <c r="S463" s="111"/>
      <c r="T463" s="111"/>
      <c r="U463" s="111"/>
      <c r="V463" s="111"/>
      <c r="W463" s="111"/>
      <c r="X463" s="111"/>
      <c r="Y463" s="111"/>
      <c r="Z463" s="149"/>
    </row>
    <row r="464" spans="1:26" s="69" customFormat="1" x14ac:dyDescent="0.25">
      <c r="A464" s="81"/>
      <c r="B464" s="81"/>
      <c r="C464" s="81"/>
      <c r="D464" s="82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111"/>
      <c r="S464" s="111"/>
      <c r="T464" s="111"/>
      <c r="U464" s="111"/>
      <c r="V464" s="111"/>
      <c r="W464" s="111"/>
      <c r="X464" s="111"/>
      <c r="Y464" s="111"/>
      <c r="Z464" s="149"/>
    </row>
    <row r="465" spans="1:26" s="69" customFormat="1" x14ac:dyDescent="0.25">
      <c r="A465" s="81"/>
      <c r="B465" s="81"/>
      <c r="C465" s="81"/>
      <c r="D465" s="82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111"/>
      <c r="S465" s="111"/>
      <c r="T465" s="111"/>
      <c r="U465" s="111"/>
      <c r="V465" s="111"/>
      <c r="W465" s="111"/>
      <c r="X465" s="111"/>
      <c r="Y465" s="111"/>
      <c r="Z465" s="149"/>
    </row>
    <row r="466" spans="1:26" s="69" customFormat="1" x14ac:dyDescent="0.25">
      <c r="A466" s="81"/>
      <c r="B466" s="81"/>
      <c r="C466" s="81"/>
      <c r="D466" s="82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111"/>
      <c r="S466" s="111"/>
      <c r="T466" s="111"/>
      <c r="U466" s="111"/>
      <c r="V466" s="111"/>
      <c r="W466" s="111"/>
      <c r="X466" s="111"/>
      <c r="Y466" s="111"/>
      <c r="Z466" s="149"/>
    </row>
    <row r="467" spans="1:26" s="69" customFormat="1" x14ac:dyDescent="0.25">
      <c r="A467" s="81"/>
      <c r="B467" s="81"/>
      <c r="C467" s="81"/>
      <c r="D467" s="82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111"/>
      <c r="S467" s="111"/>
      <c r="T467" s="111"/>
      <c r="U467" s="111"/>
      <c r="V467" s="111"/>
      <c r="W467" s="111"/>
      <c r="X467" s="111"/>
      <c r="Y467" s="111"/>
      <c r="Z467" s="149"/>
    </row>
    <row r="468" spans="1:26" s="69" customFormat="1" x14ac:dyDescent="0.25">
      <c r="A468" s="81"/>
      <c r="B468" s="81"/>
      <c r="C468" s="81"/>
      <c r="D468" s="82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111"/>
      <c r="S468" s="111"/>
      <c r="T468" s="111"/>
      <c r="U468" s="111"/>
      <c r="V468" s="111"/>
      <c r="W468" s="111"/>
      <c r="X468" s="111"/>
      <c r="Y468" s="111"/>
      <c r="Z468" s="149"/>
    </row>
    <row r="469" spans="1:26" s="69" customFormat="1" x14ac:dyDescent="0.25">
      <c r="A469" s="81"/>
      <c r="B469" s="81"/>
      <c r="C469" s="81"/>
      <c r="D469" s="82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111"/>
      <c r="S469" s="111"/>
      <c r="T469" s="111"/>
      <c r="U469" s="111"/>
      <c r="V469" s="111"/>
      <c r="W469" s="111"/>
      <c r="X469" s="111"/>
      <c r="Y469" s="111"/>
      <c r="Z469" s="149"/>
    </row>
    <row r="470" spans="1:26" s="69" customFormat="1" x14ac:dyDescent="0.25">
      <c r="A470" s="81"/>
      <c r="B470" s="81"/>
      <c r="C470" s="81"/>
      <c r="D470" s="82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111"/>
      <c r="S470" s="111"/>
      <c r="T470" s="111"/>
      <c r="U470" s="111"/>
      <c r="V470" s="111"/>
      <c r="W470" s="111"/>
      <c r="X470" s="111"/>
      <c r="Y470" s="111"/>
      <c r="Z470" s="149"/>
    </row>
    <row r="471" spans="1:26" s="69" customFormat="1" x14ac:dyDescent="0.25">
      <c r="A471" s="81"/>
      <c r="B471" s="81"/>
      <c r="C471" s="81"/>
      <c r="D471" s="82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111"/>
      <c r="S471" s="111"/>
      <c r="T471" s="111"/>
      <c r="U471" s="111"/>
      <c r="V471" s="111"/>
      <c r="W471" s="111"/>
      <c r="X471" s="111"/>
      <c r="Y471" s="111"/>
      <c r="Z471" s="149"/>
    </row>
    <row r="472" spans="1:26" s="69" customFormat="1" x14ac:dyDescent="0.25">
      <c r="A472" s="81"/>
      <c r="B472" s="81"/>
      <c r="C472" s="81"/>
      <c r="D472" s="82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111"/>
      <c r="S472" s="111"/>
      <c r="T472" s="111"/>
      <c r="U472" s="111"/>
      <c r="V472" s="111"/>
      <c r="W472" s="111"/>
      <c r="X472" s="111"/>
      <c r="Y472" s="111"/>
      <c r="Z472" s="149"/>
    </row>
    <row r="473" spans="1:26" s="69" customFormat="1" x14ac:dyDescent="0.25">
      <c r="A473" s="81"/>
      <c r="B473" s="81"/>
      <c r="C473" s="81"/>
      <c r="D473" s="82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111"/>
      <c r="S473" s="111"/>
      <c r="T473" s="111"/>
      <c r="U473" s="111"/>
      <c r="V473" s="111"/>
      <c r="W473" s="111"/>
      <c r="X473" s="111"/>
      <c r="Y473" s="111"/>
      <c r="Z473" s="149"/>
    </row>
    <row r="474" spans="1:26" s="69" customFormat="1" x14ac:dyDescent="0.25">
      <c r="A474" s="81"/>
      <c r="B474" s="81"/>
      <c r="C474" s="81"/>
      <c r="D474" s="82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111"/>
      <c r="S474" s="111"/>
      <c r="T474" s="111"/>
      <c r="U474" s="111"/>
      <c r="V474" s="111"/>
      <c r="W474" s="111"/>
      <c r="X474" s="111"/>
      <c r="Y474" s="111"/>
      <c r="Z474" s="149"/>
    </row>
    <row r="475" spans="1:26" s="69" customFormat="1" x14ac:dyDescent="0.25">
      <c r="A475" s="81"/>
      <c r="B475" s="81"/>
      <c r="C475" s="81"/>
      <c r="D475" s="82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111"/>
      <c r="S475" s="111"/>
      <c r="T475" s="111"/>
      <c r="U475" s="111"/>
      <c r="V475" s="111"/>
      <c r="W475" s="111"/>
      <c r="X475" s="111"/>
      <c r="Y475" s="111"/>
      <c r="Z475" s="149"/>
    </row>
    <row r="476" spans="1:26" s="69" customFormat="1" x14ac:dyDescent="0.25">
      <c r="A476" s="81"/>
      <c r="B476" s="81"/>
      <c r="C476" s="81"/>
      <c r="D476" s="82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111"/>
      <c r="S476" s="111"/>
      <c r="T476" s="111"/>
      <c r="U476" s="111"/>
      <c r="V476" s="111"/>
      <c r="W476" s="111"/>
      <c r="X476" s="111"/>
      <c r="Y476" s="111"/>
      <c r="Z476" s="149"/>
    </row>
    <row r="477" spans="1:26" s="69" customFormat="1" x14ac:dyDescent="0.25">
      <c r="A477" s="81"/>
      <c r="B477" s="81"/>
      <c r="C477" s="81"/>
      <c r="D477" s="82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111"/>
      <c r="S477" s="111"/>
      <c r="T477" s="111"/>
      <c r="U477" s="111"/>
      <c r="V477" s="111"/>
      <c r="W477" s="111"/>
      <c r="X477" s="111"/>
      <c r="Y477" s="111"/>
      <c r="Z477" s="149"/>
    </row>
    <row r="478" spans="1:26" s="69" customFormat="1" x14ac:dyDescent="0.25">
      <c r="A478" s="81"/>
      <c r="B478" s="81"/>
      <c r="C478" s="81"/>
      <c r="D478" s="82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111"/>
      <c r="S478" s="111"/>
      <c r="T478" s="111"/>
      <c r="U478" s="111"/>
      <c r="V478" s="111"/>
      <c r="W478" s="111"/>
      <c r="X478" s="111"/>
      <c r="Y478" s="111"/>
      <c r="Z478" s="149"/>
    </row>
    <row r="479" spans="1:26" s="69" customFormat="1" x14ac:dyDescent="0.25">
      <c r="A479" s="81"/>
      <c r="B479" s="81"/>
      <c r="C479" s="81"/>
      <c r="D479" s="82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111"/>
      <c r="S479" s="111"/>
      <c r="T479" s="111"/>
      <c r="U479" s="111"/>
      <c r="V479" s="111"/>
      <c r="W479" s="111"/>
      <c r="X479" s="111"/>
      <c r="Y479" s="111"/>
      <c r="Z479" s="149"/>
    </row>
    <row r="480" spans="1:26" s="69" customFormat="1" x14ac:dyDescent="0.25">
      <c r="A480" s="81"/>
      <c r="B480" s="81"/>
      <c r="C480" s="81"/>
      <c r="D480" s="82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111"/>
      <c r="S480" s="111"/>
      <c r="T480" s="111"/>
      <c r="U480" s="111"/>
      <c r="V480" s="111"/>
      <c r="W480" s="111"/>
      <c r="X480" s="111"/>
      <c r="Y480" s="111"/>
      <c r="Z480" s="149"/>
    </row>
    <row r="481" spans="1:26" s="69" customFormat="1" x14ac:dyDescent="0.25">
      <c r="A481" s="81"/>
      <c r="B481" s="81"/>
      <c r="C481" s="81"/>
      <c r="D481" s="82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111"/>
      <c r="S481" s="111"/>
      <c r="T481" s="111"/>
      <c r="U481" s="111"/>
      <c r="V481" s="111"/>
      <c r="W481" s="111"/>
      <c r="X481" s="111"/>
      <c r="Y481" s="111"/>
      <c r="Z481" s="149"/>
    </row>
    <row r="482" spans="1:26" s="69" customFormat="1" x14ac:dyDescent="0.25">
      <c r="A482" s="81"/>
      <c r="B482" s="81"/>
      <c r="C482" s="81"/>
      <c r="D482" s="82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111"/>
      <c r="S482" s="111"/>
      <c r="T482" s="111"/>
      <c r="U482" s="111"/>
      <c r="V482" s="111"/>
      <c r="W482" s="111"/>
      <c r="X482" s="111"/>
      <c r="Y482" s="111"/>
      <c r="Z482" s="149"/>
    </row>
    <row r="483" spans="1:26" s="69" customFormat="1" x14ac:dyDescent="0.25">
      <c r="A483" s="81"/>
      <c r="B483" s="81"/>
      <c r="C483" s="81"/>
      <c r="D483" s="82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111"/>
      <c r="S483" s="111"/>
      <c r="T483" s="111"/>
      <c r="U483" s="111"/>
      <c r="V483" s="111"/>
      <c r="W483" s="111"/>
      <c r="X483" s="111"/>
      <c r="Y483" s="111"/>
      <c r="Z483" s="149"/>
    </row>
    <row r="484" spans="1:26" s="69" customFormat="1" x14ac:dyDescent="0.25">
      <c r="A484" s="81"/>
      <c r="B484" s="81"/>
      <c r="C484" s="81"/>
      <c r="D484" s="82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111"/>
      <c r="S484" s="111"/>
      <c r="T484" s="111"/>
      <c r="U484" s="111"/>
      <c r="V484" s="111"/>
      <c r="W484" s="111"/>
      <c r="X484" s="111"/>
      <c r="Y484" s="111"/>
      <c r="Z484" s="149"/>
    </row>
    <row r="485" spans="1:26" s="69" customFormat="1" x14ac:dyDescent="0.25">
      <c r="A485" s="81"/>
      <c r="B485" s="81"/>
      <c r="C485" s="81"/>
      <c r="D485" s="82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111"/>
      <c r="S485" s="111"/>
      <c r="T485" s="111"/>
      <c r="U485" s="111"/>
      <c r="V485" s="111"/>
      <c r="W485" s="111"/>
      <c r="X485" s="111"/>
      <c r="Y485" s="111"/>
      <c r="Z485" s="149"/>
    </row>
    <row r="486" spans="1:26" s="69" customFormat="1" x14ac:dyDescent="0.25">
      <c r="A486" s="81"/>
      <c r="B486" s="81"/>
      <c r="C486" s="81"/>
      <c r="D486" s="82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111"/>
      <c r="S486" s="111"/>
      <c r="T486" s="111"/>
      <c r="U486" s="111"/>
      <c r="V486" s="111"/>
      <c r="W486" s="111"/>
      <c r="X486" s="111"/>
      <c r="Y486" s="111"/>
      <c r="Z486" s="149"/>
    </row>
    <row r="487" spans="1:26" s="69" customFormat="1" x14ac:dyDescent="0.25">
      <c r="A487" s="81"/>
      <c r="B487" s="81"/>
      <c r="C487" s="81"/>
      <c r="D487" s="82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111"/>
      <c r="S487" s="111"/>
      <c r="T487" s="111"/>
      <c r="U487" s="111"/>
      <c r="V487" s="111"/>
      <c r="W487" s="111"/>
      <c r="X487" s="111"/>
      <c r="Y487" s="111"/>
      <c r="Z487" s="149"/>
    </row>
    <row r="488" spans="1:26" s="69" customFormat="1" x14ac:dyDescent="0.25">
      <c r="A488" s="81"/>
      <c r="B488" s="81"/>
      <c r="C488" s="81"/>
      <c r="D488" s="82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111"/>
      <c r="S488" s="111"/>
      <c r="T488" s="111"/>
      <c r="U488" s="111"/>
      <c r="V488" s="111"/>
      <c r="W488" s="111"/>
      <c r="X488" s="111"/>
      <c r="Y488" s="111"/>
      <c r="Z488" s="149"/>
    </row>
    <row r="489" spans="1:26" s="69" customFormat="1" x14ac:dyDescent="0.25">
      <c r="A489" s="81"/>
      <c r="B489" s="81"/>
      <c r="C489" s="81"/>
      <c r="D489" s="82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111"/>
      <c r="S489" s="111"/>
      <c r="T489" s="111"/>
      <c r="U489" s="111"/>
      <c r="V489" s="111"/>
      <c r="W489" s="111"/>
      <c r="X489" s="111"/>
      <c r="Y489" s="111"/>
      <c r="Z489" s="149"/>
    </row>
    <row r="490" spans="1:26" s="69" customFormat="1" x14ac:dyDescent="0.25">
      <c r="A490" s="81"/>
      <c r="B490" s="81"/>
      <c r="C490" s="81"/>
      <c r="D490" s="82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111"/>
      <c r="S490" s="111"/>
      <c r="T490" s="111"/>
      <c r="U490" s="111"/>
      <c r="V490" s="111"/>
      <c r="W490" s="111"/>
      <c r="X490" s="111"/>
      <c r="Y490" s="111"/>
      <c r="Z490" s="149"/>
    </row>
    <row r="491" spans="1:26" s="69" customFormat="1" x14ac:dyDescent="0.25">
      <c r="A491" s="81"/>
      <c r="B491" s="81"/>
      <c r="C491" s="81"/>
      <c r="D491" s="82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111"/>
      <c r="S491" s="111"/>
      <c r="T491" s="111"/>
      <c r="U491" s="111"/>
      <c r="V491" s="111"/>
      <c r="W491" s="111"/>
      <c r="X491" s="111"/>
      <c r="Y491" s="111"/>
      <c r="Z491" s="149"/>
    </row>
    <row r="492" spans="1:26" s="69" customFormat="1" x14ac:dyDescent="0.25">
      <c r="A492" s="81"/>
      <c r="B492" s="81"/>
      <c r="C492" s="81"/>
      <c r="D492" s="82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111"/>
      <c r="S492" s="111"/>
      <c r="T492" s="111"/>
      <c r="U492" s="111"/>
      <c r="V492" s="111"/>
      <c r="W492" s="111"/>
      <c r="X492" s="111"/>
      <c r="Y492" s="111"/>
      <c r="Z492" s="149"/>
    </row>
    <row r="493" spans="1:26" s="69" customFormat="1" x14ac:dyDescent="0.25">
      <c r="A493" s="81"/>
      <c r="B493" s="81"/>
      <c r="C493" s="81"/>
      <c r="D493" s="82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111"/>
      <c r="S493" s="111"/>
      <c r="T493" s="111"/>
      <c r="U493" s="111"/>
      <c r="V493" s="111"/>
      <c r="W493" s="111"/>
      <c r="X493" s="111"/>
      <c r="Y493" s="111"/>
      <c r="Z493" s="149"/>
    </row>
    <row r="494" spans="1:26" s="69" customFormat="1" x14ac:dyDescent="0.25">
      <c r="A494" s="81"/>
      <c r="B494" s="81"/>
      <c r="C494" s="81"/>
      <c r="D494" s="82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111"/>
      <c r="S494" s="111"/>
      <c r="T494" s="111"/>
      <c r="U494" s="111"/>
      <c r="V494" s="111"/>
      <c r="W494" s="111"/>
      <c r="X494" s="111"/>
      <c r="Y494" s="111"/>
      <c r="Z494" s="149"/>
    </row>
    <row r="495" spans="1:26" s="69" customFormat="1" x14ac:dyDescent="0.25">
      <c r="A495" s="81"/>
      <c r="B495" s="81"/>
      <c r="C495" s="81"/>
      <c r="D495" s="82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111"/>
      <c r="S495" s="111"/>
      <c r="T495" s="111"/>
      <c r="U495" s="111"/>
      <c r="V495" s="111"/>
      <c r="W495" s="111"/>
      <c r="X495" s="111"/>
      <c r="Y495" s="111"/>
      <c r="Z495" s="149"/>
    </row>
    <row r="496" spans="1:26" s="69" customFormat="1" x14ac:dyDescent="0.25">
      <c r="A496" s="81"/>
      <c r="B496" s="81"/>
      <c r="C496" s="81"/>
      <c r="D496" s="82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111"/>
      <c r="S496" s="111"/>
      <c r="T496" s="111"/>
      <c r="U496" s="111"/>
      <c r="V496" s="111"/>
      <c r="W496" s="111"/>
      <c r="X496" s="111"/>
      <c r="Y496" s="111"/>
      <c r="Z496" s="149"/>
    </row>
    <row r="497" spans="1:26" s="69" customFormat="1" x14ac:dyDescent="0.25">
      <c r="A497" s="81"/>
      <c r="B497" s="81"/>
      <c r="C497" s="81"/>
      <c r="D497" s="82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111"/>
      <c r="S497" s="111"/>
      <c r="T497" s="111"/>
      <c r="U497" s="111"/>
      <c r="V497" s="111"/>
      <c r="W497" s="111"/>
      <c r="X497" s="111"/>
      <c r="Y497" s="111"/>
      <c r="Z497" s="149"/>
    </row>
    <row r="498" spans="1:26" s="69" customFormat="1" x14ac:dyDescent="0.25">
      <c r="A498" s="81"/>
      <c r="B498" s="81"/>
      <c r="C498" s="81"/>
      <c r="D498" s="82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111"/>
      <c r="S498" s="111"/>
      <c r="T498" s="111"/>
      <c r="U498" s="111"/>
      <c r="V498" s="111"/>
      <c r="W498" s="111"/>
      <c r="X498" s="111"/>
      <c r="Y498" s="111"/>
      <c r="Z498" s="149"/>
    </row>
    <row r="499" spans="1:26" s="69" customFormat="1" x14ac:dyDescent="0.25">
      <c r="A499" s="81"/>
      <c r="B499" s="81"/>
      <c r="C499" s="81"/>
      <c r="D499" s="82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111"/>
      <c r="S499" s="111"/>
      <c r="T499" s="111"/>
      <c r="U499" s="111"/>
      <c r="V499" s="111"/>
      <c r="W499" s="111"/>
      <c r="X499" s="111"/>
      <c r="Y499" s="111"/>
      <c r="Z499" s="149"/>
    </row>
    <row r="500" spans="1:26" s="69" customFormat="1" x14ac:dyDescent="0.25">
      <c r="A500" s="81"/>
      <c r="B500" s="81"/>
      <c r="C500" s="81"/>
      <c r="D500" s="82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111"/>
      <c r="S500" s="111"/>
      <c r="T500" s="111"/>
      <c r="U500" s="111"/>
      <c r="V500" s="111"/>
      <c r="W500" s="111"/>
      <c r="X500" s="111"/>
      <c r="Y500" s="111"/>
      <c r="Z500" s="149"/>
    </row>
    <row r="501" spans="1:26" s="69" customFormat="1" x14ac:dyDescent="0.25">
      <c r="A501" s="81"/>
      <c r="B501" s="81"/>
      <c r="C501" s="81"/>
      <c r="D501" s="82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111"/>
      <c r="S501" s="111"/>
      <c r="T501" s="111"/>
      <c r="U501" s="111"/>
      <c r="V501" s="111"/>
      <c r="W501" s="111"/>
      <c r="X501" s="111"/>
      <c r="Y501" s="111"/>
      <c r="Z501" s="149"/>
    </row>
    <row r="502" spans="1:26" s="69" customFormat="1" x14ac:dyDescent="0.25">
      <c r="A502" s="81"/>
      <c r="B502" s="81"/>
      <c r="C502" s="81"/>
      <c r="D502" s="82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111"/>
      <c r="S502" s="111"/>
      <c r="T502" s="111"/>
      <c r="U502" s="111"/>
      <c r="V502" s="111"/>
      <c r="W502" s="111"/>
      <c r="X502" s="111"/>
      <c r="Y502" s="111"/>
      <c r="Z502" s="149"/>
    </row>
    <row r="503" spans="1:26" s="69" customFormat="1" x14ac:dyDescent="0.25">
      <c r="A503" s="81"/>
      <c r="B503" s="81"/>
      <c r="C503" s="81"/>
      <c r="D503" s="82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111"/>
      <c r="S503" s="111"/>
      <c r="T503" s="111"/>
      <c r="U503" s="111"/>
      <c r="V503" s="111"/>
      <c r="W503" s="111"/>
      <c r="X503" s="111"/>
      <c r="Y503" s="111"/>
      <c r="Z503" s="149"/>
    </row>
    <row r="504" spans="1:26" s="69" customFormat="1" x14ac:dyDescent="0.25">
      <c r="A504" s="81"/>
      <c r="B504" s="81"/>
      <c r="C504" s="81"/>
      <c r="D504" s="82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111"/>
      <c r="S504" s="111"/>
      <c r="T504" s="111"/>
      <c r="U504" s="111"/>
      <c r="V504" s="111"/>
      <c r="W504" s="111"/>
      <c r="X504" s="111"/>
      <c r="Y504" s="111"/>
      <c r="Z504" s="149"/>
    </row>
    <row r="505" spans="1:26" s="69" customFormat="1" x14ac:dyDescent="0.25">
      <c r="A505" s="81"/>
      <c r="B505" s="81"/>
      <c r="C505" s="81"/>
      <c r="D505" s="82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111"/>
      <c r="S505" s="111"/>
      <c r="T505" s="111"/>
      <c r="U505" s="111"/>
      <c r="V505" s="111"/>
      <c r="W505" s="111"/>
      <c r="X505" s="111"/>
      <c r="Y505" s="111"/>
      <c r="Z505" s="149"/>
    </row>
    <row r="506" spans="1:26" s="69" customFormat="1" x14ac:dyDescent="0.25">
      <c r="A506" s="81"/>
      <c r="B506" s="81"/>
      <c r="C506" s="81"/>
      <c r="D506" s="82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111"/>
      <c r="S506" s="111"/>
      <c r="T506" s="111"/>
      <c r="U506" s="111"/>
      <c r="V506" s="111"/>
      <c r="W506" s="111"/>
      <c r="X506" s="111"/>
      <c r="Y506" s="111"/>
      <c r="Z506" s="149"/>
    </row>
    <row r="507" spans="1:26" s="69" customFormat="1" x14ac:dyDescent="0.25">
      <c r="A507" s="81"/>
      <c r="B507" s="81"/>
      <c r="C507" s="81"/>
      <c r="D507" s="82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111"/>
      <c r="S507" s="111"/>
      <c r="T507" s="111"/>
      <c r="U507" s="111"/>
      <c r="V507" s="111"/>
      <c r="W507" s="111"/>
      <c r="X507" s="111"/>
      <c r="Y507" s="111"/>
      <c r="Z507" s="149"/>
    </row>
    <row r="508" spans="1:26" s="69" customFormat="1" x14ac:dyDescent="0.25">
      <c r="A508" s="81"/>
      <c r="B508" s="81"/>
      <c r="C508" s="81"/>
      <c r="D508" s="82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111"/>
      <c r="S508" s="111"/>
      <c r="T508" s="111"/>
      <c r="U508" s="111"/>
      <c r="V508" s="111"/>
      <c r="W508" s="111"/>
      <c r="X508" s="111"/>
      <c r="Y508" s="111"/>
      <c r="Z508" s="149"/>
    </row>
    <row r="509" spans="1:26" s="69" customFormat="1" x14ac:dyDescent="0.25">
      <c r="A509" s="81"/>
      <c r="B509" s="81"/>
      <c r="C509" s="81"/>
      <c r="D509" s="82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111"/>
      <c r="S509" s="111"/>
      <c r="T509" s="111"/>
      <c r="U509" s="111"/>
      <c r="V509" s="111"/>
      <c r="W509" s="111"/>
      <c r="X509" s="111"/>
      <c r="Y509" s="111"/>
      <c r="Z509" s="149"/>
    </row>
    <row r="510" spans="1:26" s="69" customFormat="1" x14ac:dyDescent="0.25">
      <c r="A510" s="81"/>
      <c r="B510" s="81"/>
      <c r="C510" s="81"/>
      <c r="D510" s="82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111"/>
      <c r="S510" s="111"/>
      <c r="T510" s="111"/>
      <c r="U510" s="111"/>
      <c r="V510" s="111"/>
      <c r="W510" s="111"/>
      <c r="X510" s="111"/>
      <c r="Y510" s="111"/>
      <c r="Z510" s="149"/>
    </row>
    <row r="511" spans="1:26" s="69" customFormat="1" x14ac:dyDescent="0.25">
      <c r="A511" s="81"/>
      <c r="B511" s="81"/>
      <c r="C511" s="81"/>
      <c r="D511" s="82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111"/>
      <c r="S511" s="111"/>
      <c r="T511" s="111"/>
      <c r="U511" s="111"/>
      <c r="V511" s="111"/>
      <c r="W511" s="111"/>
      <c r="X511" s="111"/>
      <c r="Y511" s="111"/>
      <c r="Z511" s="149"/>
    </row>
    <row r="512" spans="1:26" s="69" customFormat="1" x14ac:dyDescent="0.25">
      <c r="A512" s="81"/>
      <c r="B512" s="81"/>
      <c r="C512" s="81"/>
      <c r="D512" s="82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111"/>
      <c r="S512" s="111"/>
      <c r="T512" s="111"/>
      <c r="U512" s="111"/>
      <c r="V512" s="111"/>
      <c r="W512" s="111"/>
      <c r="X512" s="111"/>
      <c r="Y512" s="111"/>
      <c r="Z512" s="149"/>
    </row>
    <row r="513" spans="1:26" s="69" customFormat="1" x14ac:dyDescent="0.25">
      <c r="A513" s="81"/>
      <c r="B513" s="81"/>
      <c r="C513" s="81"/>
      <c r="D513" s="82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111"/>
      <c r="S513" s="111"/>
      <c r="T513" s="111"/>
      <c r="U513" s="111"/>
      <c r="V513" s="111"/>
      <c r="W513" s="111"/>
      <c r="X513" s="111"/>
      <c r="Y513" s="111"/>
      <c r="Z513" s="149"/>
    </row>
    <row r="514" spans="1:26" s="69" customFormat="1" x14ac:dyDescent="0.25">
      <c r="A514" s="81"/>
      <c r="B514" s="81"/>
      <c r="C514" s="81"/>
      <c r="D514" s="82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111"/>
      <c r="S514" s="111"/>
      <c r="T514" s="111"/>
      <c r="U514" s="111"/>
      <c r="V514" s="111"/>
      <c r="W514" s="111"/>
      <c r="X514" s="111"/>
      <c r="Y514" s="111"/>
      <c r="Z514" s="149"/>
    </row>
    <row r="515" spans="1:26" s="69" customFormat="1" x14ac:dyDescent="0.25">
      <c r="A515" s="81"/>
      <c r="B515" s="81"/>
      <c r="C515" s="81"/>
      <c r="D515" s="82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111"/>
      <c r="S515" s="111"/>
      <c r="T515" s="111"/>
      <c r="U515" s="111"/>
      <c r="V515" s="111"/>
      <c r="W515" s="111"/>
      <c r="X515" s="111"/>
      <c r="Y515" s="111"/>
      <c r="Z515" s="149"/>
    </row>
    <row r="516" spans="1:26" s="69" customFormat="1" x14ac:dyDescent="0.25">
      <c r="A516" s="81"/>
      <c r="B516" s="81"/>
      <c r="C516" s="81"/>
      <c r="D516" s="82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111"/>
      <c r="S516" s="111"/>
      <c r="T516" s="111"/>
      <c r="U516" s="111"/>
      <c r="V516" s="111"/>
      <c r="W516" s="111"/>
      <c r="X516" s="111"/>
      <c r="Y516" s="111"/>
      <c r="Z516" s="149"/>
    </row>
    <row r="517" spans="1:26" s="69" customFormat="1" x14ac:dyDescent="0.25">
      <c r="A517" s="81"/>
      <c r="B517" s="81"/>
      <c r="C517" s="81"/>
      <c r="D517" s="82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111"/>
      <c r="S517" s="111"/>
      <c r="T517" s="111"/>
      <c r="U517" s="111"/>
      <c r="V517" s="111"/>
      <c r="W517" s="111"/>
      <c r="X517" s="111"/>
      <c r="Y517" s="111"/>
      <c r="Z517" s="149"/>
    </row>
    <row r="518" spans="1:26" s="69" customFormat="1" x14ac:dyDescent="0.25">
      <c r="A518" s="81"/>
      <c r="B518" s="81"/>
      <c r="C518" s="81"/>
      <c r="D518" s="82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111"/>
      <c r="S518" s="111"/>
      <c r="T518" s="111"/>
      <c r="U518" s="111"/>
      <c r="V518" s="111"/>
      <c r="W518" s="111"/>
      <c r="X518" s="111"/>
      <c r="Y518" s="111"/>
      <c r="Z518" s="149"/>
    </row>
    <row r="519" spans="1:26" s="69" customFormat="1" x14ac:dyDescent="0.25">
      <c r="A519" s="81"/>
      <c r="B519" s="81"/>
      <c r="C519" s="81"/>
      <c r="D519" s="82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111"/>
      <c r="S519" s="111"/>
      <c r="T519" s="111"/>
      <c r="U519" s="111"/>
      <c r="V519" s="111"/>
      <c r="W519" s="111"/>
      <c r="X519" s="111"/>
      <c r="Y519" s="111"/>
      <c r="Z519" s="149"/>
    </row>
    <row r="520" spans="1:26" s="69" customFormat="1" x14ac:dyDescent="0.25">
      <c r="A520" s="81"/>
      <c r="B520" s="81"/>
      <c r="C520" s="81"/>
      <c r="D520" s="82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111"/>
      <c r="S520" s="111"/>
      <c r="T520" s="111"/>
      <c r="U520" s="111"/>
      <c r="V520" s="111"/>
      <c r="W520" s="111"/>
      <c r="X520" s="111"/>
      <c r="Y520" s="111"/>
      <c r="Z520" s="149"/>
    </row>
    <row r="521" spans="1:26" s="69" customFormat="1" x14ac:dyDescent="0.25">
      <c r="A521" s="81"/>
      <c r="B521" s="81"/>
      <c r="C521" s="81"/>
      <c r="D521" s="82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111"/>
      <c r="S521" s="111"/>
      <c r="T521" s="111"/>
      <c r="U521" s="111"/>
      <c r="V521" s="111"/>
      <c r="W521" s="111"/>
      <c r="X521" s="111"/>
      <c r="Y521" s="111"/>
      <c r="Z521" s="149"/>
    </row>
    <row r="522" spans="1:26" s="69" customFormat="1" x14ac:dyDescent="0.25">
      <c r="A522" s="81"/>
      <c r="B522" s="81"/>
      <c r="C522" s="81"/>
      <c r="D522" s="82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111"/>
      <c r="S522" s="111"/>
      <c r="T522" s="111"/>
      <c r="U522" s="111"/>
      <c r="V522" s="111"/>
      <c r="W522" s="111"/>
      <c r="X522" s="111"/>
      <c r="Y522" s="111"/>
      <c r="Z522" s="149"/>
    </row>
    <row r="523" spans="1:26" s="69" customFormat="1" x14ac:dyDescent="0.25">
      <c r="A523" s="81"/>
      <c r="B523" s="81"/>
      <c r="C523" s="81"/>
      <c r="D523" s="82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111"/>
      <c r="S523" s="111"/>
      <c r="T523" s="111"/>
      <c r="U523" s="111"/>
      <c r="V523" s="111"/>
      <c r="W523" s="111"/>
      <c r="X523" s="111"/>
      <c r="Y523" s="111"/>
      <c r="Z523" s="149"/>
    </row>
    <row r="524" spans="1:26" s="69" customFormat="1" x14ac:dyDescent="0.25">
      <c r="A524" s="81"/>
      <c r="B524" s="81"/>
      <c r="C524" s="81"/>
      <c r="D524" s="82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111"/>
      <c r="S524" s="111"/>
      <c r="T524" s="111"/>
      <c r="U524" s="111"/>
      <c r="V524" s="111"/>
      <c r="W524" s="111"/>
      <c r="X524" s="111"/>
      <c r="Y524" s="111"/>
      <c r="Z524" s="149"/>
    </row>
    <row r="525" spans="1:26" s="69" customFormat="1" x14ac:dyDescent="0.25">
      <c r="A525" s="81"/>
      <c r="B525" s="81"/>
      <c r="C525" s="81"/>
      <c r="D525" s="82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111"/>
      <c r="S525" s="111"/>
      <c r="T525" s="111"/>
      <c r="U525" s="111"/>
      <c r="V525" s="111"/>
      <c r="W525" s="111"/>
      <c r="X525" s="111"/>
      <c r="Y525" s="111"/>
      <c r="Z525" s="149"/>
    </row>
    <row r="526" spans="1:26" s="69" customFormat="1" x14ac:dyDescent="0.25">
      <c r="A526" s="81"/>
      <c r="B526" s="81"/>
      <c r="C526" s="81"/>
      <c r="D526" s="82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111"/>
      <c r="S526" s="111"/>
      <c r="T526" s="111"/>
      <c r="U526" s="111"/>
      <c r="V526" s="111"/>
      <c r="W526" s="111"/>
      <c r="X526" s="111"/>
      <c r="Y526" s="111"/>
      <c r="Z526" s="149"/>
    </row>
    <row r="527" spans="1:26" s="69" customFormat="1" x14ac:dyDescent="0.25">
      <c r="A527" s="81"/>
      <c r="B527" s="81"/>
      <c r="C527" s="81"/>
      <c r="D527" s="82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111"/>
      <c r="S527" s="111"/>
      <c r="T527" s="111"/>
      <c r="U527" s="111"/>
      <c r="V527" s="111"/>
      <c r="W527" s="111"/>
      <c r="X527" s="111"/>
      <c r="Y527" s="111"/>
      <c r="Z527" s="149"/>
    </row>
    <row r="528" spans="1:26" s="69" customFormat="1" x14ac:dyDescent="0.25">
      <c r="A528" s="81"/>
      <c r="B528" s="81"/>
      <c r="C528" s="81"/>
      <c r="D528" s="82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111"/>
      <c r="S528" s="111"/>
      <c r="T528" s="111"/>
      <c r="U528" s="111"/>
      <c r="V528" s="111"/>
      <c r="W528" s="111"/>
      <c r="X528" s="111"/>
      <c r="Y528" s="111"/>
      <c r="Z528" s="149"/>
    </row>
    <row r="529" spans="1:26" s="69" customFormat="1" x14ac:dyDescent="0.25">
      <c r="A529" s="81"/>
      <c r="B529" s="81"/>
      <c r="C529" s="81"/>
      <c r="D529" s="82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111"/>
      <c r="S529" s="111"/>
      <c r="T529" s="111"/>
      <c r="U529" s="111"/>
      <c r="V529" s="111"/>
      <c r="W529" s="111"/>
      <c r="X529" s="111"/>
      <c r="Y529" s="111"/>
      <c r="Z529" s="149"/>
    </row>
    <row r="530" spans="1:26" s="69" customFormat="1" x14ac:dyDescent="0.25">
      <c r="A530" s="81"/>
      <c r="B530" s="81"/>
      <c r="C530" s="81"/>
      <c r="D530" s="82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111"/>
      <c r="S530" s="111"/>
      <c r="T530" s="111"/>
      <c r="U530" s="111"/>
      <c r="V530" s="111"/>
      <c r="W530" s="111"/>
      <c r="X530" s="111"/>
      <c r="Y530" s="111"/>
      <c r="Z530" s="149"/>
    </row>
    <row r="531" spans="1:26" s="69" customFormat="1" x14ac:dyDescent="0.25">
      <c r="A531" s="81"/>
      <c r="B531" s="81"/>
      <c r="C531" s="81"/>
      <c r="D531" s="82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111"/>
      <c r="S531" s="111"/>
      <c r="T531" s="111"/>
      <c r="U531" s="111"/>
      <c r="V531" s="111"/>
      <c r="W531" s="111"/>
      <c r="X531" s="111"/>
      <c r="Y531" s="111"/>
      <c r="Z531" s="149"/>
    </row>
    <row r="532" spans="1:26" s="69" customFormat="1" x14ac:dyDescent="0.25">
      <c r="A532" s="81"/>
      <c r="B532" s="81"/>
      <c r="C532" s="81"/>
      <c r="D532" s="82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111"/>
      <c r="S532" s="111"/>
      <c r="T532" s="111"/>
      <c r="U532" s="111"/>
      <c r="V532" s="111"/>
      <c r="W532" s="111"/>
      <c r="X532" s="111"/>
      <c r="Y532" s="111"/>
      <c r="Z532" s="149"/>
    </row>
    <row r="533" spans="1:26" s="69" customFormat="1" x14ac:dyDescent="0.25">
      <c r="A533" s="81"/>
      <c r="B533" s="81"/>
      <c r="C533" s="81"/>
      <c r="D533" s="82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111"/>
      <c r="S533" s="111"/>
      <c r="T533" s="111"/>
      <c r="U533" s="111"/>
      <c r="V533" s="111"/>
      <c r="W533" s="111"/>
      <c r="X533" s="111"/>
      <c r="Y533" s="111"/>
      <c r="Z533" s="149"/>
    </row>
    <row r="534" spans="1:26" s="69" customFormat="1" x14ac:dyDescent="0.25">
      <c r="A534" s="81"/>
      <c r="B534" s="81"/>
      <c r="C534" s="81"/>
      <c r="D534" s="82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111"/>
      <c r="S534" s="111"/>
      <c r="T534" s="111"/>
      <c r="U534" s="111"/>
      <c r="V534" s="111"/>
      <c r="W534" s="111"/>
      <c r="X534" s="111"/>
      <c r="Y534" s="111"/>
      <c r="Z534" s="149"/>
    </row>
    <row r="535" spans="1:26" s="69" customFormat="1" x14ac:dyDescent="0.25">
      <c r="A535" s="81"/>
      <c r="B535" s="81"/>
      <c r="C535" s="81"/>
      <c r="D535" s="82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111"/>
      <c r="S535" s="111"/>
      <c r="T535" s="111"/>
      <c r="U535" s="111"/>
      <c r="V535" s="111"/>
      <c r="W535" s="111"/>
      <c r="X535" s="111"/>
      <c r="Y535" s="111"/>
      <c r="Z535" s="149"/>
    </row>
    <row r="536" spans="1:26" s="69" customFormat="1" x14ac:dyDescent="0.25">
      <c r="A536" s="81"/>
      <c r="B536" s="81"/>
      <c r="C536" s="81"/>
      <c r="D536" s="82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111"/>
      <c r="S536" s="111"/>
      <c r="T536" s="111"/>
      <c r="U536" s="111"/>
      <c r="V536" s="111"/>
      <c r="W536" s="111"/>
      <c r="X536" s="111"/>
      <c r="Y536" s="111"/>
      <c r="Z536" s="149"/>
    </row>
    <row r="537" spans="1:26" s="69" customFormat="1" x14ac:dyDescent="0.25">
      <c r="A537" s="81"/>
      <c r="B537" s="81"/>
      <c r="C537" s="81"/>
      <c r="D537" s="82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111"/>
      <c r="S537" s="111"/>
      <c r="T537" s="111"/>
      <c r="U537" s="111"/>
      <c r="V537" s="111"/>
      <c r="W537" s="111"/>
      <c r="X537" s="111"/>
      <c r="Y537" s="111"/>
      <c r="Z537" s="149"/>
    </row>
    <row r="538" spans="1:26" s="69" customFormat="1" x14ac:dyDescent="0.25">
      <c r="A538" s="81"/>
      <c r="B538" s="81"/>
      <c r="C538" s="81"/>
      <c r="D538" s="82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111"/>
      <c r="S538" s="111"/>
      <c r="T538" s="111"/>
      <c r="U538" s="111"/>
      <c r="V538" s="111"/>
      <c r="W538" s="111"/>
      <c r="X538" s="111"/>
      <c r="Y538" s="111"/>
      <c r="Z538" s="149"/>
    </row>
    <row r="539" spans="1:26" s="69" customFormat="1" x14ac:dyDescent="0.25">
      <c r="A539" s="81"/>
      <c r="B539" s="81"/>
      <c r="C539" s="81"/>
      <c r="D539" s="82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111"/>
      <c r="S539" s="111"/>
      <c r="T539" s="111"/>
      <c r="U539" s="111"/>
      <c r="V539" s="111"/>
      <c r="W539" s="111"/>
      <c r="X539" s="111"/>
      <c r="Y539" s="111"/>
      <c r="Z539" s="149"/>
    </row>
    <row r="540" spans="1:26" s="69" customFormat="1" x14ac:dyDescent="0.25">
      <c r="A540" s="81"/>
      <c r="B540" s="81"/>
      <c r="C540" s="81"/>
      <c r="D540" s="82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111"/>
      <c r="S540" s="111"/>
      <c r="T540" s="111"/>
      <c r="U540" s="111"/>
      <c r="V540" s="111"/>
      <c r="W540" s="111"/>
      <c r="X540" s="111"/>
      <c r="Y540" s="111"/>
      <c r="Z540" s="149"/>
    </row>
    <row r="541" spans="1:26" s="69" customFormat="1" x14ac:dyDescent="0.25">
      <c r="A541" s="81"/>
      <c r="B541" s="81"/>
      <c r="C541" s="81"/>
      <c r="D541" s="82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111"/>
      <c r="S541" s="111"/>
      <c r="T541" s="111"/>
      <c r="U541" s="111"/>
      <c r="V541" s="111"/>
      <c r="W541" s="111"/>
      <c r="X541" s="111"/>
      <c r="Y541" s="111"/>
      <c r="Z541" s="149"/>
    </row>
    <row r="542" spans="1:26" s="69" customFormat="1" x14ac:dyDescent="0.25">
      <c r="A542" s="81"/>
      <c r="B542" s="81"/>
      <c r="C542" s="81"/>
      <c r="D542" s="82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111"/>
      <c r="S542" s="111"/>
      <c r="T542" s="111"/>
      <c r="U542" s="111"/>
      <c r="V542" s="111"/>
      <c r="W542" s="111"/>
      <c r="X542" s="111"/>
      <c r="Y542" s="111"/>
      <c r="Z542" s="149"/>
    </row>
    <row r="543" spans="1:26" s="69" customFormat="1" x14ac:dyDescent="0.25">
      <c r="A543" s="81"/>
      <c r="B543" s="81"/>
      <c r="C543" s="81"/>
      <c r="D543" s="82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111"/>
      <c r="S543" s="111"/>
      <c r="T543" s="111"/>
      <c r="U543" s="111"/>
      <c r="V543" s="111"/>
      <c r="W543" s="111"/>
      <c r="X543" s="111"/>
      <c r="Y543" s="111"/>
      <c r="Z543" s="149"/>
    </row>
    <row r="544" spans="1:26" s="69" customFormat="1" x14ac:dyDescent="0.25">
      <c r="A544" s="81"/>
      <c r="B544" s="81"/>
      <c r="C544" s="81"/>
      <c r="D544" s="82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111"/>
      <c r="S544" s="111"/>
      <c r="T544" s="111"/>
      <c r="U544" s="111"/>
      <c r="V544" s="111"/>
      <c r="W544" s="111"/>
      <c r="X544" s="111"/>
      <c r="Y544" s="111"/>
      <c r="Z544" s="149"/>
    </row>
    <row r="545" spans="1:26" s="69" customFormat="1" x14ac:dyDescent="0.25">
      <c r="A545" s="81"/>
      <c r="B545" s="81"/>
      <c r="C545" s="81"/>
      <c r="D545" s="82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111"/>
      <c r="S545" s="111"/>
      <c r="T545" s="111"/>
      <c r="U545" s="111"/>
      <c r="V545" s="111"/>
      <c r="W545" s="111"/>
      <c r="X545" s="111"/>
      <c r="Y545" s="111"/>
      <c r="Z545" s="149"/>
    </row>
    <row r="546" spans="1:26" s="69" customFormat="1" x14ac:dyDescent="0.25">
      <c r="A546" s="81"/>
      <c r="B546" s="81"/>
      <c r="C546" s="81"/>
      <c r="D546" s="82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111"/>
      <c r="S546" s="111"/>
      <c r="T546" s="111"/>
      <c r="U546" s="111"/>
      <c r="V546" s="111"/>
      <c r="W546" s="111"/>
      <c r="X546" s="111"/>
      <c r="Y546" s="111"/>
      <c r="Z546" s="149"/>
    </row>
    <row r="547" spans="1:26" s="69" customFormat="1" x14ac:dyDescent="0.25">
      <c r="A547" s="81"/>
      <c r="B547" s="81"/>
      <c r="C547" s="81"/>
      <c r="D547" s="82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111"/>
      <c r="S547" s="111"/>
      <c r="T547" s="111"/>
      <c r="U547" s="111"/>
      <c r="V547" s="111"/>
      <c r="W547" s="111"/>
      <c r="X547" s="111"/>
      <c r="Y547" s="111"/>
      <c r="Z547" s="149"/>
    </row>
    <row r="548" spans="1:26" s="69" customFormat="1" x14ac:dyDescent="0.25">
      <c r="A548" s="81"/>
      <c r="B548" s="81"/>
      <c r="C548" s="81"/>
      <c r="D548" s="82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111"/>
      <c r="S548" s="111"/>
      <c r="T548" s="111"/>
      <c r="U548" s="111"/>
      <c r="V548" s="111"/>
      <c r="W548" s="111"/>
      <c r="X548" s="111"/>
      <c r="Y548" s="111"/>
      <c r="Z548" s="149"/>
    </row>
    <row r="549" spans="1:26" s="69" customFormat="1" x14ac:dyDescent="0.25">
      <c r="A549" s="81"/>
      <c r="B549" s="81"/>
      <c r="C549" s="81"/>
      <c r="D549" s="82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111"/>
      <c r="S549" s="111"/>
      <c r="T549" s="111"/>
      <c r="U549" s="111"/>
      <c r="V549" s="111"/>
      <c r="W549" s="111"/>
      <c r="X549" s="111"/>
      <c r="Y549" s="111"/>
      <c r="Z549" s="149"/>
    </row>
    <row r="550" spans="1:26" s="69" customFormat="1" x14ac:dyDescent="0.25">
      <c r="A550" s="81"/>
      <c r="B550" s="81"/>
      <c r="C550" s="81"/>
      <c r="D550" s="82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111"/>
      <c r="S550" s="111"/>
      <c r="T550" s="111"/>
      <c r="U550" s="111"/>
      <c r="V550" s="111"/>
      <c r="W550" s="111"/>
      <c r="X550" s="111"/>
      <c r="Y550" s="111"/>
      <c r="Z550" s="149"/>
    </row>
    <row r="551" spans="1:26" s="69" customFormat="1" x14ac:dyDescent="0.25">
      <c r="A551" s="81"/>
      <c r="B551" s="81"/>
      <c r="C551" s="81"/>
      <c r="D551" s="82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111"/>
      <c r="S551" s="111"/>
      <c r="T551" s="111"/>
      <c r="U551" s="111"/>
      <c r="V551" s="111"/>
      <c r="W551" s="111"/>
      <c r="X551" s="111"/>
      <c r="Y551" s="111"/>
      <c r="Z551" s="149"/>
    </row>
    <row r="552" spans="1:26" s="69" customFormat="1" x14ac:dyDescent="0.25">
      <c r="A552" s="81"/>
      <c r="B552" s="81"/>
      <c r="C552" s="81"/>
      <c r="D552" s="82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111"/>
      <c r="S552" s="111"/>
      <c r="T552" s="111"/>
      <c r="U552" s="111"/>
      <c r="V552" s="111"/>
      <c r="W552" s="111"/>
      <c r="X552" s="111"/>
      <c r="Y552" s="111"/>
      <c r="Z552" s="149"/>
    </row>
    <row r="553" spans="1:26" s="69" customFormat="1" x14ac:dyDescent="0.25">
      <c r="A553" s="81"/>
      <c r="B553" s="81"/>
      <c r="C553" s="81"/>
      <c r="D553" s="82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111"/>
      <c r="S553" s="111"/>
      <c r="T553" s="111"/>
      <c r="U553" s="111"/>
      <c r="V553" s="111"/>
      <c r="W553" s="111"/>
      <c r="X553" s="111"/>
      <c r="Y553" s="111"/>
      <c r="Z553" s="149"/>
    </row>
    <row r="554" spans="1:26" s="69" customFormat="1" x14ac:dyDescent="0.25">
      <c r="A554" s="81"/>
      <c r="B554" s="81"/>
      <c r="C554" s="81"/>
      <c r="D554" s="82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111"/>
      <c r="S554" s="111"/>
      <c r="T554" s="111"/>
      <c r="U554" s="111"/>
      <c r="V554" s="111"/>
      <c r="W554" s="111"/>
      <c r="X554" s="111"/>
      <c r="Y554" s="111"/>
      <c r="Z554" s="149"/>
    </row>
    <row r="555" spans="1:26" s="69" customFormat="1" x14ac:dyDescent="0.25">
      <c r="A555" s="81"/>
      <c r="B555" s="81"/>
      <c r="C555" s="81"/>
      <c r="D555" s="82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111"/>
      <c r="S555" s="111"/>
      <c r="T555" s="111"/>
      <c r="U555" s="111"/>
      <c r="V555" s="111"/>
      <c r="W555" s="111"/>
      <c r="X555" s="111"/>
      <c r="Y555" s="111"/>
      <c r="Z555" s="149"/>
    </row>
    <row r="556" spans="1:26" s="69" customFormat="1" x14ac:dyDescent="0.25">
      <c r="A556" s="81"/>
      <c r="B556" s="81"/>
      <c r="C556" s="81"/>
      <c r="D556" s="82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111"/>
      <c r="S556" s="111"/>
      <c r="T556" s="111"/>
      <c r="U556" s="111"/>
      <c r="V556" s="111"/>
      <c r="W556" s="111"/>
      <c r="X556" s="111"/>
      <c r="Y556" s="111"/>
      <c r="Z556" s="149"/>
    </row>
    <row r="557" spans="1:26" s="69" customFormat="1" x14ac:dyDescent="0.25">
      <c r="A557" s="81"/>
      <c r="B557" s="81"/>
      <c r="C557" s="81"/>
      <c r="D557" s="82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111"/>
      <c r="S557" s="111"/>
      <c r="T557" s="111"/>
      <c r="U557" s="111"/>
      <c r="V557" s="111"/>
      <c r="W557" s="111"/>
      <c r="X557" s="111"/>
      <c r="Y557" s="111"/>
      <c r="Z557" s="149"/>
    </row>
    <row r="558" spans="1:26" s="69" customFormat="1" x14ac:dyDescent="0.25">
      <c r="A558" s="81"/>
      <c r="B558" s="81"/>
      <c r="C558" s="81"/>
      <c r="D558" s="82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111"/>
      <c r="S558" s="111"/>
      <c r="T558" s="111"/>
      <c r="U558" s="111"/>
      <c r="V558" s="111"/>
      <c r="W558" s="111"/>
      <c r="X558" s="111"/>
      <c r="Y558" s="111"/>
      <c r="Z558" s="149"/>
    </row>
    <row r="559" spans="1:26" s="69" customFormat="1" x14ac:dyDescent="0.25">
      <c r="A559" s="81"/>
      <c r="B559" s="81"/>
      <c r="C559" s="81"/>
      <c r="D559" s="82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111"/>
      <c r="S559" s="111"/>
      <c r="T559" s="111"/>
      <c r="U559" s="111"/>
      <c r="V559" s="111"/>
      <c r="W559" s="111"/>
      <c r="X559" s="111"/>
      <c r="Y559" s="111"/>
      <c r="Z559" s="149"/>
    </row>
    <row r="560" spans="1:26" s="69" customFormat="1" x14ac:dyDescent="0.25">
      <c r="A560" s="81"/>
      <c r="B560" s="81"/>
      <c r="C560" s="81"/>
      <c r="D560" s="82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111"/>
      <c r="S560" s="111"/>
      <c r="T560" s="111"/>
      <c r="U560" s="111"/>
      <c r="V560" s="111"/>
      <c r="W560" s="111"/>
      <c r="X560" s="111"/>
      <c r="Y560" s="111"/>
      <c r="Z560" s="149"/>
    </row>
    <row r="561" spans="1:26" s="69" customFormat="1" x14ac:dyDescent="0.25">
      <c r="A561" s="81"/>
      <c r="B561" s="81"/>
      <c r="C561" s="81"/>
      <c r="D561" s="82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111"/>
      <c r="S561" s="111"/>
      <c r="T561" s="111"/>
      <c r="U561" s="111"/>
      <c r="V561" s="111"/>
      <c r="W561" s="111"/>
      <c r="X561" s="111"/>
      <c r="Y561" s="111"/>
      <c r="Z561" s="149"/>
    </row>
    <row r="562" spans="1:26" s="69" customFormat="1" x14ac:dyDescent="0.25">
      <c r="A562" s="81"/>
      <c r="B562" s="81"/>
      <c r="C562" s="81"/>
      <c r="D562" s="82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111"/>
      <c r="S562" s="111"/>
      <c r="T562" s="111"/>
      <c r="U562" s="111"/>
      <c r="V562" s="111"/>
      <c r="W562" s="111"/>
      <c r="X562" s="111"/>
      <c r="Y562" s="111"/>
      <c r="Z562" s="149"/>
    </row>
    <row r="563" spans="1:26" s="69" customFormat="1" x14ac:dyDescent="0.25">
      <c r="A563" s="81"/>
      <c r="B563" s="81"/>
      <c r="C563" s="81"/>
      <c r="D563" s="82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111"/>
      <c r="S563" s="111"/>
      <c r="T563" s="111"/>
      <c r="U563" s="111"/>
      <c r="V563" s="111"/>
      <c r="W563" s="111"/>
      <c r="X563" s="111"/>
      <c r="Y563" s="111"/>
      <c r="Z563" s="149"/>
    </row>
    <row r="564" spans="1:26" s="69" customFormat="1" x14ac:dyDescent="0.25">
      <c r="A564" s="81"/>
      <c r="B564" s="81"/>
      <c r="C564" s="81"/>
      <c r="D564" s="82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111"/>
      <c r="S564" s="111"/>
      <c r="T564" s="111"/>
      <c r="U564" s="111"/>
      <c r="V564" s="111"/>
      <c r="W564" s="111"/>
      <c r="X564" s="111"/>
      <c r="Y564" s="111"/>
      <c r="Z564" s="149"/>
    </row>
    <row r="565" spans="1:26" s="69" customFormat="1" x14ac:dyDescent="0.25">
      <c r="A565" s="81"/>
      <c r="B565" s="81"/>
      <c r="C565" s="81"/>
      <c r="D565" s="82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111"/>
      <c r="S565" s="111"/>
      <c r="T565" s="111"/>
      <c r="U565" s="111"/>
      <c r="V565" s="111"/>
      <c r="W565" s="111"/>
      <c r="X565" s="111"/>
      <c r="Y565" s="111"/>
      <c r="Z565" s="149"/>
    </row>
    <row r="566" spans="1:26" s="69" customFormat="1" x14ac:dyDescent="0.25">
      <c r="A566" s="81"/>
      <c r="B566" s="81"/>
      <c r="C566" s="81"/>
      <c r="D566" s="82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111"/>
      <c r="S566" s="111"/>
      <c r="T566" s="111"/>
      <c r="U566" s="111"/>
      <c r="V566" s="111"/>
      <c r="W566" s="111"/>
      <c r="X566" s="111"/>
      <c r="Y566" s="111"/>
      <c r="Z566" s="149"/>
    </row>
    <row r="567" spans="1:26" s="69" customFormat="1" x14ac:dyDescent="0.25">
      <c r="A567" s="81"/>
      <c r="B567" s="81"/>
      <c r="C567" s="81"/>
      <c r="D567" s="82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111"/>
      <c r="S567" s="111"/>
      <c r="T567" s="111"/>
      <c r="U567" s="111"/>
      <c r="V567" s="111"/>
      <c r="W567" s="111"/>
      <c r="X567" s="111"/>
      <c r="Y567" s="111"/>
      <c r="Z567" s="149"/>
    </row>
    <row r="568" spans="1:26" s="69" customFormat="1" x14ac:dyDescent="0.25">
      <c r="A568" s="81"/>
      <c r="B568" s="81"/>
      <c r="C568" s="81"/>
      <c r="D568" s="82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111"/>
      <c r="S568" s="111"/>
      <c r="T568" s="111"/>
      <c r="U568" s="111"/>
      <c r="V568" s="111"/>
      <c r="W568" s="111"/>
      <c r="X568" s="111"/>
      <c r="Y568" s="111"/>
      <c r="Z568" s="149"/>
    </row>
    <row r="569" spans="1:26" s="69" customFormat="1" x14ac:dyDescent="0.25">
      <c r="A569" s="81"/>
      <c r="B569" s="81"/>
      <c r="C569" s="81"/>
      <c r="D569" s="82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111"/>
      <c r="S569" s="111"/>
      <c r="T569" s="111"/>
      <c r="U569" s="111"/>
      <c r="V569" s="111"/>
      <c r="W569" s="111"/>
      <c r="X569" s="111"/>
      <c r="Y569" s="111"/>
      <c r="Z569" s="149"/>
    </row>
    <row r="570" spans="1:26" s="69" customFormat="1" x14ac:dyDescent="0.25">
      <c r="A570" s="81"/>
      <c r="B570" s="81"/>
      <c r="C570" s="81"/>
      <c r="D570" s="82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111"/>
      <c r="S570" s="111"/>
      <c r="T570" s="111"/>
      <c r="U570" s="111"/>
      <c r="V570" s="111"/>
      <c r="W570" s="111"/>
      <c r="X570" s="111"/>
      <c r="Y570" s="111"/>
      <c r="Z570" s="149"/>
    </row>
    <row r="571" spans="1:26" s="69" customFormat="1" x14ac:dyDescent="0.25">
      <c r="A571" s="81"/>
      <c r="B571" s="81"/>
      <c r="C571" s="81"/>
      <c r="D571" s="82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111"/>
      <c r="S571" s="111"/>
      <c r="T571" s="111"/>
      <c r="U571" s="111"/>
      <c r="V571" s="111"/>
      <c r="W571" s="111"/>
      <c r="X571" s="111"/>
      <c r="Y571" s="111"/>
      <c r="Z571" s="149"/>
    </row>
    <row r="572" spans="1:26" s="69" customFormat="1" x14ac:dyDescent="0.25">
      <c r="A572" s="81"/>
      <c r="B572" s="81"/>
      <c r="C572" s="81"/>
      <c r="D572" s="82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111"/>
      <c r="S572" s="111"/>
      <c r="T572" s="111"/>
      <c r="U572" s="111"/>
      <c r="V572" s="111"/>
      <c r="W572" s="111"/>
      <c r="X572" s="111"/>
      <c r="Y572" s="111"/>
      <c r="Z572" s="149"/>
    </row>
    <row r="573" spans="1:26" s="69" customFormat="1" x14ac:dyDescent="0.25">
      <c r="A573" s="81"/>
      <c r="B573" s="81"/>
      <c r="C573" s="81"/>
      <c r="D573" s="82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111"/>
      <c r="S573" s="111"/>
      <c r="T573" s="111"/>
      <c r="U573" s="111"/>
      <c r="V573" s="111"/>
      <c r="W573" s="111"/>
      <c r="X573" s="111"/>
      <c r="Y573" s="111"/>
      <c r="Z573" s="149"/>
    </row>
    <row r="574" spans="1:26" s="69" customFormat="1" x14ac:dyDescent="0.25">
      <c r="A574" s="81"/>
      <c r="B574" s="81"/>
      <c r="C574" s="81"/>
      <c r="D574" s="82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111"/>
      <c r="S574" s="111"/>
      <c r="T574" s="111"/>
      <c r="U574" s="111"/>
      <c r="V574" s="111"/>
      <c r="W574" s="111"/>
      <c r="X574" s="111"/>
      <c r="Y574" s="111"/>
      <c r="Z574" s="149"/>
    </row>
    <row r="575" spans="1:26" s="69" customFormat="1" x14ac:dyDescent="0.25">
      <c r="A575" s="81"/>
      <c r="B575" s="81"/>
      <c r="C575" s="81"/>
      <c r="D575" s="82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111"/>
      <c r="S575" s="111"/>
      <c r="T575" s="111"/>
      <c r="U575" s="111"/>
      <c r="V575" s="111"/>
      <c r="W575" s="111"/>
      <c r="X575" s="111"/>
      <c r="Y575" s="111"/>
      <c r="Z575" s="149"/>
    </row>
    <row r="576" spans="1:26" s="69" customFormat="1" x14ac:dyDescent="0.25">
      <c r="A576" s="81"/>
      <c r="B576" s="81"/>
      <c r="C576" s="81"/>
      <c r="D576" s="82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111"/>
      <c r="S576" s="111"/>
      <c r="T576" s="111"/>
      <c r="U576" s="111"/>
      <c r="V576" s="111"/>
      <c r="W576" s="111"/>
      <c r="X576" s="111"/>
      <c r="Y576" s="111"/>
      <c r="Z576" s="149"/>
    </row>
    <row r="577" spans="1:26" s="69" customFormat="1" x14ac:dyDescent="0.25">
      <c r="A577" s="81"/>
      <c r="B577" s="81"/>
      <c r="C577" s="81"/>
      <c r="D577" s="82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111"/>
      <c r="S577" s="111"/>
      <c r="T577" s="111"/>
      <c r="U577" s="111"/>
      <c r="V577" s="111"/>
      <c r="W577" s="111"/>
      <c r="X577" s="111"/>
      <c r="Y577" s="111"/>
      <c r="Z577" s="149"/>
    </row>
    <row r="578" spans="1:26" s="69" customFormat="1" x14ac:dyDescent="0.25">
      <c r="A578" s="81"/>
      <c r="B578" s="81"/>
      <c r="C578" s="81"/>
      <c r="D578" s="82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111"/>
      <c r="S578" s="111"/>
      <c r="T578" s="111"/>
      <c r="U578" s="111"/>
      <c r="V578" s="111"/>
      <c r="W578" s="111"/>
      <c r="X578" s="111"/>
      <c r="Y578" s="111"/>
      <c r="Z578" s="149"/>
    </row>
    <row r="579" spans="1:26" s="69" customFormat="1" x14ac:dyDescent="0.25">
      <c r="A579" s="81"/>
      <c r="B579" s="81"/>
      <c r="C579" s="81"/>
      <c r="D579" s="82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111"/>
      <c r="S579" s="111"/>
      <c r="T579" s="111"/>
      <c r="U579" s="111"/>
      <c r="V579" s="111"/>
      <c r="W579" s="111"/>
      <c r="X579" s="111"/>
      <c r="Y579" s="111"/>
      <c r="Z579" s="149"/>
    </row>
    <row r="580" spans="1:26" s="69" customFormat="1" x14ac:dyDescent="0.25">
      <c r="A580" s="81"/>
      <c r="B580" s="81"/>
      <c r="C580" s="81"/>
      <c r="D580" s="82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111"/>
      <c r="S580" s="111"/>
      <c r="T580" s="111"/>
      <c r="U580" s="111"/>
      <c r="V580" s="111"/>
      <c r="W580" s="111"/>
      <c r="X580" s="111"/>
      <c r="Y580" s="111"/>
      <c r="Z580" s="149"/>
    </row>
    <row r="581" spans="1:26" s="69" customFormat="1" x14ac:dyDescent="0.25">
      <c r="A581" s="81"/>
      <c r="B581" s="81"/>
      <c r="C581" s="81"/>
      <c r="D581" s="82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111"/>
      <c r="S581" s="111"/>
      <c r="T581" s="111"/>
      <c r="U581" s="111"/>
      <c r="V581" s="111"/>
      <c r="W581" s="111"/>
      <c r="X581" s="111"/>
      <c r="Y581" s="111"/>
      <c r="Z581" s="149"/>
    </row>
    <row r="582" spans="1:26" s="69" customFormat="1" x14ac:dyDescent="0.25">
      <c r="A582" s="81"/>
      <c r="B582" s="81"/>
      <c r="C582" s="81"/>
      <c r="D582" s="82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111"/>
      <c r="S582" s="111"/>
      <c r="T582" s="111"/>
      <c r="U582" s="111"/>
      <c r="V582" s="111"/>
      <c r="W582" s="111"/>
      <c r="X582" s="111"/>
      <c r="Y582" s="111"/>
      <c r="Z582" s="149"/>
    </row>
    <row r="583" spans="1:26" s="69" customFormat="1" x14ac:dyDescent="0.25">
      <c r="A583" s="81"/>
      <c r="B583" s="81"/>
      <c r="C583" s="81"/>
      <c r="D583" s="82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111"/>
      <c r="S583" s="111"/>
      <c r="T583" s="111"/>
      <c r="U583" s="111"/>
      <c r="V583" s="111"/>
      <c r="W583" s="111"/>
      <c r="X583" s="111"/>
      <c r="Y583" s="111"/>
      <c r="Z583" s="149"/>
    </row>
    <row r="584" spans="1:26" s="69" customFormat="1" x14ac:dyDescent="0.25">
      <c r="A584" s="81"/>
      <c r="B584" s="81"/>
      <c r="C584" s="81"/>
      <c r="D584" s="82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111"/>
      <c r="S584" s="111"/>
      <c r="T584" s="111"/>
      <c r="U584" s="111"/>
      <c r="V584" s="111"/>
      <c r="W584" s="111"/>
      <c r="X584" s="111"/>
      <c r="Y584" s="111"/>
      <c r="Z584" s="149"/>
    </row>
    <row r="585" spans="1:26" s="69" customFormat="1" x14ac:dyDescent="0.25">
      <c r="A585" s="81"/>
      <c r="B585" s="81"/>
      <c r="C585" s="81"/>
      <c r="D585" s="82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111"/>
      <c r="S585" s="111"/>
      <c r="T585" s="111"/>
      <c r="U585" s="111"/>
      <c r="V585" s="111"/>
      <c r="W585" s="111"/>
      <c r="X585" s="111"/>
      <c r="Y585" s="111"/>
      <c r="Z585" s="149"/>
    </row>
    <row r="586" spans="1:26" s="69" customFormat="1" x14ac:dyDescent="0.25">
      <c r="A586" s="81"/>
      <c r="B586" s="81"/>
      <c r="C586" s="81"/>
      <c r="D586" s="82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111"/>
      <c r="S586" s="111"/>
      <c r="T586" s="111"/>
      <c r="U586" s="111"/>
      <c r="V586" s="111"/>
      <c r="W586" s="111"/>
      <c r="X586" s="111"/>
      <c r="Y586" s="111"/>
      <c r="Z586" s="149"/>
    </row>
    <row r="587" spans="1:26" s="69" customFormat="1" x14ac:dyDescent="0.25">
      <c r="A587" s="81"/>
      <c r="B587" s="81"/>
      <c r="C587" s="81"/>
      <c r="D587" s="82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111"/>
      <c r="S587" s="111"/>
      <c r="T587" s="111"/>
      <c r="U587" s="111"/>
      <c r="V587" s="111"/>
      <c r="W587" s="111"/>
      <c r="X587" s="111"/>
      <c r="Y587" s="111"/>
      <c r="Z587" s="149"/>
    </row>
    <row r="588" spans="1:26" s="69" customFormat="1" x14ac:dyDescent="0.25">
      <c r="A588" s="81"/>
      <c r="B588" s="81"/>
      <c r="C588" s="81"/>
      <c r="D588" s="82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111"/>
      <c r="S588" s="111"/>
      <c r="T588" s="111"/>
      <c r="U588" s="111"/>
      <c r="V588" s="111"/>
      <c r="W588" s="111"/>
      <c r="X588" s="111"/>
      <c r="Y588" s="111"/>
      <c r="Z588" s="149"/>
    </row>
    <row r="589" spans="1:26" s="69" customFormat="1" x14ac:dyDescent="0.25">
      <c r="A589" s="81"/>
      <c r="B589" s="81"/>
      <c r="C589" s="81"/>
      <c r="D589" s="82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111"/>
      <c r="S589" s="111"/>
      <c r="T589" s="111"/>
      <c r="U589" s="111"/>
      <c r="V589" s="111"/>
      <c r="W589" s="111"/>
      <c r="X589" s="111"/>
      <c r="Y589" s="111"/>
      <c r="Z589" s="149"/>
    </row>
    <row r="590" spans="1:26" s="69" customFormat="1" x14ac:dyDescent="0.25">
      <c r="A590" s="81"/>
      <c r="B590" s="81"/>
      <c r="C590" s="81"/>
      <c r="D590" s="82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111"/>
      <c r="S590" s="111"/>
      <c r="T590" s="111"/>
      <c r="U590" s="111"/>
      <c r="V590" s="111"/>
      <c r="W590" s="111"/>
      <c r="X590" s="111"/>
      <c r="Y590" s="111"/>
      <c r="Z590" s="149"/>
    </row>
    <row r="591" spans="1:26" s="69" customFormat="1" x14ac:dyDescent="0.25">
      <c r="A591" s="81"/>
      <c r="B591" s="81"/>
      <c r="C591" s="81"/>
      <c r="D591" s="82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111"/>
      <c r="S591" s="111"/>
      <c r="T591" s="111"/>
      <c r="U591" s="111"/>
      <c r="V591" s="111"/>
      <c r="W591" s="111"/>
      <c r="X591" s="111"/>
      <c r="Y591" s="111"/>
      <c r="Z591" s="149"/>
    </row>
    <row r="592" spans="1:26" s="69" customFormat="1" x14ac:dyDescent="0.25">
      <c r="A592" s="81"/>
      <c r="B592" s="81"/>
      <c r="C592" s="81"/>
      <c r="D592" s="82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111"/>
      <c r="S592" s="111"/>
      <c r="T592" s="111"/>
      <c r="U592" s="111"/>
      <c r="V592" s="111"/>
      <c r="W592" s="111"/>
      <c r="X592" s="111"/>
      <c r="Y592" s="111"/>
      <c r="Z592" s="149"/>
    </row>
    <row r="593" spans="1:26" s="69" customFormat="1" x14ac:dyDescent="0.25">
      <c r="A593" s="81"/>
      <c r="B593" s="81"/>
      <c r="C593" s="81"/>
      <c r="D593" s="82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111"/>
      <c r="S593" s="111"/>
      <c r="T593" s="111"/>
      <c r="U593" s="111"/>
      <c r="V593" s="111"/>
      <c r="W593" s="111"/>
      <c r="X593" s="111"/>
      <c r="Y593" s="111"/>
      <c r="Z593" s="149"/>
    </row>
    <row r="594" spans="1:26" s="69" customFormat="1" x14ac:dyDescent="0.25">
      <c r="A594" s="81"/>
      <c r="B594" s="81"/>
      <c r="C594" s="81"/>
      <c r="D594" s="82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111"/>
      <c r="S594" s="111"/>
      <c r="T594" s="111"/>
      <c r="U594" s="111"/>
      <c r="V594" s="111"/>
      <c r="W594" s="111"/>
      <c r="X594" s="111"/>
      <c r="Y594" s="111"/>
      <c r="Z594" s="149"/>
    </row>
    <row r="595" spans="1:26" s="69" customFormat="1" x14ac:dyDescent="0.25">
      <c r="A595" s="81"/>
      <c r="B595" s="81"/>
      <c r="C595" s="81"/>
      <c r="D595" s="82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111"/>
      <c r="S595" s="111"/>
      <c r="T595" s="111"/>
      <c r="U595" s="111"/>
      <c r="V595" s="111"/>
      <c r="W595" s="111"/>
      <c r="X595" s="111"/>
      <c r="Y595" s="111"/>
      <c r="Z595" s="149"/>
    </row>
    <row r="596" spans="1:26" s="69" customFormat="1" x14ac:dyDescent="0.25">
      <c r="A596" s="81"/>
      <c r="B596" s="81"/>
      <c r="C596" s="81"/>
      <c r="D596" s="82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111"/>
      <c r="S596" s="111"/>
      <c r="T596" s="111"/>
      <c r="U596" s="111"/>
      <c r="V596" s="111"/>
      <c r="W596" s="111"/>
      <c r="X596" s="111"/>
      <c r="Y596" s="111"/>
      <c r="Z596" s="149"/>
    </row>
    <row r="597" spans="1:26" s="69" customFormat="1" x14ac:dyDescent="0.25">
      <c r="A597" s="81"/>
      <c r="B597" s="81"/>
      <c r="C597" s="81"/>
      <c r="D597" s="82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111"/>
      <c r="S597" s="111"/>
      <c r="T597" s="111"/>
      <c r="U597" s="111"/>
      <c r="V597" s="111"/>
      <c r="W597" s="111"/>
      <c r="X597" s="111"/>
      <c r="Y597" s="111"/>
      <c r="Z597" s="149"/>
    </row>
    <row r="598" spans="1:26" s="69" customFormat="1" x14ac:dyDescent="0.25">
      <c r="A598" s="81"/>
      <c r="B598" s="81"/>
      <c r="C598" s="81"/>
      <c r="D598" s="82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111"/>
      <c r="S598" s="111"/>
      <c r="T598" s="111"/>
      <c r="U598" s="111"/>
      <c r="V598" s="111"/>
      <c r="W598" s="111"/>
      <c r="X598" s="111"/>
      <c r="Y598" s="111"/>
      <c r="Z598" s="149"/>
    </row>
    <row r="599" spans="1:26" s="69" customFormat="1" x14ac:dyDescent="0.25">
      <c r="A599" s="81"/>
      <c r="B599" s="81"/>
      <c r="C599" s="81"/>
      <c r="D599" s="82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111"/>
      <c r="S599" s="111"/>
      <c r="T599" s="111"/>
      <c r="U599" s="111"/>
      <c r="V599" s="111"/>
      <c r="W599" s="111"/>
      <c r="X599" s="111"/>
      <c r="Y599" s="111"/>
      <c r="Z599" s="149"/>
    </row>
    <row r="600" spans="1:26" s="69" customFormat="1" x14ac:dyDescent="0.25">
      <c r="A600" s="81"/>
      <c r="B600" s="81"/>
      <c r="C600" s="81"/>
      <c r="D600" s="82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111"/>
      <c r="S600" s="111"/>
      <c r="T600" s="111"/>
      <c r="U600" s="111"/>
      <c r="V600" s="111"/>
      <c r="W600" s="111"/>
      <c r="X600" s="111"/>
      <c r="Y600" s="111"/>
      <c r="Z600" s="149"/>
    </row>
    <row r="601" spans="1:26" s="69" customFormat="1" x14ac:dyDescent="0.25">
      <c r="A601" s="81"/>
      <c r="B601" s="81"/>
      <c r="C601" s="81"/>
      <c r="D601" s="82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111"/>
      <c r="S601" s="111"/>
      <c r="T601" s="111"/>
      <c r="U601" s="111"/>
      <c r="V601" s="111"/>
      <c r="W601" s="111"/>
      <c r="X601" s="111"/>
      <c r="Y601" s="111"/>
      <c r="Z601" s="149"/>
    </row>
    <row r="602" spans="1:26" s="69" customFormat="1" x14ac:dyDescent="0.25">
      <c r="A602" s="81"/>
      <c r="B602" s="81"/>
      <c r="C602" s="81"/>
      <c r="D602" s="82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111"/>
      <c r="S602" s="111"/>
      <c r="T602" s="111"/>
      <c r="U602" s="111"/>
      <c r="V602" s="111"/>
      <c r="W602" s="111"/>
      <c r="X602" s="111"/>
      <c r="Y602" s="111"/>
      <c r="Z602" s="149"/>
    </row>
    <row r="603" spans="1:26" s="69" customFormat="1" x14ac:dyDescent="0.25">
      <c r="A603" s="81"/>
      <c r="B603" s="81"/>
      <c r="C603" s="81"/>
      <c r="D603" s="82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111"/>
      <c r="S603" s="111"/>
      <c r="T603" s="111"/>
      <c r="U603" s="111"/>
      <c r="V603" s="111"/>
      <c r="W603" s="111"/>
      <c r="X603" s="111"/>
      <c r="Y603" s="111"/>
      <c r="Z603" s="149"/>
    </row>
    <row r="604" spans="1:26" s="69" customFormat="1" x14ac:dyDescent="0.25">
      <c r="A604" s="81"/>
      <c r="B604" s="81"/>
      <c r="C604" s="81"/>
      <c r="D604" s="82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111"/>
      <c r="S604" s="111"/>
      <c r="T604" s="111"/>
      <c r="U604" s="111"/>
      <c r="V604" s="111"/>
      <c r="W604" s="111"/>
      <c r="X604" s="111"/>
      <c r="Y604" s="111"/>
      <c r="Z604" s="149"/>
    </row>
    <row r="605" spans="1:26" s="69" customFormat="1" x14ac:dyDescent="0.25">
      <c r="A605" s="81"/>
      <c r="B605" s="81"/>
      <c r="C605" s="81"/>
      <c r="D605" s="82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111"/>
      <c r="S605" s="111"/>
      <c r="T605" s="111"/>
      <c r="U605" s="111"/>
      <c r="V605" s="111"/>
      <c r="W605" s="111"/>
      <c r="X605" s="111"/>
      <c r="Y605" s="111"/>
      <c r="Z605" s="149"/>
    </row>
    <row r="606" spans="1:26" s="69" customFormat="1" x14ac:dyDescent="0.25">
      <c r="A606" s="81"/>
      <c r="B606" s="81"/>
      <c r="C606" s="81"/>
      <c r="D606" s="82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111"/>
      <c r="S606" s="111"/>
      <c r="T606" s="111"/>
      <c r="U606" s="111"/>
      <c r="V606" s="111"/>
      <c r="W606" s="111"/>
      <c r="X606" s="111"/>
      <c r="Y606" s="111"/>
      <c r="Z606" s="149"/>
    </row>
    <row r="607" spans="1:26" s="69" customFormat="1" x14ac:dyDescent="0.25">
      <c r="A607" s="81"/>
      <c r="B607" s="81"/>
      <c r="C607" s="81"/>
      <c r="D607" s="82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111"/>
      <c r="S607" s="111"/>
      <c r="T607" s="111"/>
      <c r="U607" s="111"/>
      <c r="V607" s="111"/>
      <c r="W607" s="111"/>
      <c r="X607" s="111"/>
      <c r="Y607" s="111"/>
      <c r="Z607" s="149"/>
    </row>
    <row r="608" spans="1:26" s="69" customFormat="1" x14ac:dyDescent="0.25">
      <c r="A608" s="81"/>
      <c r="B608" s="81"/>
      <c r="C608" s="81"/>
      <c r="D608" s="82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111"/>
      <c r="S608" s="111"/>
      <c r="T608" s="111"/>
      <c r="U608" s="111"/>
      <c r="V608" s="111"/>
      <c r="W608" s="111"/>
      <c r="X608" s="111"/>
      <c r="Y608" s="111"/>
      <c r="Z608" s="149"/>
    </row>
    <row r="609" spans="1:26" s="69" customFormat="1" x14ac:dyDescent="0.25">
      <c r="A609" s="81"/>
      <c r="B609" s="81"/>
      <c r="C609" s="81"/>
      <c r="D609" s="82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111"/>
      <c r="S609" s="111"/>
      <c r="T609" s="111"/>
      <c r="U609" s="111"/>
      <c r="V609" s="111"/>
      <c r="W609" s="111"/>
      <c r="X609" s="111"/>
      <c r="Y609" s="111"/>
      <c r="Z609" s="149"/>
    </row>
    <row r="610" spans="1:26" s="69" customFormat="1" x14ac:dyDescent="0.25">
      <c r="A610" s="81"/>
      <c r="B610" s="81"/>
      <c r="C610" s="81"/>
      <c r="D610" s="82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111"/>
      <c r="S610" s="111"/>
      <c r="T610" s="111"/>
      <c r="U610" s="111"/>
      <c r="V610" s="111"/>
      <c r="W610" s="111"/>
      <c r="X610" s="111"/>
      <c r="Y610" s="111"/>
      <c r="Z610" s="149"/>
    </row>
    <row r="611" spans="1:26" s="69" customFormat="1" x14ac:dyDescent="0.25">
      <c r="A611" s="81"/>
      <c r="B611" s="81"/>
      <c r="C611" s="81"/>
      <c r="D611" s="82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111"/>
      <c r="S611" s="111"/>
      <c r="T611" s="111"/>
      <c r="U611" s="111"/>
      <c r="V611" s="111"/>
      <c r="W611" s="111"/>
      <c r="X611" s="111"/>
      <c r="Y611" s="111"/>
      <c r="Z611" s="149"/>
    </row>
    <row r="612" spans="1:26" s="69" customFormat="1" x14ac:dyDescent="0.25">
      <c r="A612" s="81"/>
      <c r="B612" s="81"/>
      <c r="C612" s="81"/>
      <c r="D612" s="82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111"/>
      <c r="S612" s="111"/>
      <c r="T612" s="111"/>
      <c r="U612" s="111"/>
      <c r="V612" s="111"/>
      <c r="W612" s="111"/>
      <c r="X612" s="111"/>
      <c r="Y612" s="111"/>
      <c r="Z612" s="149"/>
    </row>
    <row r="613" spans="1:26" s="69" customFormat="1" x14ac:dyDescent="0.25">
      <c r="A613" s="81"/>
      <c r="B613" s="81"/>
      <c r="C613" s="81"/>
      <c r="D613" s="82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111"/>
      <c r="S613" s="111"/>
      <c r="T613" s="111"/>
      <c r="U613" s="111"/>
      <c r="V613" s="111"/>
      <c r="W613" s="111"/>
      <c r="X613" s="111"/>
      <c r="Y613" s="111"/>
      <c r="Z613" s="149"/>
    </row>
    <row r="614" spans="1:26" s="69" customFormat="1" x14ac:dyDescent="0.25">
      <c r="A614" s="81"/>
      <c r="B614" s="81"/>
      <c r="C614" s="81"/>
      <c r="D614" s="82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111"/>
      <c r="S614" s="111"/>
      <c r="T614" s="111"/>
      <c r="U614" s="111"/>
      <c r="V614" s="111"/>
      <c r="W614" s="111"/>
      <c r="X614" s="111"/>
      <c r="Y614" s="111"/>
      <c r="Z614" s="149"/>
    </row>
    <row r="615" spans="1:26" s="69" customFormat="1" x14ac:dyDescent="0.25">
      <c r="A615" s="81"/>
      <c r="B615" s="81"/>
      <c r="C615" s="81"/>
      <c r="D615" s="82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111"/>
      <c r="S615" s="111"/>
      <c r="T615" s="111"/>
      <c r="U615" s="111"/>
      <c r="V615" s="111"/>
      <c r="W615" s="111"/>
      <c r="X615" s="111"/>
      <c r="Y615" s="111"/>
      <c r="Z615" s="149"/>
    </row>
    <row r="616" spans="1:26" s="69" customFormat="1" x14ac:dyDescent="0.25">
      <c r="A616" s="81"/>
      <c r="B616" s="81"/>
      <c r="C616" s="81"/>
      <c r="D616" s="82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111"/>
      <c r="S616" s="111"/>
      <c r="T616" s="111"/>
      <c r="U616" s="111"/>
      <c r="V616" s="111"/>
      <c r="W616" s="111"/>
      <c r="X616" s="111"/>
      <c r="Y616" s="111"/>
      <c r="Z616" s="149"/>
    </row>
    <row r="617" spans="1:26" s="69" customFormat="1" x14ac:dyDescent="0.25">
      <c r="A617" s="81"/>
      <c r="B617" s="81"/>
      <c r="C617" s="81"/>
      <c r="D617" s="82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111"/>
      <c r="S617" s="111"/>
      <c r="T617" s="111"/>
      <c r="U617" s="111"/>
      <c r="V617" s="111"/>
      <c r="W617" s="111"/>
      <c r="X617" s="111"/>
      <c r="Y617" s="111"/>
      <c r="Z617" s="149"/>
    </row>
    <row r="618" spans="1:26" s="69" customFormat="1" x14ac:dyDescent="0.25">
      <c r="A618" s="81"/>
      <c r="B618" s="81"/>
      <c r="C618" s="81"/>
      <c r="D618" s="82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111"/>
      <c r="S618" s="111"/>
      <c r="T618" s="111"/>
      <c r="U618" s="111"/>
      <c r="V618" s="111"/>
      <c r="W618" s="111"/>
      <c r="X618" s="111"/>
      <c r="Y618" s="111"/>
      <c r="Z618" s="149"/>
    </row>
    <row r="619" spans="1:26" s="69" customFormat="1" x14ac:dyDescent="0.25">
      <c r="A619" s="81"/>
      <c r="B619" s="81"/>
      <c r="C619" s="81"/>
      <c r="D619" s="82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111"/>
      <c r="S619" s="111"/>
      <c r="T619" s="111"/>
      <c r="U619" s="111"/>
      <c r="V619" s="111"/>
      <c r="W619" s="111"/>
      <c r="X619" s="111"/>
      <c r="Y619" s="111"/>
      <c r="Z619" s="149"/>
    </row>
    <row r="620" spans="1:26" s="69" customFormat="1" x14ac:dyDescent="0.25">
      <c r="A620" s="81"/>
      <c r="B620" s="81"/>
      <c r="C620" s="81"/>
      <c r="D620" s="82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111"/>
      <c r="S620" s="111"/>
      <c r="T620" s="111"/>
      <c r="U620" s="111"/>
      <c r="V620" s="111"/>
      <c r="W620" s="111"/>
      <c r="X620" s="111"/>
      <c r="Y620" s="111"/>
      <c r="Z620" s="149"/>
    </row>
    <row r="621" spans="1:26" s="69" customFormat="1" x14ac:dyDescent="0.25">
      <c r="A621" s="81"/>
      <c r="B621" s="81"/>
      <c r="C621" s="81"/>
      <c r="D621" s="82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111"/>
      <c r="S621" s="111"/>
      <c r="T621" s="111"/>
      <c r="U621" s="111"/>
      <c r="V621" s="111"/>
      <c r="W621" s="111"/>
      <c r="X621" s="111"/>
      <c r="Y621" s="111"/>
      <c r="Z621" s="149"/>
    </row>
    <row r="622" spans="1:26" s="69" customFormat="1" x14ac:dyDescent="0.25">
      <c r="A622" s="81"/>
      <c r="B622" s="81"/>
      <c r="C622" s="81"/>
      <c r="D622" s="82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111"/>
      <c r="S622" s="111"/>
      <c r="T622" s="111"/>
      <c r="U622" s="111"/>
      <c r="V622" s="111"/>
      <c r="W622" s="111"/>
      <c r="X622" s="111"/>
      <c r="Y622" s="111"/>
      <c r="Z622" s="149"/>
    </row>
    <row r="623" spans="1:26" s="69" customFormat="1" x14ac:dyDescent="0.25">
      <c r="A623" s="81"/>
      <c r="B623" s="81"/>
      <c r="C623" s="81"/>
      <c r="D623" s="82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111"/>
      <c r="S623" s="111"/>
      <c r="T623" s="111"/>
      <c r="U623" s="111"/>
      <c r="V623" s="111"/>
      <c r="W623" s="111"/>
      <c r="X623" s="111"/>
      <c r="Y623" s="111"/>
      <c r="Z623" s="149"/>
    </row>
    <row r="624" spans="1:26" s="69" customFormat="1" x14ac:dyDescent="0.25">
      <c r="A624" s="81"/>
      <c r="B624" s="81"/>
      <c r="C624" s="81"/>
      <c r="D624" s="82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111"/>
      <c r="S624" s="111"/>
      <c r="T624" s="111"/>
      <c r="U624" s="111"/>
      <c r="V624" s="111"/>
      <c r="W624" s="111"/>
      <c r="X624" s="111"/>
      <c r="Y624" s="111"/>
      <c r="Z624" s="149"/>
    </row>
    <row r="625" spans="1:26" s="69" customFormat="1" x14ac:dyDescent="0.25">
      <c r="A625" s="81"/>
      <c r="B625" s="81"/>
      <c r="C625" s="81"/>
      <c r="D625" s="82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111"/>
      <c r="S625" s="111"/>
      <c r="T625" s="111"/>
      <c r="U625" s="111"/>
      <c r="V625" s="111"/>
      <c r="W625" s="111"/>
      <c r="X625" s="111"/>
      <c r="Y625" s="111"/>
      <c r="Z625" s="149"/>
    </row>
    <row r="626" spans="1:26" s="69" customFormat="1" x14ac:dyDescent="0.25">
      <c r="A626" s="81"/>
      <c r="B626" s="81"/>
      <c r="C626" s="81"/>
      <c r="D626" s="82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111"/>
      <c r="S626" s="111"/>
      <c r="T626" s="111"/>
      <c r="U626" s="111"/>
      <c r="V626" s="111"/>
      <c r="W626" s="111"/>
      <c r="X626" s="111"/>
      <c r="Y626" s="111"/>
      <c r="Z626" s="149"/>
    </row>
    <row r="627" spans="1:26" s="69" customFormat="1" x14ac:dyDescent="0.25">
      <c r="A627" s="81"/>
      <c r="B627" s="81"/>
      <c r="C627" s="81"/>
      <c r="D627" s="82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111"/>
      <c r="S627" s="111"/>
      <c r="T627" s="111"/>
      <c r="U627" s="111"/>
      <c r="V627" s="111"/>
      <c r="W627" s="111"/>
      <c r="X627" s="111"/>
      <c r="Y627" s="111"/>
      <c r="Z627" s="149"/>
    </row>
    <row r="628" spans="1:26" s="69" customFormat="1" x14ac:dyDescent="0.25">
      <c r="A628" s="81"/>
      <c r="B628" s="81"/>
      <c r="C628" s="81"/>
      <c r="D628" s="82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111"/>
      <c r="S628" s="111"/>
      <c r="T628" s="111"/>
      <c r="U628" s="111"/>
      <c r="V628" s="111"/>
      <c r="W628" s="111"/>
      <c r="X628" s="111"/>
      <c r="Y628" s="111"/>
      <c r="Z628" s="149"/>
    </row>
    <row r="629" spans="1:26" s="69" customFormat="1" x14ac:dyDescent="0.25">
      <c r="A629" s="81"/>
      <c r="B629" s="81"/>
      <c r="C629" s="81"/>
      <c r="D629" s="82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111"/>
      <c r="S629" s="111"/>
      <c r="T629" s="111"/>
      <c r="U629" s="111"/>
      <c r="V629" s="111"/>
      <c r="W629" s="111"/>
      <c r="X629" s="111"/>
      <c r="Y629" s="111"/>
      <c r="Z629" s="149"/>
    </row>
    <row r="630" spans="1:26" s="69" customFormat="1" x14ac:dyDescent="0.25">
      <c r="A630" s="81"/>
      <c r="B630" s="81"/>
      <c r="C630" s="81"/>
      <c r="D630" s="82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111"/>
      <c r="S630" s="111"/>
      <c r="T630" s="111"/>
      <c r="U630" s="111"/>
      <c r="V630" s="111"/>
      <c r="W630" s="111"/>
      <c r="X630" s="111"/>
      <c r="Y630" s="111"/>
      <c r="Z630" s="149"/>
    </row>
    <row r="631" spans="1:26" s="69" customFormat="1" x14ac:dyDescent="0.25">
      <c r="A631" s="81"/>
      <c r="B631" s="81"/>
      <c r="C631" s="81"/>
      <c r="D631" s="82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111"/>
      <c r="S631" s="111"/>
      <c r="T631" s="111"/>
      <c r="U631" s="111"/>
      <c r="V631" s="111"/>
      <c r="W631" s="111"/>
      <c r="X631" s="111"/>
      <c r="Y631" s="111"/>
      <c r="Z631" s="149"/>
    </row>
    <row r="632" spans="1:26" s="69" customFormat="1" x14ac:dyDescent="0.25">
      <c r="A632" s="81"/>
      <c r="B632" s="81"/>
      <c r="C632" s="81"/>
      <c r="D632" s="82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111"/>
      <c r="S632" s="111"/>
      <c r="T632" s="111"/>
      <c r="U632" s="111"/>
      <c r="V632" s="111"/>
      <c r="W632" s="111"/>
      <c r="X632" s="111"/>
      <c r="Y632" s="111"/>
      <c r="Z632" s="149"/>
    </row>
    <row r="633" spans="1:26" s="69" customFormat="1" x14ac:dyDescent="0.25">
      <c r="A633" s="81"/>
      <c r="B633" s="81"/>
      <c r="C633" s="81"/>
      <c r="D633" s="82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111"/>
      <c r="S633" s="111"/>
      <c r="T633" s="111"/>
      <c r="U633" s="111"/>
      <c r="V633" s="111"/>
      <c r="W633" s="111"/>
      <c r="X633" s="111"/>
      <c r="Y633" s="111"/>
      <c r="Z633" s="149"/>
    </row>
    <row r="634" spans="1:26" s="69" customFormat="1" x14ac:dyDescent="0.25">
      <c r="A634" s="81"/>
      <c r="B634" s="81"/>
      <c r="C634" s="81"/>
      <c r="D634" s="82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111"/>
      <c r="S634" s="111"/>
      <c r="T634" s="111"/>
      <c r="U634" s="111"/>
      <c r="V634" s="111"/>
      <c r="W634" s="111"/>
      <c r="X634" s="111"/>
      <c r="Y634" s="111"/>
      <c r="Z634" s="149"/>
    </row>
    <row r="635" spans="1:26" s="69" customFormat="1" x14ac:dyDescent="0.25">
      <c r="A635" s="81"/>
      <c r="B635" s="81"/>
      <c r="C635" s="81"/>
      <c r="D635" s="82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111"/>
      <c r="S635" s="111"/>
      <c r="T635" s="111"/>
      <c r="U635" s="111"/>
      <c r="V635" s="111"/>
      <c r="W635" s="111"/>
      <c r="X635" s="111"/>
      <c r="Y635" s="111"/>
      <c r="Z635" s="149"/>
    </row>
    <row r="636" spans="1:26" s="69" customFormat="1" x14ac:dyDescent="0.25">
      <c r="A636" s="81"/>
      <c r="B636" s="81"/>
      <c r="C636" s="81"/>
      <c r="D636" s="82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111"/>
      <c r="S636" s="111"/>
      <c r="T636" s="111"/>
      <c r="U636" s="111"/>
      <c r="V636" s="111"/>
      <c r="W636" s="111"/>
      <c r="X636" s="111"/>
      <c r="Y636" s="111"/>
      <c r="Z636" s="149"/>
    </row>
    <row r="637" spans="1:26" s="69" customFormat="1" x14ac:dyDescent="0.25">
      <c r="A637" s="81"/>
      <c r="B637" s="81"/>
      <c r="C637" s="81"/>
      <c r="D637" s="82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111"/>
      <c r="S637" s="111"/>
      <c r="T637" s="111"/>
      <c r="U637" s="111"/>
      <c r="V637" s="111"/>
      <c r="W637" s="111"/>
      <c r="X637" s="111"/>
      <c r="Y637" s="111"/>
      <c r="Z637" s="149"/>
    </row>
    <row r="638" spans="1:26" s="69" customFormat="1" x14ac:dyDescent="0.25">
      <c r="A638" s="81"/>
      <c r="B638" s="81"/>
      <c r="C638" s="81"/>
      <c r="D638" s="82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111"/>
      <c r="S638" s="111"/>
      <c r="T638" s="111"/>
      <c r="U638" s="111"/>
      <c r="V638" s="111"/>
      <c r="W638" s="111"/>
      <c r="X638" s="111"/>
      <c r="Y638" s="111"/>
      <c r="Z638" s="149"/>
    </row>
    <row r="639" spans="1:26" s="69" customFormat="1" x14ac:dyDescent="0.25">
      <c r="A639" s="81"/>
      <c r="B639" s="81"/>
      <c r="C639" s="81"/>
      <c r="D639" s="82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111"/>
      <c r="S639" s="111"/>
      <c r="T639" s="111"/>
      <c r="U639" s="111"/>
      <c r="V639" s="111"/>
      <c r="W639" s="111"/>
      <c r="X639" s="111"/>
      <c r="Y639" s="111"/>
      <c r="Z639" s="149"/>
    </row>
    <row r="640" spans="1:26" s="69" customFormat="1" x14ac:dyDescent="0.25">
      <c r="A640" s="81"/>
      <c r="B640" s="81"/>
      <c r="C640" s="81"/>
      <c r="D640" s="82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111"/>
      <c r="S640" s="111"/>
      <c r="T640" s="111"/>
      <c r="U640" s="111"/>
      <c r="V640" s="111"/>
      <c r="W640" s="111"/>
      <c r="X640" s="111"/>
      <c r="Y640" s="111"/>
      <c r="Z640" s="149"/>
    </row>
    <row r="641" spans="1:26" s="69" customFormat="1" x14ac:dyDescent="0.25">
      <c r="A641" s="81"/>
      <c r="B641" s="81"/>
      <c r="C641" s="81"/>
      <c r="D641" s="82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111"/>
      <c r="S641" s="111"/>
      <c r="T641" s="111"/>
      <c r="U641" s="111"/>
      <c r="V641" s="111"/>
      <c r="W641" s="111"/>
      <c r="X641" s="111"/>
      <c r="Y641" s="111"/>
      <c r="Z641" s="149"/>
    </row>
    <row r="642" spans="1:26" s="69" customFormat="1" x14ac:dyDescent="0.25">
      <c r="A642" s="81"/>
      <c r="B642" s="81"/>
      <c r="C642" s="81"/>
      <c r="D642" s="82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111"/>
      <c r="S642" s="111"/>
      <c r="T642" s="111"/>
      <c r="U642" s="111"/>
      <c r="V642" s="111"/>
      <c r="W642" s="111"/>
      <c r="X642" s="111"/>
      <c r="Y642" s="111"/>
      <c r="Z642" s="149"/>
    </row>
    <row r="643" spans="1:26" s="69" customFormat="1" x14ac:dyDescent="0.25">
      <c r="A643" s="81"/>
      <c r="B643" s="81"/>
      <c r="C643" s="81"/>
      <c r="D643" s="82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111"/>
      <c r="S643" s="111"/>
      <c r="T643" s="111"/>
      <c r="U643" s="111"/>
      <c r="V643" s="111"/>
      <c r="W643" s="111"/>
      <c r="X643" s="111"/>
      <c r="Y643" s="111"/>
      <c r="Z643" s="149"/>
    </row>
    <row r="644" spans="1:26" s="69" customFormat="1" x14ac:dyDescent="0.25">
      <c r="A644" s="81"/>
      <c r="B644" s="81"/>
      <c r="C644" s="81"/>
      <c r="D644" s="82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111"/>
      <c r="S644" s="111"/>
      <c r="T644" s="111"/>
      <c r="U644" s="111"/>
      <c r="V644" s="111"/>
      <c r="W644" s="111"/>
      <c r="X644" s="111"/>
      <c r="Y644" s="111"/>
      <c r="Z644" s="149"/>
    </row>
    <row r="645" spans="1:26" s="69" customFormat="1" x14ac:dyDescent="0.25">
      <c r="A645" s="81"/>
      <c r="B645" s="81"/>
      <c r="C645" s="81"/>
      <c r="D645" s="82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111"/>
      <c r="S645" s="111"/>
      <c r="T645" s="111"/>
      <c r="U645" s="111"/>
      <c r="V645" s="111"/>
      <c r="W645" s="111"/>
      <c r="X645" s="111"/>
      <c r="Y645" s="111"/>
      <c r="Z645" s="149"/>
    </row>
    <row r="646" spans="1:26" s="69" customFormat="1" x14ac:dyDescent="0.25">
      <c r="A646" s="81"/>
      <c r="B646" s="81"/>
      <c r="C646" s="81"/>
      <c r="D646" s="82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111"/>
      <c r="S646" s="111"/>
      <c r="T646" s="111"/>
      <c r="U646" s="111"/>
      <c r="V646" s="111"/>
      <c r="W646" s="111"/>
      <c r="X646" s="111"/>
      <c r="Y646" s="111"/>
      <c r="Z646" s="149"/>
    </row>
    <row r="647" spans="1:26" s="69" customFormat="1" x14ac:dyDescent="0.25">
      <c r="A647" s="81"/>
      <c r="B647" s="81"/>
      <c r="C647" s="81"/>
      <c r="D647" s="82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111"/>
      <c r="S647" s="111"/>
      <c r="T647" s="111"/>
      <c r="U647" s="111"/>
      <c r="V647" s="111"/>
      <c r="W647" s="111"/>
      <c r="X647" s="111"/>
      <c r="Y647" s="111"/>
      <c r="Z647" s="149"/>
    </row>
    <row r="648" spans="1:26" s="69" customFormat="1" x14ac:dyDescent="0.25">
      <c r="A648" s="81"/>
      <c r="B648" s="81"/>
      <c r="C648" s="81"/>
      <c r="D648" s="82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111"/>
      <c r="S648" s="111"/>
      <c r="T648" s="111"/>
      <c r="U648" s="111"/>
      <c r="V648" s="111"/>
      <c r="W648" s="111"/>
      <c r="X648" s="111"/>
      <c r="Y648" s="111"/>
      <c r="Z648" s="149"/>
    </row>
    <row r="649" spans="1:26" s="69" customFormat="1" x14ac:dyDescent="0.25">
      <c r="A649" s="81"/>
      <c r="B649" s="81"/>
      <c r="C649" s="81"/>
      <c r="D649" s="82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111"/>
      <c r="S649" s="111"/>
      <c r="T649" s="111"/>
      <c r="U649" s="111"/>
      <c r="V649" s="111"/>
      <c r="W649" s="111"/>
      <c r="X649" s="111"/>
      <c r="Y649" s="111"/>
      <c r="Z649" s="149"/>
    </row>
    <row r="650" spans="1:26" s="69" customFormat="1" x14ac:dyDescent="0.25">
      <c r="A650" s="81"/>
      <c r="B650" s="81"/>
      <c r="C650" s="81"/>
      <c r="D650" s="82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111"/>
      <c r="S650" s="111"/>
      <c r="T650" s="111"/>
      <c r="U650" s="111"/>
      <c r="V650" s="111"/>
      <c r="W650" s="111"/>
      <c r="X650" s="111"/>
      <c r="Y650" s="111"/>
      <c r="Z650" s="149"/>
    </row>
    <row r="651" spans="1:26" s="69" customFormat="1" x14ac:dyDescent="0.25">
      <c r="A651" s="81"/>
      <c r="B651" s="81"/>
      <c r="C651" s="81"/>
      <c r="D651" s="82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111"/>
      <c r="S651" s="111"/>
      <c r="T651" s="111"/>
      <c r="U651" s="111"/>
      <c r="V651" s="111"/>
      <c r="W651" s="111"/>
      <c r="X651" s="111"/>
      <c r="Y651" s="111"/>
      <c r="Z651" s="149"/>
    </row>
    <row r="652" spans="1:26" s="69" customFormat="1" x14ac:dyDescent="0.25">
      <c r="A652" s="81"/>
      <c r="B652" s="81"/>
      <c r="C652" s="81"/>
      <c r="D652" s="82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111"/>
      <c r="S652" s="111"/>
      <c r="T652" s="111"/>
      <c r="U652" s="111"/>
      <c r="V652" s="111"/>
      <c r="W652" s="111"/>
      <c r="X652" s="111"/>
      <c r="Y652" s="111"/>
      <c r="Z652" s="149"/>
    </row>
    <row r="653" spans="1:26" s="69" customFormat="1" x14ac:dyDescent="0.25">
      <c r="A653" s="81"/>
      <c r="B653" s="81"/>
      <c r="C653" s="81"/>
      <c r="D653" s="82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111"/>
      <c r="S653" s="111"/>
      <c r="T653" s="111"/>
      <c r="U653" s="111"/>
      <c r="V653" s="111"/>
      <c r="W653" s="111"/>
      <c r="X653" s="111"/>
      <c r="Y653" s="111"/>
      <c r="Z653" s="149"/>
    </row>
    <row r="654" spans="1:26" s="69" customFormat="1" x14ac:dyDescent="0.25">
      <c r="A654" s="81"/>
      <c r="B654" s="81"/>
      <c r="C654" s="81"/>
      <c r="D654" s="82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111"/>
      <c r="S654" s="111"/>
      <c r="T654" s="111"/>
      <c r="U654" s="111"/>
      <c r="V654" s="111"/>
      <c r="W654" s="111"/>
      <c r="X654" s="111"/>
      <c r="Y654" s="111"/>
      <c r="Z654" s="149"/>
    </row>
    <row r="655" spans="1:26" s="69" customFormat="1" x14ac:dyDescent="0.25">
      <c r="A655" s="81"/>
      <c r="B655" s="81"/>
      <c r="C655" s="81"/>
      <c r="D655" s="82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111"/>
      <c r="S655" s="111"/>
      <c r="T655" s="111"/>
      <c r="U655" s="111"/>
      <c r="V655" s="111"/>
      <c r="W655" s="111"/>
      <c r="X655" s="111"/>
      <c r="Y655" s="111"/>
      <c r="Z655" s="149"/>
    </row>
    <row r="656" spans="1:26" s="69" customFormat="1" x14ac:dyDescent="0.25">
      <c r="A656" s="81"/>
      <c r="B656" s="81"/>
      <c r="C656" s="81"/>
      <c r="D656" s="82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111"/>
      <c r="S656" s="111"/>
      <c r="T656" s="111"/>
      <c r="U656" s="111"/>
      <c r="V656" s="111"/>
      <c r="W656" s="111"/>
      <c r="X656" s="111"/>
      <c r="Y656" s="111"/>
      <c r="Z656" s="149"/>
    </row>
    <row r="657" spans="1:26" s="69" customFormat="1" x14ac:dyDescent="0.25">
      <c r="A657" s="81"/>
      <c r="B657" s="81"/>
      <c r="C657" s="81"/>
      <c r="D657" s="82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111"/>
      <c r="S657" s="111"/>
      <c r="T657" s="111"/>
      <c r="U657" s="111"/>
      <c r="V657" s="111"/>
      <c r="W657" s="111"/>
      <c r="X657" s="111"/>
      <c r="Y657" s="111"/>
      <c r="Z657" s="149"/>
    </row>
    <row r="658" spans="1:26" s="69" customFormat="1" x14ac:dyDescent="0.25">
      <c r="A658" s="81"/>
      <c r="B658" s="81"/>
      <c r="C658" s="81"/>
      <c r="D658" s="82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111"/>
      <c r="S658" s="111"/>
      <c r="T658" s="111"/>
      <c r="U658" s="111"/>
      <c r="V658" s="111"/>
      <c r="W658" s="111"/>
      <c r="X658" s="111"/>
      <c r="Y658" s="111"/>
      <c r="Z658" s="149"/>
    </row>
    <row r="659" spans="1:26" s="69" customFormat="1" x14ac:dyDescent="0.25">
      <c r="A659" s="81"/>
      <c r="B659" s="81"/>
      <c r="C659" s="81"/>
      <c r="D659" s="82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111"/>
      <c r="S659" s="111"/>
      <c r="T659" s="111"/>
      <c r="U659" s="111"/>
      <c r="V659" s="111"/>
      <c r="W659" s="111"/>
      <c r="X659" s="111"/>
      <c r="Y659" s="111"/>
      <c r="Z659" s="149"/>
    </row>
    <row r="660" spans="1:26" s="69" customFormat="1" x14ac:dyDescent="0.25">
      <c r="A660" s="81"/>
      <c r="B660" s="81"/>
      <c r="C660" s="81"/>
      <c r="D660" s="82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111"/>
      <c r="S660" s="111"/>
      <c r="T660" s="111"/>
      <c r="U660" s="111"/>
      <c r="V660" s="111"/>
      <c r="W660" s="111"/>
      <c r="X660" s="111"/>
      <c r="Y660" s="111"/>
      <c r="Z660" s="149"/>
    </row>
    <row r="661" spans="1:26" s="69" customFormat="1" x14ac:dyDescent="0.25">
      <c r="A661" s="81"/>
      <c r="B661" s="81"/>
      <c r="C661" s="81"/>
      <c r="D661" s="82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111"/>
      <c r="S661" s="111"/>
      <c r="T661" s="111"/>
      <c r="U661" s="111"/>
      <c r="V661" s="111"/>
      <c r="W661" s="111"/>
      <c r="X661" s="111"/>
      <c r="Y661" s="111"/>
      <c r="Z661" s="149"/>
    </row>
    <row r="662" spans="1:26" s="69" customFormat="1" x14ac:dyDescent="0.25">
      <c r="A662" s="81"/>
      <c r="B662" s="81"/>
      <c r="C662" s="81"/>
      <c r="D662" s="82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111"/>
      <c r="S662" s="111"/>
      <c r="T662" s="111"/>
      <c r="U662" s="111"/>
      <c r="V662" s="111"/>
      <c r="W662" s="111"/>
      <c r="X662" s="111"/>
      <c r="Y662" s="111"/>
      <c r="Z662" s="149"/>
    </row>
    <row r="663" spans="1:26" s="69" customFormat="1" x14ac:dyDescent="0.25">
      <c r="A663" s="81"/>
      <c r="B663" s="81"/>
      <c r="C663" s="81"/>
      <c r="D663" s="82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111"/>
      <c r="S663" s="111"/>
      <c r="T663" s="111"/>
      <c r="U663" s="111"/>
      <c r="V663" s="111"/>
      <c r="W663" s="111"/>
      <c r="X663" s="111"/>
      <c r="Y663" s="111"/>
      <c r="Z663" s="149"/>
    </row>
    <row r="664" spans="1:26" s="69" customFormat="1" x14ac:dyDescent="0.25">
      <c r="A664" s="81"/>
      <c r="B664" s="81"/>
      <c r="C664" s="81"/>
      <c r="D664" s="82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111"/>
      <c r="S664" s="111"/>
      <c r="T664" s="111"/>
      <c r="U664" s="111"/>
      <c r="V664" s="111"/>
      <c r="W664" s="111"/>
      <c r="X664" s="111"/>
      <c r="Y664" s="111"/>
      <c r="Z664" s="149"/>
    </row>
    <row r="665" spans="1:26" s="69" customFormat="1" x14ac:dyDescent="0.25">
      <c r="A665" s="81"/>
      <c r="B665" s="81"/>
      <c r="C665" s="81"/>
      <c r="D665" s="82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111"/>
      <c r="S665" s="111"/>
      <c r="T665" s="111"/>
      <c r="U665" s="111"/>
      <c r="V665" s="111"/>
      <c r="W665" s="111"/>
      <c r="X665" s="111"/>
      <c r="Y665" s="111"/>
      <c r="Z665" s="149"/>
    </row>
    <row r="666" spans="1:26" s="69" customFormat="1" x14ac:dyDescent="0.25">
      <c r="A666" s="81"/>
      <c r="B666" s="81"/>
      <c r="C666" s="81"/>
      <c r="D666" s="82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111"/>
      <c r="S666" s="111"/>
      <c r="T666" s="111"/>
      <c r="U666" s="111"/>
      <c r="V666" s="111"/>
      <c r="W666" s="111"/>
      <c r="X666" s="111"/>
      <c r="Y666" s="111"/>
      <c r="Z666" s="149"/>
    </row>
    <row r="667" spans="1:26" s="69" customFormat="1" x14ac:dyDescent="0.25">
      <c r="A667" s="81"/>
      <c r="B667" s="81"/>
      <c r="C667" s="81"/>
      <c r="D667" s="82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111"/>
      <c r="S667" s="111"/>
      <c r="T667" s="111"/>
      <c r="U667" s="111"/>
      <c r="V667" s="111"/>
      <c r="W667" s="111"/>
      <c r="X667" s="111"/>
      <c r="Y667" s="111"/>
      <c r="Z667" s="149"/>
    </row>
    <row r="668" spans="1:26" s="69" customFormat="1" x14ac:dyDescent="0.25">
      <c r="A668" s="81"/>
      <c r="B668" s="81"/>
      <c r="C668" s="81"/>
      <c r="D668" s="82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111"/>
      <c r="S668" s="111"/>
      <c r="T668" s="111"/>
      <c r="U668" s="111"/>
      <c r="V668" s="111"/>
      <c r="W668" s="111"/>
      <c r="X668" s="111"/>
      <c r="Y668" s="111"/>
      <c r="Z668" s="149"/>
    </row>
    <row r="669" spans="1:26" s="69" customFormat="1" x14ac:dyDescent="0.25">
      <c r="A669" s="81"/>
      <c r="B669" s="81"/>
      <c r="C669" s="81"/>
      <c r="D669" s="82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111"/>
      <c r="S669" s="111"/>
      <c r="T669" s="111"/>
      <c r="U669" s="111"/>
      <c r="V669" s="111"/>
      <c r="W669" s="111"/>
      <c r="X669" s="111"/>
      <c r="Y669" s="111"/>
      <c r="Z669" s="149"/>
    </row>
    <row r="670" spans="1:26" s="69" customFormat="1" x14ac:dyDescent="0.25">
      <c r="A670" s="81"/>
      <c r="B670" s="81"/>
      <c r="C670" s="81"/>
      <c r="D670" s="82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111"/>
      <c r="S670" s="111"/>
      <c r="T670" s="111"/>
      <c r="U670" s="111"/>
      <c r="V670" s="111"/>
      <c r="W670" s="111"/>
      <c r="X670" s="111"/>
      <c r="Y670" s="111"/>
      <c r="Z670" s="149"/>
    </row>
    <row r="671" spans="1:26" s="69" customFormat="1" x14ac:dyDescent="0.25">
      <c r="A671" s="81"/>
      <c r="B671" s="81"/>
      <c r="C671" s="81"/>
      <c r="D671" s="82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111"/>
      <c r="S671" s="111"/>
      <c r="T671" s="111"/>
      <c r="U671" s="111"/>
      <c r="V671" s="111"/>
      <c r="W671" s="111"/>
      <c r="X671" s="111"/>
      <c r="Y671" s="111"/>
      <c r="Z671" s="149"/>
    </row>
    <row r="672" spans="1:26" s="69" customFormat="1" x14ac:dyDescent="0.25">
      <c r="A672" s="81"/>
      <c r="B672" s="81"/>
      <c r="C672" s="81"/>
      <c r="D672" s="82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111"/>
      <c r="S672" s="111"/>
      <c r="T672" s="111"/>
      <c r="U672" s="111"/>
      <c r="V672" s="111"/>
      <c r="W672" s="111"/>
      <c r="X672" s="111"/>
      <c r="Y672" s="111"/>
      <c r="Z672" s="149"/>
    </row>
    <row r="673" spans="1:26" s="69" customFormat="1" x14ac:dyDescent="0.25">
      <c r="A673" s="81"/>
      <c r="B673" s="81"/>
      <c r="C673" s="81"/>
      <c r="D673" s="82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111"/>
      <c r="S673" s="111"/>
      <c r="T673" s="111"/>
      <c r="U673" s="111"/>
      <c r="V673" s="111"/>
      <c r="W673" s="111"/>
      <c r="X673" s="111"/>
      <c r="Y673" s="111"/>
      <c r="Z673" s="149"/>
    </row>
    <row r="674" spans="1:26" s="69" customFormat="1" x14ac:dyDescent="0.25">
      <c r="A674" s="81"/>
      <c r="B674" s="81"/>
      <c r="C674" s="81"/>
      <c r="D674" s="82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111"/>
      <c r="S674" s="111"/>
      <c r="T674" s="111"/>
      <c r="U674" s="111"/>
      <c r="V674" s="111"/>
      <c r="W674" s="111"/>
      <c r="X674" s="111"/>
      <c r="Y674" s="111"/>
      <c r="Z674" s="149"/>
    </row>
    <row r="675" spans="1:26" s="69" customFormat="1" x14ac:dyDescent="0.25">
      <c r="A675" s="81"/>
      <c r="B675" s="81"/>
      <c r="C675" s="81"/>
      <c r="D675" s="82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111"/>
      <c r="S675" s="111"/>
      <c r="T675" s="111"/>
      <c r="U675" s="111"/>
      <c r="V675" s="111"/>
      <c r="W675" s="111"/>
      <c r="X675" s="111"/>
      <c r="Y675" s="111"/>
      <c r="Z675" s="149"/>
    </row>
    <row r="676" spans="1:26" s="69" customFormat="1" x14ac:dyDescent="0.25">
      <c r="A676" s="81"/>
      <c r="B676" s="81"/>
      <c r="C676" s="81"/>
      <c r="D676" s="82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111"/>
      <c r="S676" s="111"/>
      <c r="T676" s="111"/>
      <c r="U676" s="111"/>
      <c r="V676" s="111"/>
      <c r="W676" s="111"/>
      <c r="X676" s="111"/>
      <c r="Y676" s="111"/>
      <c r="Z676" s="149"/>
    </row>
    <row r="677" spans="1:26" s="69" customFormat="1" x14ac:dyDescent="0.25">
      <c r="A677" s="81"/>
      <c r="B677" s="81"/>
      <c r="C677" s="81"/>
      <c r="D677" s="82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111"/>
      <c r="S677" s="111"/>
      <c r="T677" s="111"/>
      <c r="U677" s="111"/>
      <c r="V677" s="111"/>
      <c r="W677" s="111"/>
      <c r="X677" s="111"/>
      <c r="Y677" s="111"/>
      <c r="Z677" s="149"/>
    </row>
    <row r="678" spans="1:26" s="69" customFormat="1" x14ac:dyDescent="0.25">
      <c r="A678" s="81"/>
      <c r="B678" s="81"/>
      <c r="C678" s="81"/>
      <c r="D678" s="82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111"/>
      <c r="S678" s="111"/>
      <c r="T678" s="111"/>
      <c r="U678" s="111"/>
      <c r="V678" s="111"/>
      <c r="W678" s="111"/>
      <c r="X678" s="111"/>
      <c r="Y678" s="111"/>
      <c r="Z678" s="149"/>
    </row>
    <row r="679" spans="1:26" s="69" customFormat="1" x14ac:dyDescent="0.25">
      <c r="A679" s="81"/>
      <c r="B679" s="81"/>
      <c r="C679" s="81"/>
      <c r="D679" s="82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111"/>
      <c r="S679" s="111"/>
      <c r="T679" s="111"/>
      <c r="U679" s="111"/>
      <c r="V679" s="111"/>
      <c r="W679" s="111"/>
      <c r="X679" s="111"/>
      <c r="Y679" s="111"/>
      <c r="Z679" s="149"/>
    </row>
    <row r="680" spans="1:26" s="69" customFormat="1" x14ac:dyDescent="0.25">
      <c r="A680" s="81"/>
      <c r="B680" s="81"/>
      <c r="C680" s="81"/>
      <c r="D680" s="82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111"/>
      <c r="S680" s="111"/>
      <c r="T680" s="111"/>
      <c r="U680" s="111"/>
      <c r="V680" s="111"/>
      <c r="W680" s="111"/>
      <c r="X680" s="111"/>
      <c r="Y680" s="111"/>
      <c r="Z680" s="149"/>
    </row>
    <row r="681" spans="1:26" s="69" customFormat="1" x14ac:dyDescent="0.25">
      <c r="A681" s="81"/>
      <c r="B681" s="81"/>
      <c r="C681" s="81"/>
      <c r="D681" s="82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111"/>
      <c r="S681" s="111"/>
      <c r="T681" s="111"/>
      <c r="U681" s="111"/>
      <c r="V681" s="111"/>
      <c r="W681" s="111"/>
      <c r="X681" s="111"/>
      <c r="Y681" s="111"/>
      <c r="Z681" s="149"/>
    </row>
    <row r="682" spans="1:26" s="69" customFormat="1" x14ac:dyDescent="0.25">
      <c r="A682" s="81"/>
      <c r="B682" s="81"/>
      <c r="C682" s="81"/>
      <c r="D682" s="82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111"/>
      <c r="S682" s="111"/>
      <c r="T682" s="111"/>
      <c r="U682" s="111"/>
      <c r="V682" s="111"/>
      <c r="W682" s="111"/>
      <c r="X682" s="111"/>
      <c r="Y682" s="111"/>
      <c r="Z682" s="149"/>
    </row>
    <row r="683" spans="1:26" s="69" customFormat="1" x14ac:dyDescent="0.25">
      <c r="A683" s="81"/>
      <c r="B683" s="81"/>
      <c r="C683" s="81"/>
      <c r="D683" s="82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111"/>
      <c r="S683" s="111"/>
      <c r="T683" s="111"/>
      <c r="U683" s="111"/>
      <c r="V683" s="111"/>
      <c r="W683" s="111"/>
      <c r="X683" s="111"/>
      <c r="Y683" s="111"/>
      <c r="Z683" s="149"/>
    </row>
    <row r="684" spans="1:26" s="69" customFormat="1" x14ac:dyDescent="0.25">
      <c r="A684" s="81"/>
      <c r="B684" s="81"/>
      <c r="C684" s="81"/>
      <c r="D684" s="82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111"/>
      <c r="S684" s="111"/>
      <c r="T684" s="111"/>
      <c r="U684" s="111"/>
      <c r="V684" s="111"/>
      <c r="W684" s="111"/>
      <c r="X684" s="111"/>
      <c r="Y684" s="111"/>
      <c r="Z684" s="149"/>
    </row>
    <row r="685" spans="1:26" s="69" customFormat="1" x14ac:dyDescent="0.25">
      <c r="A685" s="81"/>
      <c r="B685" s="81"/>
      <c r="C685" s="81"/>
      <c r="D685" s="82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111"/>
      <c r="S685" s="111"/>
      <c r="T685" s="111"/>
      <c r="U685" s="111"/>
      <c r="V685" s="111"/>
      <c r="W685" s="111"/>
      <c r="X685" s="111"/>
      <c r="Y685" s="111"/>
      <c r="Z685" s="149"/>
    </row>
    <row r="686" spans="1:26" s="69" customFormat="1" x14ac:dyDescent="0.25">
      <c r="A686" s="81"/>
      <c r="B686" s="81"/>
      <c r="C686" s="81"/>
      <c r="D686" s="82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111"/>
      <c r="S686" s="111"/>
      <c r="T686" s="111"/>
      <c r="U686" s="111"/>
      <c r="V686" s="111"/>
      <c r="W686" s="111"/>
      <c r="X686" s="111"/>
      <c r="Y686" s="111"/>
      <c r="Z686" s="149"/>
    </row>
    <row r="687" spans="1:26" s="69" customFormat="1" x14ac:dyDescent="0.25">
      <c r="A687" s="81"/>
      <c r="B687" s="81"/>
      <c r="C687" s="81"/>
      <c r="D687" s="82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111"/>
      <c r="S687" s="111"/>
      <c r="T687" s="111"/>
      <c r="U687" s="111"/>
      <c r="V687" s="111"/>
      <c r="W687" s="111"/>
      <c r="X687" s="111"/>
      <c r="Y687" s="111"/>
      <c r="Z687" s="149"/>
    </row>
    <row r="688" spans="1:26" s="69" customFormat="1" x14ac:dyDescent="0.25">
      <c r="A688" s="81"/>
      <c r="B688" s="81"/>
      <c r="C688" s="81"/>
      <c r="D688" s="82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111"/>
      <c r="S688" s="111"/>
      <c r="T688" s="111"/>
      <c r="U688" s="111"/>
      <c r="V688" s="111"/>
      <c r="W688" s="111"/>
      <c r="X688" s="111"/>
      <c r="Y688" s="111"/>
      <c r="Z688" s="149"/>
    </row>
    <row r="689" spans="1:26" s="69" customFormat="1" x14ac:dyDescent="0.25">
      <c r="A689" s="81"/>
      <c r="B689" s="81"/>
      <c r="C689" s="81"/>
      <c r="D689" s="82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111"/>
      <c r="S689" s="111"/>
      <c r="T689" s="111"/>
      <c r="U689" s="111"/>
      <c r="V689" s="111"/>
      <c r="W689" s="111"/>
      <c r="X689" s="111"/>
      <c r="Y689" s="111"/>
      <c r="Z689" s="149"/>
    </row>
    <row r="690" spans="1:26" s="69" customFormat="1" x14ac:dyDescent="0.25">
      <c r="A690" s="81"/>
      <c r="B690" s="81"/>
      <c r="C690" s="81"/>
      <c r="D690" s="82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111"/>
      <c r="S690" s="111"/>
      <c r="T690" s="111"/>
      <c r="U690" s="111"/>
      <c r="V690" s="111"/>
      <c r="W690" s="111"/>
      <c r="X690" s="111"/>
      <c r="Y690" s="111"/>
      <c r="Z690" s="149"/>
    </row>
    <row r="691" spans="1:26" s="69" customFormat="1" x14ac:dyDescent="0.25">
      <c r="A691" s="81"/>
      <c r="B691" s="81"/>
      <c r="C691" s="81"/>
      <c r="D691" s="82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111"/>
      <c r="S691" s="111"/>
      <c r="T691" s="111"/>
      <c r="U691" s="111"/>
      <c r="V691" s="111"/>
      <c r="W691" s="111"/>
      <c r="X691" s="111"/>
      <c r="Y691" s="111"/>
      <c r="Z691" s="149"/>
    </row>
    <row r="692" spans="1:26" s="69" customFormat="1" x14ac:dyDescent="0.25">
      <c r="A692" s="81"/>
      <c r="B692" s="81"/>
      <c r="C692" s="81"/>
      <c r="D692" s="82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111"/>
      <c r="S692" s="111"/>
      <c r="T692" s="111"/>
      <c r="U692" s="111"/>
      <c r="V692" s="111"/>
      <c r="W692" s="111"/>
      <c r="X692" s="111"/>
      <c r="Y692" s="111"/>
      <c r="Z692" s="149"/>
    </row>
    <row r="693" spans="1:26" s="69" customFormat="1" x14ac:dyDescent="0.25">
      <c r="A693" s="81"/>
      <c r="B693" s="81"/>
      <c r="C693" s="81"/>
      <c r="D693" s="82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111"/>
      <c r="S693" s="111"/>
      <c r="T693" s="111"/>
      <c r="U693" s="111"/>
      <c r="V693" s="111"/>
      <c r="W693" s="111"/>
      <c r="X693" s="111"/>
      <c r="Y693" s="111"/>
      <c r="Z693" s="149"/>
    </row>
    <row r="694" spans="1:26" s="69" customFormat="1" x14ac:dyDescent="0.25">
      <c r="A694" s="81"/>
      <c r="B694" s="81"/>
      <c r="C694" s="81"/>
      <c r="D694" s="82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111"/>
      <c r="S694" s="111"/>
      <c r="T694" s="111"/>
      <c r="U694" s="111"/>
      <c r="V694" s="111"/>
      <c r="W694" s="111"/>
      <c r="X694" s="111"/>
      <c r="Y694" s="111"/>
      <c r="Z694" s="149"/>
    </row>
    <row r="695" spans="1:26" s="69" customFormat="1" x14ac:dyDescent="0.25">
      <c r="A695" s="81"/>
      <c r="B695" s="81"/>
      <c r="C695" s="81"/>
      <c r="D695" s="82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111"/>
      <c r="S695" s="111"/>
      <c r="T695" s="111"/>
      <c r="U695" s="111"/>
      <c r="V695" s="111"/>
      <c r="W695" s="111"/>
      <c r="X695" s="111"/>
      <c r="Y695" s="111"/>
      <c r="Z695" s="149"/>
    </row>
    <row r="696" spans="1:26" s="69" customFormat="1" x14ac:dyDescent="0.25">
      <c r="A696" s="81"/>
      <c r="B696" s="81"/>
      <c r="C696" s="81"/>
      <c r="D696" s="82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111"/>
      <c r="S696" s="111"/>
      <c r="T696" s="111"/>
      <c r="U696" s="111"/>
      <c r="V696" s="111"/>
      <c r="W696" s="111"/>
      <c r="X696" s="111"/>
      <c r="Y696" s="111"/>
      <c r="Z696" s="149"/>
    </row>
    <row r="697" spans="1:26" s="69" customFormat="1" x14ac:dyDescent="0.25">
      <c r="A697" s="81"/>
      <c r="B697" s="81"/>
      <c r="C697" s="81"/>
      <c r="D697" s="82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111"/>
      <c r="S697" s="111"/>
      <c r="T697" s="111"/>
      <c r="U697" s="111"/>
      <c r="V697" s="111"/>
      <c r="W697" s="111"/>
      <c r="X697" s="111"/>
      <c r="Y697" s="111"/>
      <c r="Z697" s="149"/>
    </row>
    <row r="698" spans="1:26" s="69" customFormat="1" x14ac:dyDescent="0.25">
      <c r="A698" s="81"/>
      <c r="B698" s="81"/>
      <c r="C698" s="81"/>
      <c r="D698" s="82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111"/>
      <c r="S698" s="111"/>
      <c r="T698" s="111"/>
      <c r="U698" s="111"/>
      <c r="V698" s="111"/>
      <c r="W698" s="111"/>
      <c r="X698" s="111"/>
      <c r="Y698" s="111"/>
      <c r="Z698" s="149"/>
    </row>
    <row r="699" spans="1:26" s="69" customFormat="1" x14ac:dyDescent="0.25">
      <c r="A699" s="81"/>
      <c r="B699" s="81"/>
      <c r="C699" s="81"/>
      <c r="D699" s="82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111"/>
      <c r="S699" s="111"/>
      <c r="T699" s="111"/>
      <c r="U699" s="111"/>
      <c r="V699" s="111"/>
      <c r="W699" s="111"/>
      <c r="X699" s="111"/>
      <c r="Y699" s="111"/>
      <c r="Z699" s="149"/>
    </row>
    <row r="700" spans="1:26" s="69" customFormat="1" x14ac:dyDescent="0.25">
      <c r="A700" s="81"/>
      <c r="B700" s="81"/>
      <c r="C700" s="81"/>
      <c r="D700" s="82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111"/>
      <c r="S700" s="111"/>
      <c r="T700" s="111"/>
      <c r="U700" s="111"/>
      <c r="V700" s="111"/>
      <c r="W700" s="111"/>
      <c r="X700" s="111"/>
      <c r="Y700" s="111"/>
      <c r="Z700" s="149"/>
    </row>
    <row r="701" spans="1:26" s="69" customFormat="1" x14ac:dyDescent="0.25">
      <c r="A701" s="81"/>
      <c r="B701" s="81"/>
      <c r="C701" s="81"/>
      <c r="D701" s="82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111"/>
      <c r="S701" s="111"/>
      <c r="T701" s="111"/>
      <c r="U701" s="111"/>
      <c r="V701" s="111"/>
      <c r="W701" s="111"/>
      <c r="X701" s="111"/>
      <c r="Y701" s="111"/>
      <c r="Z701" s="149"/>
    </row>
    <row r="702" spans="1:26" s="69" customFormat="1" x14ac:dyDescent="0.25">
      <c r="A702" s="81"/>
      <c r="B702" s="81"/>
      <c r="C702" s="81"/>
      <c r="D702" s="82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111"/>
      <c r="S702" s="111"/>
      <c r="T702" s="111"/>
      <c r="U702" s="111"/>
      <c r="V702" s="111"/>
      <c r="W702" s="111"/>
      <c r="X702" s="111"/>
      <c r="Y702" s="111"/>
      <c r="Z702" s="149"/>
    </row>
    <row r="703" spans="1:26" s="69" customFormat="1" x14ac:dyDescent="0.25">
      <c r="A703" s="81"/>
      <c r="B703" s="81"/>
      <c r="C703" s="81"/>
      <c r="D703" s="82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111"/>
      <c r="S703" s="111"/>
      <c r="T703" s="111"/>
      <c r="U703" s="111"/>
      <c r="V703" s="111"/>
      <c r="W703" s="111"/>
      <c r="X703" s="111"/>
      <c r="Y703" s="111"/>
      <c r="Z703" s="149"/>
    </row>
    <row r="704" spans="1:26" s="69" customFormat="1" x14ac:dyDescent="0.25">
      <c r="A704" s="81"/>
      <c r="B704" s="81"/>
      <c r="C704" s="81"/>
      <c r="D704" s="82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111"/>
      <c r="S704" s="111"/>
      <c r="T704" s="111"/>
      <c r="U704" s="111"/>
      <c r="V704" s="111"/>
      <c r="W704" s="111"/>
      <c r="X704" s="111"/>
      <c r="Y704" s="111"/>
      <c r="Z704" s="149"/>
    </row>
    <row r="705" spans="1:26" s="69" customFormat="1" x14ac:dyDescent="0.25">
      <c r="A705" s="81"/>
      <c r="B705" s="81"/>
      <c r="C705" s="81"/>
      <c r="D705" s="82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111"/>
      <c r="S705" s="111"/>
      <c r="T705" s="111"/>
      <c r="U705" s="111"/>
      <c r="V705" s="111"/>
      <c r="W705" s="111"/>
      <c r="X705" s="111"/>
      <c r="Y705" s="111"/>
      <c r="Z705" s="149"/>
    </row>
    <row r="706" spans="1:26" s="69" customFormat="1" x14ac:dyDescent="0.25">
      <c r="A706" s="81"/>
      <c r="B706" s="81"/>
      <c r="C706" s="81"/>
      <c r="D706" s="82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111"/>
      <c r="S706" s="111"/>
      <c r="T706" s="111"/>
      <c r="U706" s="111"/>
      <c r="V706" s="111"/>
      <c r="W706" s="111"/>
      <c r="X706" s="111"/>
      <c r="Y706" s="111"/>
      <c r="Z706" s="149"/>
    </row>
    <row r="707" spans="1:26" s="69" customFormat="1" x14ac:dyDescent="0.25">
      <c r="A707" s="81"/>
      <c r="B707" s="81"/>
      <c r="C707" s="81"/>
      <c r="D707" s="82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111"/>
      <c r="S707" s="111"/>
      <c r="T707" s="111"/>
      <c r="U707" s="111"/>
      <c r="V707" s="111"/>
      <c r="W707" s="111"/>
      <c r="X707" s="111"/>
      <c r="Y707" s="111"/>
      <c r="Z707" s="149"/>
    </row>
    <row r="708" spans="1:26" s="69" customFormat="1" x14ac:dyDescent="0.25">
      <c r="A708" s="81"/>
      <c r="B708" s="81"/>
      <c r="C708" s="81"/>
      <c r="D708" s="82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111"/>
      <c r="S708" s="111"/>
      <c r="T708" s="111"/>
      <c r="U708" s="111"/>
      <c r="V708" s="111"/>
      <c r="W708" s="111"/>
      <c r="X708" s="111"/>
      <c r="Y708" s="111"/>
      <c r="Z708" s="149"/>
    </row>
    <row r="709" spans="1:26" s="69" customFormat="1" x14ac:dyDescent="0.25">
      <c r="A709" s="81"/>
      <c r="B709" s="81"/>
      <c r="C709" s="81"/>
      <c r="D709" s="82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111"/>
      <c r="S709" s="111"/>
      <c r="T709" s="111"/>
      <c r="U709" s="111"/>
      <c r="V709" s="111"/>
      <c r="W709" s="111"/>
      <c r="X709" s="111"/>
      <c r="Y709" s="111"/>
      <c r="Z709" s="149"/>
    </row>
    <row r="710" spans="1:26" s="69" customFormat="1" x14ac:dyDescent="0.25">
      <c r="A710" s="81"/>
      <c r="B710" s="81"/>
      <c r="C710" s="81"/>
      <c r="D710" s="82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111"/>
      <c r="S710" s="111"/>
      <c r="T710" s="111"/>
      <c r="U710" s="111"/>
      <c r="V710" s="111"/>
      <c r="W710" s="111"/>
      <c r="X710" s="111"/>
      <c r="Y710" s="111"/>
      <c r="Z710" s="149"/>
    </row>
    <row r="711" spans="1:26" s="69" customFormat="1" x14ac:dyDescent="0.25">
      <c r="A711" s="81"/>
      <c r="B711" s="81"/>
      <c r="C711" s="81"/>
      <c r="D711" s="82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111"/>
      <c r="S711" s="111"/>
      <c r="T711" s="111"/>
      <c r="U711" s="111"/>
      <c r="V711" s="111"/>
      <c r="W711" s="111"/>
      <c r="X711" s="111"/>
      <c r="Y711" s="111"/>
      <c r="Z711" s="149"/>
    </row>
    <row r="712" spans="1:26" s="69" customFormat="1" x14ac:dyDescent="0.25">
      <c r="A712" s="81"/>
      <c r="B712" s="81"/>
      <c r="C712" s="81"/>
      <c r="D712" s="82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111"/>
      <c r="S712" s="111"/>
      <c r="T712" s="111"/>
      <c r="U712" s="111"/>
      <c r="V712" s="111"/>
      <c r="W712" s="111"/>
      <c r="X712" s="111"/>
      <c r="Y712" s="111"/>
      <c r="Z712" s="149"/>
    </row>
    <row r="713" spans="1:26" s="69" customFormat="1" x14ac:dyDescent="0.25">
      <c r="A713" s="81"/>
      <c r="B713" s="81"/>
      <c r="C713" s="81"/>
      <c r="D713" s="82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111"/>
      <c r="S713" s="111"/>
      <c r="T713" s="111"/>
      <c r="U713" s="111"/>
      <c r="V713" s="111"/>
      <c r="W713" s="111"/>
      <c r="X713" s="111"/>
      <c r="Y713" s="111"/>
      <c r="Z713" s="149"/>
    </row>
    <row r="714" spans="1:26" s="69" customFormat="1" x14ac:dyDescent="0.25">
      <c r="A714" s="81"/>
      <c r="B714" s="81"/>
      <c r="C714" s="81"/>
      <c r="D714" s="82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111"/>
      <c r="S714" s="111"/>
      <c r="T714" s="111"/>
      <c r="U714" s="111"/>
      <c r="V714" s="111"/>
      <c r="W714" s="111"/>
      <c r="X714" s="111"/>
      <c r="Y714" s="111"/>
      <c r="Z714" s="149"/>
    </row>
    <row r="715" spans="1:26" s="69" customFormat="1" x14ac:dyDescent="0.25">
      <c r="A715" s="81"/>
      <c r="B715" s="81"/>
      <c r="C715" s="81"/>
      <c r="D715" s="82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111"/>
      <c r="S715" s="111"/>
      <c r="T715" s="111"/>
      <c r="U715" s="111"/>
      <c r="V715" s="111"/>
      <c r="W715" s="111"/>
      <c r="X715" s="111"/>
      <c r="Y715" s="111"/>
      <c r="Z715" s="149"/>
    </row>
    <row r="716" spans="1:26" s="69" customFormat="1" x14ac:dyDescent="0.25">
      <c r="A716" s="81"/>
      <c r="B716" s="81"/>
      <c r="C716" s="81"/>
      <c r="D716" s="82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111"/>
      <c r="S716" s="111"/>
      <c r="T716" s="111"/>
      <c r="U716" s="111"/>
      <c r="V716" s="111"/>
      <c r="W716" s="111"/>
      <c r="X716" s="111"/>
      <c r="Y716" s="111"/>
      <c r="Z716" s="149"/>
    </row>
    <row r="717" spans="1:26" s="69" customFormat="1" x14ac:dyDescent="0.25">
      <c r="A717" s="81"/>
      <c r="B717" s="81"/>
      <c r="C717" s="81"/>
      <c r="D717" s="82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111"/>
      <c r="S717" s="111"/>
      <c r="T717" s="111"/>
      <c r="U717" s="111"/>
      <c r="V717" s="111"/>
      <c r="W717" s="111"/>
      <c r="X717" s="111"/>
      <c r="Y717" s="111"/>
      <c r="Z717" s="149"/>
    </row>
    <row r="718" spans="1:26" s="69" customFormat="1" x14ac:dyDescent="0.25">
      <c r="A718" s="81"/>
      <c r="B718" s="81"/>
      <c r="C718" s="81"/>
      <c r="D718" s="82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111"/>
      <c r="S718" s="111"/>
      <c r="T718" s="111"/>
      <c r="U718" s="111"/>
      <c r="V718" s="111"/>
      <c r="W718" s="111"/>
      <c r="X718" s="111"/>
      <c r="Y718" s="111"/>
      <c r="Z718" s="149"/>
    </row>
    <row r="719" spans="1:26" s="69" customFormat="1" x14ac:dyDescent="0.25">
      <c r="A719" s="81"/>
      <c r="B719" s="81"/>
      <c r="C719" s="81"/>
      <c r="D719" s="82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111"/>
      <c r="S719" s="111"/>
      <c r="T719" s="111"/>
      <c r="U719" s="111"/>
      <c r="V719" s="111"/>
      <c r="W719" s="111"/>
      <c r="X719" s="111"/>
      <c r="Y719" s="111"/>
      <c r="Z719" s="149"/>
    </row>
    <row r="720" spans="1:26" s="69" customFormat="1" x14ac:dyDescent="0.25">
      <c r="A720" s="81"/>
      <c r="B720" s="81"/>
      <c r="C720" s="81"/>
      <c r="D720" s="82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111"/>
      <c r="S720" s="111"/>
      <c r="T720" s="111"/>
      <c r="U720" s="111"/>
      <c r="V720" s="111"/>
      <c r="W720" s="111"/>
      <c r="X720" s="111"/>
      <c r="Y720" s="111"/>
      <c r="Z720" s="149"/>
    </row>
    <row r="721" spans="1:26" s="69" customFormat="1" x14ac:dyDescent="0.25">
      <c r="A721" s="81"/>
      <c r="B721" s="81"/>
      <c r="C721" s="81"/>
      <c r="D721" s="82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111"/>
      <c r="S721" s="111"/>
      <c r="T721" s="111"/>
      <c r="U721" s="111"/>
      <c r="V721" s="111"/>
      <c r="W721" s="111"/>
      <c r="X721" s="111"/>
      <c r="Y721" s="111"/>
      <c r="Z721" s="149"/>
    </row>
    <row r="722" spans="1:26" s="69" customFormat="1" x14ac:dyDescent="0.25">
      <c r="A722" s="81"/>
      <c r="B722" s="81"/>
      <c r="C722" s="81"/>
      <c r="D722" s="82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111"/>
      <c r="S722" s="111"/>
      <c r="T722" s="111"/>
      <c r="U722" s="111"/>
      <c r="V722" s="111"/>
      <c r="W722" s="111"/>
      <c r="X722" s="111"/>
      <c r="Y722" s="111"/>
      <c r="Z722" s="149"/>
    </row>
    <row r="723" spans="1:26" s="69" customFormat="1" x14ac:dyDescent="0.25">
      <c r="A723" s="81"/>
      <c r="B723" s="81"/>
      <c r="C723" s="81"/>
      <c r="D723" s="82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111"/>
      <c r="S723" s="111"/>
      <c r="T723" s="111"/>
      <c r="U723" s="111"/>
      <c r="V723" s="111"/>
      <c r="W723" s="111"/>
      <c r="X723" s="111"/>
      <c r="Y723" s="111"/>
      <c r="Z723" s="149"/>
    </row>
    <row r="724" spans="1:26" s="69" customFormat="1" x14ac:dyDescent="0.25">
      <c r="A724" s="81"/>
      <c r="B724" s="81"/>
      <c r="C724" s="81"/>
      <c r="D724" s="82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111"/>
      <c r="S724" s="111"/>
      <c r="T724" s="111"/>
      <c r="U724" s="111"/>
      <c r="V724" s="111"/>
      <c r="W724" s="111"/>
      <c r="X724" s="111"/>
      <c r="Y724" s="111"/>
      <c r="Z724" s="149"/>
    </row>
    <row r="725" spans="1:26" s="69" customFormat="1" x14ac:dyDescent="0.25">
      <c r="A725" s="81"/>
      <c r="B725" s="81"/>
      <c r="C725" s="81"/>
      <c r="D725" s="82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111"/>
      <c r="S725" s="111"/>
      <c r="T725" s="111"/>
      <c r="U725" s="111"/>
      <c r="V725" s="111"/>
      <c r="W725" s="111"/>
      <c r="X725" s="111"/>
      <c r="Y725" s="111"/>
      <c r="Z725" s="149"/>
    </row>
    <row r="726" spans="1:26" s="69" customFormat="1" x14ac:dyDescent="0.25">
      <c r="A726" s="81"/>
      <c r="B726" s="81"/>
      <c r="C726" s="81"/>
      <c r="D726" s="82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111"/>
      <c r="S726" s="111"/>
      <c r="T726" s="111"/>
      <c r="U726" s="111"/>
      <c r="V726" s="111"/>
      <c r="W726" s="111"/>
      <c r="X726" s="111"/>
      <c r="Y726" s="111"/>
      <c r="Z726" s="149"/>
    </row>
    <row r="727" spans="1:26" s="69" customFormat="1" x14ac:dyDescent="0.25">
      <c r="A727" s="81"/>
      <c r="B727" s="81"/>
      <c r="C727" s="81"/>
      <c r="D727" s="82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111"/>
      <c r="S727" s="111"/>
      <c r="T727" s="111"/>
      <c r="U727" s="111"/>
      <c r="V727" s="111"/>
      <c r="W727" s="111"/>
      <c r="X727" s="111"/>
      <c r="Y727" s="111"/>
      <c r="Z727" s="149"/>
    </row>
    <row r="728" spans="1:26" s="69" customFormat="1" x14ac:dyDescent="0.25">
      <c r="A728" s="81"/>
      <c r="B728" s="81"/>
      <c r="C728" s="81"/>
      <c r="D728" s="82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111"/>
      <c r="S728" s="111"/>
      <c r="T728" s="111"/>
      <c r="U728" s="111"/>
      <c r="V728" s="111"/>
      <c r="W728" s="111"/>
      <c r="X728" s="111"/>
      <c r="Y728" s="111"/>
      <c r="Z728" s="149"/>
    </row>
    <row r="729" spans="1:26" s="69" customFormat="1" x14ac:dyDescent="0.25">
      <c r="A729" s="81"/>
      <c r="B729" s="81"/>
      <c r="C729" s="81"/>
      <c r="D729" s="82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111"/>
      <c r="S729" s="111"/>
      <c r="T729" s="111"/>
      <c r="U729" s="111"/>
      <c r="V729" s="111"/>
      <c r="W729" s="111"/>
      <c r="X729" s="111"/>
      <c r="Y729" s="111"/>
      <c r="Z729" s="149"/>
    </row>
    <row r="730" spans="1:26" s="69" customFormat="1" x14ac:dyDescent="0.25">
      <c r="A730" s="81"/>
      <c r="B730" s="81"/>
      <c r="C730" s="81"/>
      <c r="D730" s="82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111"/>
      <c r="S730" s="111"/>
      <c r="T730" s="111"/>
      <c r="U730" s="111"/>
      <c r="V730" s="111"/>
      <c r="W730" s="111"/>
      <c r="X730" s="111"/>
      <c r="Y730" s="111"/>
      <c r="Z730" s="149"/>
    </row>
    <row r="731" spans="1:26" s="69" customFormat="1" x14ac:dyDescent="0.25">
      <c r="A731" s="81"/>
      <c r="B731" s="81"/>
      <c r="C731" s="81"/>
      <c r="D731" s="82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111"/>
      <c r="S731" s="111"/>
      <c r="T731" s="111"/>
      <c r="U731" s="111"/>
      <c r="V731" s="111"/>
      <c r="W731" s="111"/>
      <c r="X731" s="111"/>
      <c r="Y731" s="111"/>
      <c r="Z731" s="149"/>
    </row>
    <row r="732" spans="1:26" s="69" customFormat="1" x14ac:dyDescent="0.25">
      <c r="A732" s="81"/>
      <c r="B732" s="81"/>
      <c r="C732" s="81"/>
      <c r="D732" s="82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111"/>
      <c r="S732" s="111"/>
      <c r="T732" s="111"/>
      <c r="U732" s="111"/>
      <c r="V732" s="111"/>
      <c r="W732" s="111"/>
      <c r="X732" s="111"/>
      <c r="Y732" s="111"/>
      <c r="Z732" s="149"/>
    </row>
    <row r="733" spans="1:26" s="69" customFormat="1" x14ac:dyDescent="0.25">
      <c r="A733" s="81"/>
      <c r="B733" s="81"/>
      <c r="C733" s="81"/>
      <c r="D733" s="82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111"/>
      <c r="S733" s="111"/>
      <c r="T733" s="111"/>
      <c r="U733" s="111"/>
      <c r="V733" s="111"/>
      <c r="W733" s="111"/>
      <c r="X733" s="111"/>
      <c r="Y733" s="111"/>
      <c r="Z733" s="149"/>
    </row>
    <row r="734" spans="1:26" s="69" customFormat="1" x14ac:dyDescent="0.25">
      <c r="A734" s="81"/>
      <c r="B734" s="81"/>
      <c r="C734" s="81"/>
      <c r="D734" s="82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111"/>
      <c r="S734" s="111"/>
      <c r="T734" s="111"/>
      <c r="U734" s="111"/>
      <c r="V734" s="111"/>
      <c r="W734" s="111"/>
      <c r="X734" s="111"/>
      <c r="Y734" s="111"/>
      <c r="Z734" s="149"/>
    </row>
    <row r="735" spans="1:26" s="69" customFormat="1" x14ac:dyDescent="0.25">
      <c r="A735" s="81"/>
      <c r="B735" s="81"/>
      <c r="C735" s="81"/>
      <c r="D735" s="82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111"/>
      <c r="S735" s="111"/>
      <c r="T735" s="111"/>
      <c r="U735" s="111"/>
      <c r="V735" s="111"/>
      <c r="W735" s="111"/>
      <c r="X735" s="111"/>
      <c r="Y735" s="111"/>
      <c r="Z735" s="149"/>
    </row>
    <row r="736" spans="1:26" s="69" customFormat="1" x14ac:dyDescent="0.25">
      <c r="A736" s="81"/>
      <c r="B736" s="81"/>
      <c r="C736" s="81"/>
      <c r="D736" s="82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111"/>
      <c r="S736" s="111"/>
      <c r="T736" s="111"/>
      <c r="U736" s="111"/>
      <c r="V736" s="111"/>
      <c r="W736" s="111"/>
      <c r="X736" s="111"/>
      <c r="Y736" s="111"/>
      <c r="Z736" s="149"/>
    </row>
    <row r="737" spans="1:26" s="69" customFormat="1" x14ac:dyDescent="0.25">
      <c r="A737" s="81"/>
      <c r="B737" s="81"/>
      <c r="C737" s="81"/>
      <c r="D737" s="82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111"/>
      <c r="S737" s="111"/>
      <c r="T737" s="111"/>
      <c r="U737" s="111"/>
      <c r="V737" s="111"/>
      <c r="W737" s="111"/>
      <c r="X737" s="111"/>
      <c r="Y737" s="111"/>
      <c r="Z737" s="149"/>
    </row>
    <row r="738" spans="1:26" s="69" customFormat="1" x14ac:dyDescent="0.25">
      <c r="A738" s="81"/>
      <c r="B738" s="81"/>
      <c r="C738" s="81"/>
      <c r="D738" s="82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111"/>
      <c r="S738" s="111"/>
      <c r="T738" s="111"/>
      <c r="U738" s="111"/>
      <c r="V738" s="111"/>
      <c r="W738" s="111"/>
      <c r="X738" s="111"/>
      <c r="Y738" s="111"/>
      <c r="Z738" s="149"/>
    </row>
    <row r="739" spans="1:26" s="69" customFormat="1" x14ac:dyDescent="0.25">
      <c r="A739" s="81"/>
      <c r="B739" s="81"/>
      <c r="C739" s="81"/>
      <c r="D739" s="82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111"/>
      <c r="S739" s="111"/>
      <c r="T739" s="111"/>
      <c r="U739" s="111"/>
      <c r="V739" s="111"/>
      <c r="W739" s="111"/>
      <c r="X739" s="111"/>
      <c r="Y739" s="111"/>
      <c r="Z739" s="149"/>
    </row>
    <row r="740" spans="1:26" s="69" customFormat="1" x14ac:dyDescent="0.25">
      <c r="A740" s="81"/>
      <c r="B740" s="81"/>
      <c r="C740" s="81"/>
      <c r="D740" s="82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111"/>
      <c r="S740" s="111"/>
      <c r="T740" s="111"/>
      <c r="U740" s="111"/>
      <c r="V740" s="111"/>
      <c r="W740" s="111"/>
      <c r="X740" s="111"/>
      <c r="Y740" s="111"/>
      <c r="Z740" s="149"/>
    </row>
    <row r="741" spans="1:26" s="69" customFormat="1" x14ac:dyDescent="0.25">
      <c r="A741" s="81"/>
      <c r="B741" s="81"/>
      <c r="C741" s="81"/>
      <c r="D741" s="82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111"/>
      <c r="S741" s="111"/>
      <c r="T741" s="111"/>
      <c r="U741" s="111"/>
      <c r="V741" s="111"/>
      <c r="W741" s="111"/>
      <c r="X741" s="111"/>
      <c r="Y741" s="111"/>
      <c r="Z741" s="149"/>
    </row>
    <row r="742" spans="1:26" s="69" customFormat="1" x14ac:dyDescent="0.25">
      <c r="A742" s="81"/>
      <c r="B742" s="81"/>
      <c r="C742" s="81"/>
      <c r="D742" s="82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111"/>
      <c r="S742" s="111"/>
      <c r="T742" s="111"/>
      <c r="U742" s="111"/>
      <c r="V742" s="111"/>
      <c r="W742" s="111"/>
      <c r="X742" s="111"/>
      <c r="Y742" s="111"/>
      <c r="Z742" s="149"/>
    </row>
    <row r="743" spans="1:26" s="69" customFormat="1" x14ac:dyDescent="0.25">
      <c r="A743" s="81"/>
      <c r="B743" s="81"/>
      <c r="C743" s="81"/>
      <c r="D743" s="82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111"/>
      <c r="S743" s="111"/>
      <c r="T743" s="111"/>
      <c r="U743" s="111"/>
      <c r="V743" s="111"/>
      <c r="W743" s="111"/>
      <c r="X743" s="111"/>
      <c r="Y743" s="111"/>
      <c r="Z743" s="149"/>
    </row>
    <row r="744" spans="1:26" s="69" customFormat="1" x14ac:dyDescent="0.25">
      <c r="A744" s="81"/>
      <c r="B744" s="81"/>
      <c r="C744" s="81"/>
      <c r="D744" s="82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111"/>
      <c r="S744" s="111"/>
      <c r="T744" s="111"/>
      <c r="U744" s="111"/>
      <c r="V744" s="111"/>
      <c r="W744" s="111"/>
      <c r="X744" s="111"/>
      <c r="Y744" s="111"/>
      <c r="Z744" s="149"/>
    </row>
    <row r="745" spans="1:26" s="69" customFormat="1" x14ac:dyDescent="0.25">
      <c r="A745" s="81"/>
      <c r="B745" s="81"/>
      <c r="C745" s="81"/>
      <c r="D745" s="82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111"/>
      <c r="S745" s="111"/>
      <c r="T745" s="111"/>
      <c r="U745" s="111"/>
      <c r="V745" s="111"/>
      <c r="W745" s="111"/>
      <c r="X745" s="111"/>
      <c r="Y745" s="111"/>
      <c r="Z745" s="149"/>
    </row>
    <row r="746" spans="1:26" s="69" customFormat="1" x14ac:dyDescent="0.25">
      <c r="A746" s="81"/>
      <c r="B746" s="81"/>
      <c r="C746" s="81"/>
      <c r="D746" s="82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111"/>
      <c r="S746" s="111"/>
      <c r="T746" s="111"/>
      <c r="U746" s="111"/>
      <c r="V746" s="111"/>
      <c r="W746" s="111"/>
      <c r="X746" s="111"/>
      <c r="Y746" s="111"/>
      <c r="Z746" s="149"/>
    </row>
    <row r="747" spans="1:26" s="69" customFormat="1" x14ac:dyDescent="0.25">
      <c r="A747" s="81"/>
      <c r="B747" s="81"/>
      <c r="C747" s="81"/>
      <c r="D747" s="82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111"/>
      <c r="S747" s="111"/>
      <c r="T747" s="111"/>
      <c r="U747" s="111"/>
      <c r="V747" s="111"/>
      <c r="W747" s="111"/>
      <c r="X747" s="111"/>
      <c r="Y747" s="111"/>
      <c r="Z747" s="149"/>
    </row>
    <row r="748" spans="1:26" s="69" customFormat="1" x14ac:dyDescent="0.25">
      <c r="A748" s="81"/>
      <c r="B748" s="81"/>
      <c r="C748" s="81"/>
      <c r="D748" s="82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111"/>
      <c r="S748" s="111"/>
      <c r="T748" s="111"/>
      <c r="U748" s="111"/>
      <c r="V748" s="111"/>
      <c r="W748" s="111"/>
      <c r="X748" s="111"/>
      <c r="Y748" s="111"/>
      <c r="Z748" s="149"/>
    </row>
    <row r="749" spans="1:26" s="69" customFormat="1" x14ac:dyDescent="0.25">
      <c r="A749" s="81"/>
      <c r="B749" s="81"/>
      <c r="C749" s="81"/>
      <c r="D749" s="82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111"/>
      <c r="S749" s="111"/>
      <c r="T749" s="111"/>
      <c r="U749" s="111"/>
      <c r="V749" s="111"/>
      <c r="W749" s="111"/>
      <c r="X749" s="111"/>
      <c r="Y749" s="111"/>
      <c r="Z749" s="149"/>
    </row>
    <row r="750" spans="1:26" s="69" customFormat="1" x14ac:dyDescent="0.25">
      <c r="A750" s="81"/>
      <c r="B750" s="81"/>
      <c r="C750" s="81"/>
      <c r="D750" s="82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111"/>
      <c r="S750" s="111"/>
      <c r="T750" s="111"/>
      <c r="U750" s="111"/>
      <c r="V750" s="111"/>
      <c r="W750" s="111"/>
      <c r="X750" s="111"/>
      <c r="Y750" s="111"/>
      <c r="Z750" s="149"/>
    </row>
    <row r="751" spans="1:26" s="69" customFormat="1" x14ac:dyDescent="0.25">
      <c r="A751" s="81"/>
      <c r="B751" s="81"/>
      <c r="C751" s="81"/>
      <c r="D751" s="82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111"/>
      <c r="S751" s="111"/>
      <c r="T751" s="111"/>
      <c r="U751" s="111"/>
      <c r="V751" s="111"/>
      <c r="W751" s="111"/>
      <c r="X751" s="111"/>
      <c r="Y751" s="111"/>
      <c r="Z751" s="149"/>
    </row>
    <row r="752" spans="1:26" s="69" customFormat="1" x14ac:dyDescent="0.25">
      <c r="A752" s="81"/>
      <c r="B752" s="81"/>
      <c r="C752" s="81"/>
      <c r="D752" s="82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111"/>
      <c r="S752" s="111"/>
      <c r="T752" s="111"/>
      <c r="U752" s="111"/>
      <c r="V752" s="111"/>
      <c r="W752" s="111"/>
      <c r="X752" s="111"/>
      <c r="Y752" s="111"/>
      <c r="Z752" s="149"/>
    </row>
    <row r="753" spans="1:26" s="69" customFormat="1" x14ac:dyDescent="0.25">
      <c r="A753" s="81"/>
      <c r="B753" s="81"/>
      <c r="C753" s="81"/>
      <c r="D753" s="82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111"/>
      <c r="S753" s="111"/>
      <c r="T753" s="111"/>
      <c r="U753" s="111"/>
      <c r="V753" s="111"/>
      <c r="W753" s="111"/>
      <c r="X753" s="111"/>
      <c r="Y753" s="111"/>
      <c r="Z753" s="149"/>
    </row>
    <row r="754" spans="1:26" s="69" customFormat="1" x14ac:dyDescent="0.25">
      <c r="A754" s="81"/>
      <c r="B754" s="81"/>
      <c r="C754" s="81"/>
      <c r="D754" s="82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111"/>
      <c r="S754" s="111"/>
      <c r="T754" s="111"/>
      <c r="U754" s="111"/>
      <c r="V754" s="111"/>
      <c r="W754" s="111"/>
      <c r="X754" s="111"/>
      <c r="Y754" s="111"/>
      <c r="Z754" s="149"/>
    </row>
    <row r="755" spans="1:26" s="69" customFormat="1" x14ac:dyDescent="0.25">
      <c r="A755" s="81"/>
      <c r="B755" s="81"/>
      <c r="C755" s="81"/>
      <c r="D755" s="82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111"/>
      <c r="S755" s="111"/>
      <c r="T755" s="111"/>
      <c r="U755" s="111"/>
      <c r="V755" s="111"/>
      <c r="W755" s="111"/>
      <c r="X755" s="111"/>
      <c r="Y755" s="111"/>
      <c r="Z755" s="149"/>
    </row>
    <row r="756" spans="1:26" s="69" customFormat="1" x14ac:dyDescent="0.25">
      <c r="A756" s="81"/>
      <c r="B756" s="81"/>
      <c r="C756" s="81"/>
      <c r="D756" s="82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111"/>
      <c r="S756" s="111"/>
      <c r="T756" s="111"/>
      <c r="U756" s="111"/>
      <c r="V756" s="111"/>
      <c r="W756" s="111"/>
      <c r="X756" s="111"/>
      <c r="Y756" s="111"/>
      <c r="Z756" s="149"/>
    </row>
    <row r="757" spans="1:26" s="69" customFormat="1" x14ac:dyDescent="0.25">
      <c r="A757" s="81"/>
      <c r="B757" s="81"/>
      <c r="C757" s="81"/>
      <c r="D757" s="82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111"/>
      <c r="S757" s="111"/>
      <c r="T757" s="111"/>
      <c r="U757" s="111"/>
      <c r="V757" s="111"/>
      <c r="W757" s="111"/>
      <c r="X757" s="111"/>
      <c r="Y757" s="111"/>
      <c r="Z757" s="149"/>
    </row>
    <row r="758" spans="1:26" s="69" customFormat="1" x14ac:dyDescent="0.25">
      <c r="A758" s="81"/>
      <c r="B758" s="81"/>
      <c r="C758" s="81"/>
      <c r="D758" s="82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111"/>
      <c r="S758" s="111"/>
      <c r="T758" s="111"/>
      <c r="U758" s="111"/>
      <c r="V758" s="111"/>
      <c r="W758" s="111"/>
      <c r="X758" s="111"/>
      <c r="Y758" s="111"/>
      <c r="Z758" s="149"/>
    </row>
    <row r="759" spans="1:26" s="69" customFormat="1" x14ac:dyDescent="0.25">
      <c r="A759" s="81"/>
      <c r="B759" s="81"/>
      <c r="C759" s="81"/>
      <c r="D759" s="82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111"/>
      <c r="S759" s="111"/>
      <c r="T759" s="111"/>
      <c r="U759" s="111"/>
      <c r="V759" s="111"/>
      <c r="W759" s="111"/>
      <c r="X759" s="111"/>
      <c r="Y759" s="111"/>
      <c r="Z759" s="149"/>
    </row>
    <row r="760" spans="1:26" s="69" customFormat="1" x14ac:dyDescent="0.25">
      <c r="A760" s="81"/>
      <c r="B760" s="81"/>
      <c r="C760" s="81"/>
      <c r="D760" s="82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111"/>
      <c r="S760" s="111"/>
      <c r="T760" s="111"/>
      <c r="U760" s="111"/>
      <c r="V760" s="111"/>
      <c r="W760" s="111"/>
      <c r="X760" s="111"/>
      <c r="Y760" s="111"/>
      <c r="Z760" s="149"/>
    </row>
    <row r="761" spans="1:26" s="69" customFormat="1" x14ac:dyDescent="0.25">
      <c r="A761" s="81"/>
      <c r="B761" s="81"/>
      <c r="C761" s="81"/>
      <c r="D761" s="82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111"/>
      <c r="S761" s="111"/>
      <c r="T761" s="111"/>
      <c r="U761" s="111"/>
      <c r="V761" s="111"/>
      <c r="W761" s="111"/>
      <c r="X761" s="111"/>
      <c r="Y761" s="111"/>
      <c r="Z761" s="149"/>
    </row>
    <row r="762" spans="1:26" s="69" customFormat="1" x14ac:dyDescent="0.25">
      <c r="A762" s="81"/>
      <c r="B762" s="81"/>
      <c r="C762" s="81"/>
      <c r="D762" s="82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111"/>
      <c r="S762" s="111"/>
      <c r="T762" s="111"/>
      <c r="U762" s="111"/>
      <c r="V762" s="111"/>
      <c r="W762" s="111"/>
      <c r="X762" s="111"/>
      <c r="Y762" s="111"/>
      <c r="Z762" s="149"/>
    </row>
    <row r="763" spans="1:26" s="69" customFormat="1" x14ac:dyDescent="0.25">
      <c r="A763" s="81"/>
      <c r="B763" s="81"/>
      <c r="C763" s="81"/>
      <c r="D763" s="82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111"/>
      <c r="S763" s="111"/>
      <c r="T763" s="111"/>
      <c r="U763" s="111"/>
      <c r="V763" s="111"/>
      <c r="W763" s="111"/>
      <c r="X763" s="111"/>
      <c r="Y763" s="111"/>
      <c r="Z763" s="149"/>
    </row>
    <row r="764" spans="1:26" s="69" customFormat="1" x14ac:dyDescent="0.25">
      <c r="A764" s="81"/>
      <c r="B764" s="81"/>
      <c r="C764" s="81"/>
      <c r="D764" s="82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111"/>
      <c r="S764" s="111"/>
      <c r="T764" s="111"/>
      <c r="U764" s="111"/>
      <c r="V764" s="111"/>
      <c r="W764" s="111"/>
      <c r="X764" s="111"/>
      <c r="Y764" s="111"/>
      <c r="Z764" s="149"/>
    </row>
    <row r="765" spans="1:26" s="69" customFormat="1" x14ac:dyDescent="0.25">
      <c r="A765" s="81"/>
      <c r="B765" s="81"/>
      <c r="C765" s="81"/>
      <c r="D765" s="82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111"/>
      <c r="S765" s="111"/>
      <c r="T765" s="111"/>
      <c r="U765" s="111"/>
      <c r="V765" s="111"/>
      <c r="W765" s="111"/>
      <c r="X765" s="111"/>
      <c r="Y765" s="111"/>
      <c r="Z765" s="149"/>
    </row>
    <row r="766" spans="1:26" s="69" customFormat="1" x14ac:dyDescent="0.25">
      <c r="A766" s="81"/>
      <c r="B766" s="81"/>
      <c r="C766" s="81"/>
      <c r="D766" s="82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111"/>
      <c r="S766" s="111"/>
      <c r="T766" s="111"/>
      <c r="U766" s="111"/>
      <c r="V766" s="111"/>
      <c r="W766" s="111"/>
      <c r="X766" s="111"/>
      <c r="Y766" s="111"/>
      <c r="Z766" s="149"/>
    </row>
    <row r="767" spans="1:26" s="69" customFormat="1" x14ac:dyDescent="0.25">
      <c r="A767" s="81"/>
      <c r="B767" s="81"/>
      <c r="C767" s="81"/>
      <c r="D767" s="82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111"/>
      <c r="S767" s="111"/>
      <c r="T767" s="111"/>
      <c r="U767" s="111"/>
      <c r="V767" s="111"/>
      <c r="W767" s="111"/>
      <c r="X767" s="111"/>
      <c r="Y767" s="111"/>
      <c r="Z767" s="149"/>
    </row>
    <row r="768" spans="1:26" s="69" customFormat="1" x14ac:dyDescent="0.25">
      <c r="A768" s="81"/>
      <c r="B768" s="81"/>
      <c r="C768" s="81"/>
      <c r="D768" s="82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111"/>
      <c r="S768" s="111"/>
      <c r="T768" s="111"/>
      <c r="U768" s="111"/>
      <c r="V768" s="111"/>
      <c r="W768" s="111"/>
      <c r="X768" s="111"/>
      <c r="Y768" s="111"/>
      <c r="Z768" s="149"/>
    </row>
    <row r="769" spans="1:26" s="69" customFormat="1" x14ac:dyDescent="0.25">
      <c r="A769" s="81"/>
      <c r="B769" s="81"/>
      <c r="C769" s="81"/>
      <c r="D769" s="82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111"/>
      <c r="S769" s="111"/>
      <c r="T769" s="111"/>
      <c r="U769" s="111"/>
      <c r="V769" s="111"/>
      <c r="W769" s="111"/>
      <c r="X769" s="111"/>
      <c r="Y769" s="111"/>
      <c r="Z769" s="149"/>
    </row>
    <row r="770" spans="1:26" s="69" customFormat="1" x14ac:dyDescent="0.25">
      <c r="A770" s="81"/>
      <c r="B770" s="81"/>
      <c r="C770" s="81"/>
      <c r="D770" s="82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111"/>
      <c r="S770" s="111"/>
      <c r="T770" s="111"/>
      <c r="U770" s="111"/>
      <c r="V770" s="111"/>
      <c r="W770" s="111"/>
      <c r="X770" s="111"/>
      <c r="Y770" s="111"/>
      <c r="Z770" s="149"/>
    </row>
    <row r="771" spans="1:26" s="69" customFormat="1" x14ac:dyDescent="0.25">
      <c r="A771" s="81"/>
      <c r="B771" s="81"/>
      <c r="C771" s="81"/>
      <c r="D771" s="82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111"/>
      <c r="S771" s="111"/>
      <c r="T771" s="111"/>
      <c r="U771" s="111"/>
      <c r="V771" s="111"/>
      <c r="W771" s="111"/>
      <c r="X771" s="111"/>
      <c r="Y771" s="111"/>
      <c r="Z771" s="149"/>
    </row>
    <row r="772" spans="1:26" s="69" customFormat="1" x14ac:dyDescent="0.25">
      <c r="A772" s="81"/>
      <c r="B772" s="81"/>
      <c r="C772" s="81"/>
      <c r="D772" s="82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111"/>
      <c r="S772" s="111"/>
      <c r="T772" s="111"/>
      <c r="U772" s="111"/>
      <c r="V772" s="111"/>
      <c r="W772" s="111"/>
      <c r="X772" s="111"/>
      <c r="Y772" s="111"/>
      <c r="Z772" s="149"/>
    </row>
    <row r="773" spans="1:26" s="69" customFormat="1" x14ac:dyDescent="0.25">
      <c r="A773" s="81"/>
      <c r="B773" s="81"/>
      <c r="C773" s="81"/>
      <c r="D773" s="82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111"/>
      <c r="S773" s="111"/>
      <c r="T773" s="111"/>
      <c r="U773" s="111"/>
      <c r="V773" s="111"/>
      <c r="W773" s="111"/>
      <c r="X773" s="111"/>
      <c r="Y773" s="111"/>
      <c r="Z773" s="149"/>
    </row>
    <row r="774" spans="1:26" s="69" customFormat="1" x14ac:dyDescent="0.25">
      <c r="A774" s="81"/>
      <c r="B774" s="81"/>
      <c r="C774" s="81"/>
      <c r="D774" s="82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111"/>
      <c r="S774" s="111"/>
      <c r="T774" s="111"/>
      <c r="U774" s="111"/>
      <c r="V774" s="111"/>
      <c r="W774" s="111"/>
      <c r="X774" s="111"/>
      <c r="Y774" s="111"/>
      <c r="Z774" s="149"/>
    </row>
    <row r="775" spans="1:26" s="69" customFormat="1" x14ac:dyDescent="0.25">
      <c r="A775" s="81"/>
      <c r="B775" s="81"/>
      <c r="C775" s="81"/>
      <c r="D775" s="82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111"/>
      <c r="S775" s="111"/>
      <c r="T775" s="111"/>
      <c r="U775" s="111"/>
      <c r="V775" s="111"/>
      <c r="W775" s="111"/>
      <c r="X775" s="111"/>
      <c r="Y775" s="111"/>
      <c r="Z775" s="149"/>
    </row>
    <row r="776" spans="1:26" s="69" customFormat="1" x14ac:dyDescent="0.25">
      <c r="A776" s="81"/>
      <c r="B776" s="81"/>
      <c r="C776" s="81"/>
      <c r="D776" s="82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111"/>
      <c r="S776" s="111"/>
      <c r="T776" s="111"/>
      <c r="U776" s="111"/>
      <c r="V776" s="111"/>
      <c r="W776" s="111"/>
      <c r="X776" s="111"/>
      <c r="Y776" s="111"/>
      <c r="Z776" s="149"/>
    </row>
    <row r="777" spans="1:26" s="69" customFormat="1" x14ac:dyDescent="0.25">
      <c r="A777" s="81"/>
      <c r="B777" s="81"/>
      <c r="C777" s="81"/>
      <c r="D777" s="82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111"/>
      <c r="S777" s="111"/>
      <c r="T777" s="111"/>
      <c r="U777" s="111"/>
      <c r="V777" s="111"/>
      <c r="W777" s="111"/>
      <c r="X777" s="111"/>
      <c r="Y777" s="111"/>
      <c r="Z777" s="149"/>
    </row>
    <row r="778" spans="1:26" s="69" customFormat="1" x14ac:dyDescent="0.25">
      <c r="A778" s="81"/>
      <c r="B778" s="81"/>
      <c r="C778" s="81"/>
      <c r="D778" s="82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111"/>
      <c r="S778" s="111"/>
      <c r="T778" s="111"/>
      <c r="U778" s="111"/>
      <c r="V778" s="111"/>
      <c r="W778" s="111"/>
      <c r="X778" s="111"/>
      <c r="Y778" s="111"/>
      <c r="Z778" s="149"/>
    </row>
    <row r="779" spans="1:26" s="69" customFormat="1" x14ac:dyDescent="0.25">
      <c r="A779" s="81"/>
      <c r="B779" s="81"/>
      <c r="C779" s="81"/>
      <c r="D779" s="82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111"/>
      <c r="S779" s="111"/>
      <c r="T779" s="111"/>
      <c r="U779" s="111"/>
      <c r="V779" s="111"/>
      <c r="W779" s="111"/>
      <c r="X779" s="111"/>
      <c r="Y779" s="111"/>
      <c r="Z779" s="149"/>
    </row>
    <row r="780" spans="1:26" s="69" customFormat="1" x14ac:dyDescent="0.25">
      <c r="A780" s="81"/>
      <c r="B780" s="81"/>
      <c r="C780" s="81"/>
      <c r="D780" s="82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111"/>
      <c r="S780" s="111"/>
      <c r="T780" s="111"/>
      <c r="U780" s="111"/>
      <c r="V780" s="111"/>
      <c r="W780" s="111"/>
      <c r="X780" s="111"/>
      <c r="Y780" s="111"/>
      <c r="Z780" s="149"/>
    </row>
    <row r="781" spans="1:26" s="69" customFormat="1" x14ac:dyDescent="0.25">
      <c r="A781" s="81"/>
      <c r="B781" s="81"/>
      <c r="C781" s="81"/>
      <c r="D781" s="82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111"/>
      <c r="S781" s="111"/>
      <c r="T781" s="111"/>
      <c r="U781" s="111"/>
      <c r="V781" s="111"/>
      <c r="W781" s="111"/>
      <c r="X781" s="111"/>
      <c r="Y781" s="111"/>
      <c r="Z781" s="149"/>
    </row>
    <row r="782" spans="1:26" s="69" customFormat="1" x14ac:dyDescent="0.25">
      <c r="A782" s="81"/>
      <c r="B782" s="81"/>
      <c r="C782" s="81"/>
      <c r="D782" s="82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111"/>
      <c r="S782" s="111"/>
      <c r="T782" s="111"/>
      <c r="U782" s="111"/>
      <c r="V782" s="111"/>
      <c r="W782" s="111"/>
      <c r="X782" s="111"/>
      <c r="Y782" s="111"/>
      <c r="Z782" s="149"/>
    </row>
    <row r="783" spans="1:26" s="69" customFormat="1" x14ac:dyDescent="0.25">
      <c r="A783" s="81"/>
      <c r="B783" s="81"/>
      <c r="C783" s="81"/>
      <c r="D783" s="82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111"/>
      <c r="S783" s="111"/>
      <c r="T783" s="111"/>
      <c r="U783" s="111"/>
      <c r="V783" s="111"/>
      <c r="W783" s="111"/>
      <c r="X783" s="111"/>
      <c r="Y783" s="111"/>
      <c r="Z783" s="149"/>
    </row>
    <row r="784" spans="1:26" s="69" customFormat="1" x14ac:dyDescent="0.25">
      <c r="A784" s="81"/>
      <c r="B784" s="81"/>
      <c r="C784" s="81"/>
      <c r="D784" s="82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111"/>
      <c r="S784" s="111"/>
      <c r="T784" s="111"/>
      <c r="U784" s="111"/>
      <c r="V784" s="111"/>
      <c r="W784" s="111"/>
      <c r="X784" s="111"/>
      <c r="Y784" s="111"/>
      <c r="Z784" s="149"/>
    </row>
    <row r="785" spans="1:26" s="69" customFormat="1" x14ac:dyDescent="0.25">
      <c r="A785" s="81"/>
      <c r="B785" s="81"/>
      <c r="C785" s="81"/>
      <c r="D785" s="82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111"/>
      <c r="S785" s="111"/>
      <c r="T785" s="111"/>
      <c r="U785" s="111"/>
      <c r="V785" s="111"/>
      <c r="W785" s="111"/>
      <c r="X785" s="111"/>
      <c r="Y785" s="111"/>
      <c r="Z785" s="149"/>
    </row>
    <row r="786" spans="1:26" s="69" customFormat="1" x14ac:dyDescent="0.25">
      <c r="A786" s="81"/>
      <c r="B786" s="81"/>
      <c r="C786" s="81"/>
      <c r="D786" s="82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111"/>
      <c r="S786" s="111"/>
      <c r="T786" s="111"/>
      <c r="U786" s="111"/>
      <c r="V786" s="111"/>
      <c r="W786" s="111"/>
      <c r="X786" s="111"/>
      <c r="Y786" s="111"/>
      <c r="Z786" s="149"/>
    </row>
    <row r="787" spans="1:26" s="69" customFormat="1" x14ac:dyDescent="0.25">
      <c r="A787" s="81"/>
      <c r="B787" s="81"/>
      <c r="C787" s="81"/>
      <c r="D787" s="82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111"/>
      <c r="S787" s="111"/>
      <c r="T787" s="111"/>
      <c r="U787" s="111"/>
      <c r="V787" s="111"/>
      <c r="W787" s="111"/>
      <c r="X787" s="111"/>
      <c r="Y787" s="111"/>
      <c r="Z787" s="149"/>
    </row>
    <row r="788" spans="1:26" s="69" customFormat="1" x14ac:dyDescent="0.25">
      <c r="A788" s="81"/>
      <c r="B788" s="81"/>
      <c r="C788" s="81"/>
      <c r="D788" s="82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111"/>
      <c r="S788" s="111"/>
      <c r="T788" s="111"/>
      <c r="U788" s="111"/>
      <c r="V788" s="111"/>
      <c r="W788" s="111"/>
      <c r="X788" s="111"/>
      <c r="Y788" s="111"/>
      <c r="Z788" s="149"/>
    </row>
    <row r="789" spans="1:26" s="69" customFormat="1" x14ac:dyDescent="0.25">
      <c r="A789" s="81"/>
      <c r="B789" s="81"/>
      <c r="C789" s="81"/>
      <c r="D789" s="82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111"/>
      <c r="S789" s="111"/>
      <c r="T789" s="111"/>
      <c r="U789" s="111"/>
      <c r="V789" s="111"/>
      <c r="W789" s="111"/>
      <c r="X789" s="111"/>
      <c r="Y789" s="111"/>
      <c r="Z789" s="149"/>
    </row>
    <row r="790" spans="1:26" s="69" customFormat="1" x14ac:dyDescent="0.25">
      <c r="A790" s="81"/>
      <c r="B790" s="81"/>
      <c r="C790" s="81"/>
      <c r="D790" s="82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111"/>
      <c r="S790" s="111"/>
      <c r="T790" s="111"/>
      <c r="U790" s="111"/>
      <c r="V790" s="111"/>
      <c r="W790" s="111"/>
      <c r="X790" s="111"/>
      <c r="Y790" s="111"/>
      <c r="Z790" s="149"/>
    </row>
    <row r="791" spans="1:26" s="69" customFormat="1" x14ac:dyDescent="0.25">
      <c r="A791" s="81"/>
      <c r="B791" s="81"/>
      <c r="C791" s="81"/>
      <c r="D791" s="82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111"/>
      <c r="S791" s="111"/>
      <c r="T791" s="111"/>
      <c r="U791" s="111"/>
      <c r="V791" s="111"/>
      <c r="W791" s="111"/>
      <c r="X791" s="111"/>
      <c r="Y791" s="111"/>
      <c r="Z791" s="149"/>
    </row>
    <row r="792" spans="1:26" s="69" customFormat="1" x14ac:dyDescent="0.25">
      <c r="A792" s="81"/>
      <c r="B792" s="81"/>
      <c r="C792" s="81"/>
      <c r="D792" s="82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111"/>
      <c r="S792" s="111"/>
      <c r="T792" s="111"/>
      <c r="U792" s="111"/>
      <c r="V792" s="111"/>
      <c r="W792" s="111"/>
      <c r="X792" s="111"/>
      <c r="Y792" s="111"/>
      <c r="Z792" s="149"/>
    </row>
    <row r="793" spans="1:26" s="69" customFormat="1" x14ac:dyDescent="0.25">
      <c r="A793" s="81"/>
      <c r="B793" s="81"/>
      <c r="C793" s="81"/>
      <c r="D793" s="82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111"/>
      <c r="S793" s="111"/>
      <c r="T793" s="111"/>
      <c r="U793" s="111"/>
      <c r="V793" s="111"/>
      <c r="W793" s="111"/>
      <c r="X793" s="111"/>
      <c r="Y793" s="111"/>
      <c r="Z793" s="149"/>
    </row>
    <row r="794" spans="1:26" s="69" customFormat="1" x14ac:dyDescent="0.25">
      <c r="A794" s="81"/>
      <c r="B794" s="81"/>
      <c r="C794" s="81"/>
      <c r="D794" s="82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111"/>
      <c r="S794" s="111"/>
      <c r="T794" s="111"/>
      <c r="U794" s="111"/>
      <c r="V794" s="111"/>
      <c r="W794" s="111"/>
      <c r="X794" s="111"/>
      <c r="Y794" s="111"/>
      <c r="Z794" s="149"/>
    </row>
    <row r="795" spans="1:26" s="69" customFormat="1" x14ac:dyDescent="0.25">
      <c r="A795" s="81"/>
      <c r="B795" s="81"/>
      <c r="C795" s="81"/>
      <c r="D795" s="82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111"/>
      <c r="S795" s="111"/>
      <c r="T795" s="111"/>
      <c r="U795" s="111"/>
      <c r="V795" s="111"/>
      <c r="W795" s="111"/>
      <c r="X795" s="111"/>
      <c r="Y795" s="111"/>
      <c r="Z795" s="149"/>
    </row>
    <row r="796" spans="1:26" s="69" customFormat="1" x14ac:dyDescent="0.25">
      <c r="A796" s="81"/>
      <c r="B796" s="81"/>
      <c r="C796" s="81"/>
      <c r="D796" s="82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111"/>
      <c r="S796" s="111"/>
      <c r="T796" s="111"/>
      <c r="U796" s="111"/>
      <c r="V796" s="111"/>
      <c r="W796" s="111"/>
      <c r="X796" s="111"/>
      <c r="Y796" s="111"/>
      <c r="Z796" s="149"/>
    </row>
    <row r="797" spans="1:26" s="69" customFormat="1" x14ac:dyDescent="0.25">
      <c r="A797" s="81"/>
      <c r="B797" s="81"/>
      <c r="C797" s="81"/>
      <c r="D797" s="82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111"/>
      <c r="S797" s="111"/>
      <c r="T797" s="111"/>
      <c r="U797" s="111"/>
      <c r="V797" s="111"/>
      <c r="W797" s="111"/>
      <c r="X797" s="111"/>
      <c r="Y797" s="111"/>
      <c r="Z797" s="149"/>
    </row>
    <row r="798" spans="1:26" s="69" customFormat="1" x14ac:dyDescent="0.25">
      <c r="A798" s="81"/>
      <c r="B798" s="81"/>
      <c r="C798" s="81"/>
      <c r="D798" s="82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111"/>
      <c r="S798" s="111"/>
      <c r="T798" s="111"/>
      <c r="U798" s="111"/>
      <c r="V798" s="111"/>
      <c r="W798" s="111"/>
      <c r="X798" s="111"/>
      <c r="Y798" s="111"/>
      <c r="Z798" s="149"/>
    </row>
    <row r="799" spans="1:26" s="69" customFormat="1" x14ac:dyDescent="0.25">
      <c r="A799" s="81"/>
      <c r="B799" s="81"/>
      <c r="C799" s="81"/>
      <c r="D799" s="82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111"/>
      <c r="S799" s="111"/>
      <c r="T799" s="111"/>
      <c r="U799" s="111"/>
      <c r="V799" s="111"/>
      <c r="W799" s="111"/>
      <c r="X799" s="111"/>
      <c r="Y799" s="111"/>
      <c r="Z799" s="149"/>
    </row>
    <row r="800" spans="1:26" s="69" customFormat="1" x14ac:dyDescent="0.25">
      <c r="A800" s="81"/>
      <c r="B800" s="81"/>
      <c r="C800" s="81"/>
      <c r="D800" s="82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111"/>
      <c r="S800" s="111"/>
      <c r="T800" s="111"/>
      <c r="U800" s="111"/>
      <c r="V800" s="111"/>
      <c r="W800" s="111"/>
      <c r="X800" s="111"/>
      <c r="Y800" s="111"/>
      <c r="Z800" s="149"/>
    </row>
    <row r="801" spans="1:26" s="69" customFormat="1" x14ac:dyDescent="0.25">
      <c r="A801" s="81"/>
      <c r="B801" s="81"/>
      <c r="C801" s="81"/>
      <c r="D801" s="82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111"/>
      <c r="S801" s="111"/>
      <c r="T801" s="111"/>
      <c r="U801" s="111"/>
      <c r="V801" s="111"/>
      <c r="W801" s="111"/>
      <c r="X801" s="111"/>
      <c r="Y801" s="111"/>
      <c r="Z801" s="149"/>
    </row>
    <row r="802" spans="1:26" s="69" customFormat="1" x14ac:dyDescent="0.25">
      <c r="A802" s="81"/>
      <c r="B802" s="81"/>
      <c r="C802" s="81"/>
      <c r="D802" s="82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111"/>
      <c r="S802" s="111"/>
      <c r="T802" s="111"/>
      <c r="U802" s="111"/>
      <c r="V802" s="111"/>
      <c r="W802" s="111"/>
      <c r="X802" s="111"/>
      <c r="Y802" s="111"/>
      <c r="Z802" s="149"/>
    </row>
    <row r="803" spans="1:26" s="69" customFormat="1" x14ac:dyDescent="0.25">
      <c r="A803" s="81"/>
      <c r="B803" s="81"/>
      <c r="C803" s="81"/>
      <c r="D803" s="82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111"/>
      <c r="S803" s="111"/>
      <c r="T803" s="111"/>
      <c r="U803" s="111"/>
      <c r="V803" s="111"/>
      <c r="W803" s="111"/>
      <c r="X803" s="111"/>
      <c r="Y803" s="111"/>
      <c r="Z803" s="149"/>
    </row>
    <row r="804" spans="1:26" s="69" customFormat="1" x14ac:dyDescent="0.25">
      <c r="A804" s="81"/>
      <c r="B804" s="81"/>
      <c r="C804" s="81"/>
      <c r="D804" s="82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111"/>
      <c r="S804" s="111"/>
      <c r="T804" s="111"/>
      <c r="U804" s="111"/>
      <c r="V804" s="111"/>
      <c r="W804" s="111"/>
      <c r="X804" s="111"/>
      <c r="Y804" s="111"/>
      <c r="Z804" s="149"/>
    </row>
    <row r="805" spans="1:26" s="69" customFormat="1" x14ac:dyDescent="0.25">
      <c r="A805" s="81"/>
      <c r="B805" s="81"/>
      <c r="C805" s="81"/>
      <c r="D805" s="82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111"/>
      <c r="S805" s="111"/>
      <c r="T805" s="111"/>
      <c r="U805" s="111"/>
      <c r="V805" s="111"/>
      <c r="W805" s="111"/>
      <c r="X805" s="111"/>
      <c r="Y805" s="111"/>
      <c r="Z805" s="149"/>
    </row>
    <row r="806" spans="1:26" s="69" customFormat="1" x14ac:dyDescent="0.25">
      <c r="A806" s="81"/>
      <c r="B806" s="81"/>
      <c r="C806" s="81"/>
      <c r="D806" s="82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111"/>
      <c r="S806" s="111"/>
      <c r="T806" s="111"/>
      <c r="U806" s="111"/>
      <c r="V806" s="111"/>
      <c r="W806" s="111"/>
      <c r="X806" s="111"/>
      <c r="Y806" s="111"/>
      <c r="Z806" s="149"/>
    </row>
    <row r="807" spans="1:26" s="69" customFormat="1" x14ac:dyDescent="0.25">
      <c r="A807" s="81"/>
      <c r="B807" s="81"/>
      <c r="C807" s="81"/>
      <c r="D807" s="82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111"/>
      <c r="S807" s="111"/>
      <c r="T807" s="111"/>
      <c r="U807" s="111"/>
      <c r="V807" s="111"/>
      <c r="W807" s="111"/>
      <c r="X807" s="111"/>
      <c r="Y807" s="111"/>
      <c r="Z807" s="149"/>
    </row>
    <row r="808" spans="1:26" s="69" customFormat="1" x14ac:dyDescent="0.25">
      <c r="A808" s="81"/>
      <c r="B808" s="81"/>
      <c r="C808" s="81"/>
      <c r="D808" s="82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111"/>
      <c r="S808" s="111"/>
      <c r="T808" s="111"/>
      <c r="U808" s="111"/>
      <c r="V808" s="111"/>
      <c r="W808" s="111"/>
      <c r="X808" s="111"/>
      <c r="Y808" s="111"/>
      <c r="Z808" s="149"/>
    </row>
    <row r="809" spans="1:26" s="69" customFormat="1" x14ac:dyDescent="0.25">
      <c r="A809" s="81"/>
      <c r="B809" s="81"/>
      <c r="C809" s="81"/>
      <c r="D809" s="82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111"/>
      <c r="S809" s="111"/>
      <c r="T809" s="111"/>
      <c r="U809" s="111"/>
      <c r="V809" s="111"/>
      <c r="W809" s="111"/>
      <c r="X809" s="111"/>
      <c r="Y809" s="111"/>
      <c r="Z809" s="149"/>
    </row>
    <row r="810" spans="1:26" s="69" customFormat="1" x14ac:dyDescent="0.25">
      <c r="A810" s="81"/>
      <c r="B810" s="81"/>
      <c r="C810" s="81"/>
      <c r="D810" s="82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111"/>
      <c r="S810" s="111"/>
      <c r="T810" s="111"/>
      <c r="U810" s="111"/>
      <c r="V810" s="111"/>
      <c r="W810" s="111"/>
      <c r="X810" s="111"/>
      <c r="Y810" s="111"/>
      <c r="Z810" s="149"/>
    </row>
    <row r="811" spans="1:26" s="69" customFormat="1" x14ac:dyDescent="0.25">
      <c r="A811" s="81"/>
      <c r="B811" s="81"/>
      <c r="C811" s="81"/>
      <c r="D811" s="82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111"/>
      <c r="S811" s="111"/>
      <c r="T811" s="111"/>
      <c r="U811" s="111"/>
      <c r="V811" s="111"/>
      <c r="W811" s="111"/>
      <c r="X811" s="111"/>
      <c r="Y811" s="111"/>
      <c r="Z811" s="149"/>
    </row>
    <row r="812" spans="1:26" s="69" customFormat="1" x14ac:dyDescent="0.25">
      <c r="A812" s="81"/>
      <c r="B812" s="81"/>
      <c r="C812" s="81"/>
      <c r="D812" s="82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111"/>
      <c r="S812" s="111"/>
      <c r="T812" s="111"/>
      <c r="U812" s="111"/>
      <c r="V812" s="111"/>
      <c r="W812" s="111"/>
      <c r="X812" s="111"/>
      <c r="Y812" s="111"/>
      <c r="Z812" s="149"/>
    </row>
    <row r="813" spans="1:26" s="69" customFormat="1" x14ac:dyDescent="0.25">
      <c r="A813" s="81"/>
      <c r="B813" s="81"/>
      <c r="C813" s="81"/>
      <c r="D813" s="82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111"/>
      <c r="S813" s="111"/>
      <c r="T813" s="111"/>
      <c r="U813" s="111"/>
      <c r="V813" s="111"/>
      <c r="W813" s="111"/>
      <c r="X813" s="111"/>
      <c r="Y813" s="111"/>
      <c r="Z813" s="149"/>
    </row>
    <row r="814" spans="1:26" s="69" customFormat="1" x14ac:dyDescent="0.25">
      <c r="A814" s="81"/>
      <c r="B814" s="81"/>
      <c r="C814" s="81"/>
      <c r="D814" s="82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111"/>
      <c r="S814" s="111"/>
      <c r="T814" s="111"/>
      <c r="U814" s="111"/>
      <c r="V814" s="111"/>
      <c r="W814" s="111"/>
      <c r="X814" s="111"/>
      <c r="Y814" s="111"/>
      <c r="Z814" s="149"/>
    </row>
    <row r="815" spans="1:26" s="69" customFormat="1" x14ac:dyDescent="0.25">
      <c r="A815" s="81"/>
      <c r="B815" s="81"/>
      <c r="C815" s="81"/>
      <c r="D815" s="82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111"/>
      <c r="S815" s="111"/>
      <c r="T815" s="111"/>
      <c r="U815" s="111"/>
      <c r="V815" s="111"/>
      <c r="W815" s="111"/>
      <c r="X815" s="111"/>
      <c r="Y815" s="111"/>
      <c r="Z815" s="149"/>
    </row>
    <row r="816" spans="1:26" s="69" customFormat="1" x14ac:dyDescent="0.25">
      <c r="A816" s="81"/>
      <c r="B816" s="81"/>
      <c r="C816" s="81"/>
      <c r="D816" s="82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111"/>
      <c r="S816" s="111"/>
      <c r="T816" s="111"/>
      <c r="U816" s="111"/>
      <c r="V816" s="111"/>
      <c r="W816" s="111"/>
      <c r="X816" s="111"/>
      <c r="Y816" s="111"/>
      <c r="Z816" s="149"/>
    </row>
    <row r="817" spans="1:26" s="69" customFormat="1" x14ac:dyDescent="0.25">
      <c r="A817" s="81"/>
      <c r="B817" s="81"/>
      <c r="C817" s="81"/>
      <c r="D817" s="82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111"/>
      <c r="S817" s="111"/>
      <c r="T817" s="111"/>
      <c r="U817" s="111"/>
      <c r="V817" s="111"/>
      <c r="W817" s="111"/>
      <c r="X817" s="111"/>
      <c r="Y817" s="111"/>
      <c r="Z817" s="149"/>
    </row>
    <row r="818" spans="1:26" s="69" customFormat="1" x14ac:dyDescent="0.25">
      <c r="A818" s="81"/>
      <c r="B818" s="81"/>
      <c r="C818" s="81"/>
      <c r="D818" s="82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111"/>
      <c r="S818" s="111"/>
      <c r="T818" s="111"/>
      <c r="U818" s="111"/>
      <c r="V818" s="111"/>
      <c r="W818" s="111"/>
      <c r="X818" s="111"/>
      <c r="Y818" s="111"/>
      <c r="Z818" s="149"/>
    </row>
    <row r="819" spans="1:26" s="69" customFormat="1" x14ac:dyDescent="0.25">
      <c r="A819" s="81"/>
      <c r="B819" s="81"/>
      <c r="C819" s="81"/>
      <c r="D819" s="82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111"/>
      <c r="S819" s="111"/>
      <c r="T819" s="111"/>
      <c r="U819" s="111"/>
      <c r="V819" s="111"/>
      <c r="W819" s="111"/>
      <c r="X819" s="111"/>
      <c r="Y819" s="111"/>
      <c r="Z819" s="149"/>
    </row>
    <row r="820" spans="1:26" s="69" customFormat="1" x14ac:dyDescent="0.25">
      <c r="A820" s="81"/>
      <c r="B820" s="81"/>
      <c r="C820" s="81"/>
      <c r="D820" s="82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111"/>
      <c r="S820" s="111"/>
      <c r="T820" s="111"/>
      <c r="U820" s="111"/>
      <c r="V820" s="111"/>
      <c r="W820" s="111"/>
      <c r="X820" s="111"/>
      <c r="Y820" s="111"/>
      <c r="Z820" s="149"/>
    </row>
    <row r="821" spans="1:26" s="69" customFormat="1" x14ac:dyDescent="0.25">
      <c r="A821" s="81"/>
      <c r="B821" s="81"/>
      <c r="C821" s="81"/>
      <c r="D821" s="82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111"/>
      <c r="S821" s="111"/>
      <c r="T821" s="111"/>
      <c r="U821" s="111"/>
      <c r="V821" s="111"/>
      <c r="W821" s="111"/>
      <c r="X821" s="111"/>
      <c r="Y821" s="111"/>
      <c r="Z821" s="149"/>
    </row>
    <row r="822" spans="1:26" s="69" customFormat="1" x14ac:dyDescent="0.25">
      <c r="A822" s="81"/>
      <c r="B822" s="81"/>
      <c r="C822" s="81"/>
      <c r="D822" s="82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111"/>
      <c r="S822" s="111"/>
      <c r="T822" s="111"/>
      <c r="U822" s="111"/>
      <c r="V822" s="111"/>
      <c r="W822" s="111"/>
      <c r="X822" s="111"/>
      <c r="Y822" s="111"/>
      <c r="Z822" s="149"/>
    </row>
    <row r="823" spans="1:26" s="69" customFormat="1" x14ac:dyDescent="0.25">
      <c r="A823" s="81"/>
      <c r="B823" s="81"/>
      <c r="C823" s="81"/>
      <c r="D823" s="82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111"/>
      <c r="S823" s="111"/>
      <c r="T823" s="111"/>
      <c r="U823" s="111"/>
      <c r="V823" s="111"/>
      <c r="W823" s="111"/>
      <c r="X823" s="111"/>
      <c r="Y823" s="111"/>
      <c r="Z823" s="149"/>
    </row>
    <row r="824" spans="1:26" s="69" customFormat="1" x14ac:dyDescent="0.25">
      <c r="A824" s="81"/>
      <c r="B824" s="81"/>
      <c r="C824" s="81"/>
      <c r="D824" s="82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111"/>
      <c r="S824" s="111"/>
      <c r="T824" s="111"/>
      <c r="U824" s="111"/>
      <c r="V824" s="111"/>
      <c r="W824" s="111"/>
      <c r="X824" s="111"/>
      <c r="Y824" s="111"/>
      <c r="Z824" s="149"/>
    </row>
    <row r="825" spans="1:26" s="69" customFormat="1" x14ac:dyDescent="0.25">
      <c r="A825" s="81"/>
      <c r="B825" s="81"/>
      <c r="C825" s="81"/>
      <c r="D825" s="82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111"/>
      <c r="S825" s="111"/>
      <c r="T825" s="111"/>
      <c r="U825" s="111"/>
      <c r="V825" s="111"/>
      <c r="W825" s="111"/>
      <c r="X825" s="111"/>
      <c r="Y825" s="111"/>
      <c r="Z825" s="149"/>
    </row>
    <row r="826" spans="1:26" s="69" customFormat="1" x14ac:dyDescent="0.25">
      <c r="A826" s="81"/>
      <c r="B826" s="81"/>
      <c r="C826" s="81"/>
      <c r="D826" s="82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111"/>
      <c r="S826" s="111"/>
      <c r="T826" s="111"/>
      <c r="U826" s="111"/>
      <c r="V826" s="111"/>
      <c r="W826" s="111"/>
      <c r="X826" s="111"/>
      <c r="Y826" s="111"/>
      <c r="Z826" s="149"/>
    </row>
    <row r="827" spans="1:26" s="69" customFormat="1" x14ac:dyDescent="0.25">
      <c r="A827" s="81"/>
      <c r="B827" s="81"/>
      <c r="C827" s="81"/>
      <c r="D827" s="82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111"/>
      <c r="S827" s="111"/>
      <c r="T827" s="111"/>
      <c r="U827" s="111"/>
      <c r="V827" s="111"/>
      <c r="W827" s="111"/>
      <c r="X827" s="111"/>
      <c r="Y827" s="111"/>
      <c r="Z827" s="149"/>
    </row>
    <row r="828" spans="1:26" s="69" customFormat="1" x14ac:dyDescent="0.25">
      <c r="A828" s="81"/>
      <c r="B828" s="81"/>
      <c r="C828" s="81"/>
      <c r="D828" s="82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111"/>
      <c r="S828" s="111"/>
      <c r="T828" s="111"/>
      <c r="U828" s="111"/>
      <c r="V828" s="111"/>
      <c r="W828" s="111"/>
      <c r="X828" s="111"/>
      <c r="Y828" s="111"/>
      <c r="Z828" s="149"/>
    </row>
    <row r="829" spans="1:26" s="69" customFormat="1" x14ac:dyDescent="0.25">
      <c r="A829" s="81"/>
      <c r="B829" s="81"/>
      <c r="C829" s="81"/>
      <c r="D829" s="82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111"/>
      <c r="S829" s="111"/>
      <c r="T829" s="111"/>
      <c r="U829" s="111"/>
      <c r="V829" s="111"/>
      <c r="W829" s="111"/>
      <c r="X829" s="111"/>
      <c r="Y829" s="111"/>
      <c r="Z829" s="149"/>
    </row>
    <row r="830" spans="1:26" s="69" customFormat="1" x14ac:dyDescent="0.25">
      <c r="A830" s="81"/>
      <c r="B830" s="81"/>
      <c r="C830" s="81"/>
      <c r="D830" s="82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111"/>
      <c r="S830" s="111"/>
      <c r="T830" s="111"/>
      <c r="U830" s="111"/>
      <c r="V830" s="111"/>
      <c r="W830" s="111"/>
      <c r="X830" s="111"/>
      <c r="Y830" s="111"/>
      <c r="Z830" s="149"/>
    </row>
    <row r="831" spans="1:26" s="69" customFormat="1" x14ac:dyDescent="0.25">
      <c r="A831" s="81"/>
      <c r="B831" s="81"/>
      <c r="C831" s="81"/>
      <c r="D831" s="82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111"/>
      <c r="S831" s="111"/>
      <c r="T831" s="111"/>
      <c r="U831" s="111"/>
      <c r="V831" s="111"/>
      <c r="W831" s="111"/>
      <c r="X831" s="111"/>
      <c r="Y831" s="111"/>
      <c r="Z831" s="149"/>
    </row>
    <row r="832" spans="1:26" s="69" customFormat="1" x14ac:dyDescent="0.25">
      <c r="A832" s="81"/>
      <c r="B832" s="81"/>
      <c r="C832" s="81"/>
      <c r="D832" s="82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111"/>
      <c r="S832" s="111"/>
      <c r="T832" s="111"/>
      <c r="U832" s="111"/>
      <c r="V832" s="111"/>
      <c r="W832" s="111"/>
      <c r="X832" s="111"/>
      <c r="Y832" s="111"/>
      <c r="Z832" s="149"/>
    </row>
    <row r="833" spans="1:26" s="69" customFormat="1" x14ac:dyDescent="0.25">
      <c r="A833" s="81"/>
      <c r="B833" s="81"/>
      <c r="C833" s="81"/>
      <c r="D833" s="82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111"/>
      <c r="S833" s="111"/>
      <c r="T833" s="111"/>
      <c r="U833" s="111"/>
      <c r="V833" s="111"/>
      <c r="W833" s="111"/>
      <c r="X833" s="111"/>
      <c r="Y833" s="111"/>
      <c r="Z833" s="149"/>
    </row>
    <row r="834" spans="1:26" s="69" customFormat="1" x14ac:dyDescent="0.25">
      <c r="A834" s="81"/>
      <c r="B834" s="81"/>
      <c r="C834" s="81"/>
      <c r="D834" s="82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111"/>
      <c r="S834" s="111"/>
      <c r="T834" s="111"/>
      <c r="U834" s="111"/>
      <c r="V834" s="111"/>
      <c r="W834" s="111"/>
      <c r="X834" s="111"/>
      <c r="Y834" s="111"/>
      <c r="Z834" s="149"/>
    </row>
    <row r="835" spans="1:26" s="69" customFormat="1" x14ac:dyDescent="0.25">
      <c r="A835" s="81"/>
      <c r="B835" s="81"/>
      <c r="C835" s="81"/>
      <c r="D835" s="82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111"/>
      <c r="S835" s="111"/>
      <c r="T835" s="111"/>
      <c r="U835" s="111"/>
      <c r="V835" s="111"/>
      <c r="W835" s="111"/>
      <c r="X835" s="111"/>
      <c r="Y835" s="111"/>
      <c r="Z835" s="149"/>
    </row>
    <row r="836" spans="1:26" s="69" customFormat="1" x14ac:dyDescent="0.25">
      <c r="A836" s="81"/>
      <c r="B836" s="81"/>
      <c r="C836" s="81"/>
      <c r="D836" s="82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111"/>
      <c r="S836" s="111"/>
      <c r="T836" s="111"/>
      <c r="U836" s="111"/>
      <c r="V836" s="111"/>
      <c r="W836" s="111"/>
      <c r="X836" s="111"/>
      <c r="Y836" s="111"/>
      <c r="Z836" s="149"/>
    </row>
    <row r="837" spans="1:26" s="69" customFormat="1" x14ac:dyDescent="0.25">
      <c r="A837" s="81"/>
      <c r="B837" s="81"/>
      <c r="C837" s="81"/>
      <c r="D837" s="82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111"/>
      <c r="S837" s="111"/>
      <c r="T837" s="111"/>
      <c r="U837" s="111"/>
      <c r="V837" s="111"/>
      <c r="W837" s="111"/>
      <c r="X837" s="111"/>
      <c r="Y837" s="111"/>
      <c r="Z837" s="149"/>
    </row>
    <row r="838" spans="1:26" s="69" customFormat="1" x14ac:dyDescent="0.25">
      <c r="A838" s="81"/>
      <c r="B838" s="81"/>
      <c r="C838" s="81"/>
      <c r="D838" s="82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111"/>
      <c r="S838" s="111"/>
      <c r="T838" s="111"/>
      <c r="U838" s="111"/>
      <c r="V838" s="111"/>
      <c r="W838" s="111"/>
      <c r="X838" s="111"/>
      <c r="Y838" s="111"/>
      <c r="Z838" s="149"/>
    </row>
    <row r="839" spans="1:26" s="69" customFormat="1" x14ac:dyDescent="0.25">
      <c r="A839" s="81"/>
      <c r="B839" s="81"/>
      <c r="C839" s="81"/>
      <c r="D839" s="82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111"/>
      <c r="S839" s="111"/>
      <c r="T839" s="111"/>
      <c r="U839" s="111"/>
      <c r="V839" s="111"/>
      <c r="W839" s="111"/>
      <c r="X839" s="111"/>
      <c r="Y839" s="111"/>
      <c r="Z839" s="149"/>
    </row>
    <row r="840" spans="1:26" s="69" customFormat="1" x14ac:dyDescent="0.25">
      <c r="A840" s="81"/>
      <c r="B840" s="81"/>
      <c r="C840" s="81"/>
      <c r="D840" s="82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111"/>
      <c r="S840" s="111"/>
      <c r="T840" s="111"/>
      <c r="U840" s="111"/>
      <c r="V840" s="111"/>
      <c r="W840" s="111"/>
      <c r="X840" s="111"/>
      <c r="Y840" s="111"/>
      <c r="Z840" s="149"/>
    </row>
    <row r="841" spans="1:26" s="69" customFormat="1" x14ac:dyDescent="0.25">
      <c r="A841" s="81"/>
      <c r="B841" s="81"/>
      <c r="C841" s="81"/>
      <c r="D841" s="82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111"/>
      <c r="S841" s="111"/>
      <c r="T841" s="111"/>
      <c r="U841" s="111"/>
      <c r="V841" s="111"/>
      <c r="W841" s="111"/>
      <c r="X841" s="111"/>
      <c r="Y841" s="111"/>
      <c r="Z841" s="149"/>
    </row>
    <row r="842" spans="1:26" s="69" customFormat="1" x14ac:dyDescent="0.25">
      <c r="A842" s="81"/>
      <c r="B842" s="81"/>
      <c r="C842" s="81"/>
      <c r="D842" s="82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111"/>
      <c r="S842" s="111"/>
      <c r="T842" s="111"/>
      <c r="U842" s="111"/>
      <c r="V842" s="111"/>
      <c r="W842" s="111"/>
      <c r="X842" s="111"/>
      <c r="Y842" s="111"/>
      <c r="Z842" s="149"/>
    </row>
    <row r="843" spans="1:26" s="69" customFormat="1" x14ac:dyDescent="0.25">
      <c r="A843" s="81"/>
      <c r="B843" s="81"/>
      <c r="C843" s="81"/>
      <c r="D843" s="82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111"/>
      <c r="S843" s="111"/>
      <c r="T843" s="111"/>
      <c r="U843" s="111"/>
      <c r="V843" s="111"/>
      <c r="W843" s="111"/>
      <c r="X843" s="111"/>
      <c r="Y843" s="111"/>
      <c r="Z843" s="149"/>
    </row>
    <row r="844" spans="1:26" s="69" customFormat="1" x14ac:dyDescent="0.25">
      <c r="A844" s="81"/>
      <c r="B844" s="81"/>
      <c r="C844" s="81"/>
      <c r="D844" s="82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111"/>
      <c r="S844" s="111"/>
      <c r="T844" s="111"/>
      <c r="U844" s="111"/>
      <c r="V844" s="111"/>
      <c r="W844" s="111"/>
      <c r="X844" s="111"/>
      <c r="Y844" s="111"/>
      <c r="Z844" s="149"/>
    </row>
    <row r="845" spans="1:26" s="69" customFormat="1" x14ac:dyDescent="0.25">
      <c r="A845" s="81"/>
      <c r="B845" s="81"/>
      <c r="C845" s="81"/>
      <c r="D845" s="82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111"/>
      <c r="S845" s="111"/>
      <c r="T845" s="111"/>
      <c r="U845" s="111"/>
      <c r="V845" s="111"/>
      <c r="W845" s="111"/>
      <c r="X845" s="111"/>
      <c r="Y845" s="111"/>
      <c r="Z845" s="149"/>
    </row>
    <row r="846" spans="1:26" s="69" customFormat="1" x14ac:dyDescent="0.25">
      <c r="A846" s="81"/>
      <c r="B846" s="81"/>
      <c r="C846" s="81"/>
      <c r="D846" s="82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111"/>
      <c r="S846" s="111"/>
      <c r="T846" s="111"/>
      <c r="U846" s="111"/>
      <c r="V846" s="111"/>
      <c r="W846" s="111"/>
      <c r="X846" s="111"/>
      <c r="Y846" s="111"/>
      <c r="Z846" s="149"/>
    </row>
    <row r="847" spans="1:26" s="69" customFormat="1" x14ac:dyDescent="0.25">
      <c r="A847" s="81"/>
      <c r="B847" s="81"/>
      <c r="C847" s="81"/>
      <c r="D847" s="82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111"/>
      <c r="S847" s="111"/>
      <c r="T847" s="111"/>
      <c r="U847" s="111"/>
      <c r="V847" s="111"/>
      <c r="W847" s="111"/>
      <c r="X847" s="111"/>
      <c r="Y847" s="111"/>
      <c r="Z847" s="149"/>
    </row>
    <row r="848" spans="1:26" s="69" customFormat="1" x14ac:dyDescent="0.25">
      <c r="A848" s="81"/>
      <c r="B848" s="81"/>
      <c r="C848" s="81"/>
      <c r="D848" s="82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111"/>
      <c r="S848" s="111"/>
      <c r="T848" s="111"/>
      <c r="U848" s="111"/>
      <c r="V848" s="111"/>
      <c r="W848" s="111"/>
      <c r="X848" s="111"/>
      <c r="Y848" s="111"/>
      <c r="Z848" s="149"/>
    </row>
    <row r="849" spans="1:26" s="69" customFormat="1" x14ac:dyDescent="0.25">
      <c r="A849" s="81"/>
      <c r="B849" s="81"/>
      <c r="C849" s="81"/>
      <c r="D849" s="82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111"/>
      <c r="S849" s="111"/>
      <c r="T849" s="111"/>
      <c r="U849" s="111"/>
      <c r="V849" s="111"/>
      <c r="W849" s="111"/>
      <c r="X849" s="111"/>
      <c r="Y849" s="111"/>
      <c r="Z849" s="149"/>
    </row>
    <row r="850" spans="1:26" s="69" customFormat="1" x14ac:dyDescent="0.25">
      <c r="A850" s="81"/>
      <c r="B850" s="81"/>
      <c r="C850" s="81"/>
      <c r="D850" s="82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111"/>
      <c r="S850" s="111"/>
      <c r="T850" s="111"/>
      <c r="U850" s="111"/>
      <c r="V850" s="111"/>
      <c r="W850" s="111"/>
      <c r="X850" s="111"/>
      <c r="Y850" s="111"/>
      <c r="Z850" s="149"/>
    </row>
    <row r="851" spans="1:26" s="69" customFormat="1" x14ac:dyDescent="0.25">
      <c r="A851" s="81"/>
      <c r="B851" s="81"/>
      <c r="C851" s="81"/>
      <c r="D851" s="82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111"/>
      <c r="S851" s="111"/>
      <c r="T851" s="111"/>
      <c r="U851" s="111"/>
      <c r="V851" s="111"/>
      <c r="W851" s="111"/>
      <c r="X851" s="111"/>
      <c r="Y851" s="111"/>
      <c r="Z851" s="149"/>
    </row>
    <row r="852" spans="1:26" s="69" customFormat="1" x14ac:dyDescent="0.25">
      <c r="A852" s="81"/>
      <c r="B852" s="81"/>
      <c r="C852" s="81"/>
      <c r="D852" s="82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111"/>
      <c r="S852" s="111"/>
      <c r="T852" s="111"/>
      <c r="U852" s="111"/>
      <c r="V852" s="111"/>
      <c r="W852" s="111"/>
      <c r="X852" s="111"/>
      <c r="Y852" s="111"/>
      <c r="Z852" s="149"/>
    </row>
    <row r="853" spans="1:26" s="69" customFormat="1" x14ac:dyDescent="0.25">
      <c r="A853" s="81"/>
      <c r="B853" s="81"/>
      <c r="C853" s="81"/>
      <c r="D853" s="82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111"/>
      <c r="S853" s="111"/>
      <c r="T853" s="111"/>
      <c r="U853" s="111"/>
      <c r="V853" s="111"/>
      <c r="W853" s="111"/>
      <c r="X853" s="111"/>
      <c r="Y853" s="111"/>
      <c r="Z853" s="149"/>
    </row>
    <row r="854" spans="1:26" s="69" customFormat="1" x14ac:dyDescent="0.25">
      <c r="A854" s="81"/>
      <c r="B854" s="81"/>
      <c r="C854" s="81"/>
      <c r="D854" s="82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111"/>
      <c r="S854" s="111"/>
      <c r="T854" s="111"/>
      <c r="U854" s="111"/>
      <c r="V854" s="111"/>
      <c r="W854" s="111"/>
      <c r="X854" s="111"/>
      <c r="Y854" s="111"/>
      <c r="Z854" s="149"/>
    </row>
    <row r="855" spans="1:26" s="69" customFormat="1" x14ac:dyDescent="0.25">
      <c r="A855" s="81"/>
      <c r="B855" s="81"/>
      <c r="C855" s="81"/>
      <c r="D855" s="82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111"/>
      <c r="S855" s="111"/>
      <c r="T855" s="111"/>
      <c r="U855" s="111"/>
      <c r="V855" s="111"/>
      <c r="W855" s="111"/>
      <c r="X855" s="111"/>
      <c r="Y855" s="111"/>
      <c r="Z855" s="149"/>
    </row>
    <row r="856" spans="1:26" s="69" customFormat="1" x14ac:dyDescent="0.25">
      <c r="A856" s="81"/>
      <c r="B856" s="81"/>
      <c r="C856" s="81"/>
      <c r="D856" s="82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111"/>
      <c r="S856" s="111"/>
      <c r="T856" s="111"/>
      <c r="U856" s="111"/>
      <c r="V856" s="111"/>
      <c r="W856" s="111"/>
      <c r="X856" s="111"/>
      <c r="Y856" s="111"/>
      <c r="Z856" s="149"/>
    </row>
    <row r="857" spans="1:26" s="69" customFormat="1" x14ac:dyDescent="0.25">
      <c r="A857" s="81"/>
      <c r="B857" s="81"/>
      <c r="C857" s="81"/>
      <c r="D857" s="82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111"/>
      <c r="S857" s="111"/>
      <c r="T857" s="111"/>
      <c r="U857" s="111"/>
      <c r="V857" s="111"/>
      <c r="W857" s="111"/>
      <c r="X857" s="111"/>
      <c r="Y857" s="111"/>
      <c r="Z857" s="149"/>
    </row>
    <row r="858" spans="1:26" s="69" customFormat="1" x14ac:dyDescent="0.25">
      <c r="A858" s="81"/>
      <c r="B858" s="81"/>
      <c r="C858" s="81"/>
      <c r="D858" s="82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111"/>
      <c r="S858" s="111"/>
      <c r="T858" s="111"/>
      <c r="U858" s="111"/>
      <c r="V858" s="111"/>
      <c r="W858" s="111"/>
      <c r="X858" s="111"/>
      <c r="Y858" s="111"/>
      <c r="Z858" s="149"/>
    </row>
    <row r="859" spans="1:26" s="69" customFormat="1" x14ac:dyDescent="0.25">
      <c r="A859" s="81"/>
      <c r="B859" s="81"/>
      <c r="C859" s="81"/>
      <c r="D859" s="82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111"/>
      <c r="S859" s="111"/>
      <c r="T859" s="111"/>
      <c r="U859" s="111"/>
      <c r="V859" s="111"/>
      <c r="W859" s="111"/>
      <c r="X859" s="111"/>
      <c r="Y859" s="111"/>
      <c r="Z859" s="149"/>
    </row>
    <row r="860" spans="1:26" s="69" customFormat="1" x14ac:dyDescent="0.25">
      <c r="A860" s="81"/>
      <c r="B860" s="81"/>
      <c r="C860" s="81"/>
      <c r="D860" s="82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111"/>
      <c r="S860" s="111"/>
      <c r="T860" s="111"/>
      <c r="U860" s="111"/>
      <c r="V860" s="111"/>
      <c r="W860" s="111"/>
      <c r="X860" s="111"/>
      <c r="Y860" s="111"/>
      <c r="Z860" s="149"/>
    </row>
    <row r="861" spans="1:26" s="69" customFormat="1" x14ac:dyDescent="0.25">
      <c r="A861" s="81"/>
      <c r="B861" s="81"/>
      <c r="C861" s="81"/>
      <c r="D861" s="82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111"/>
      <c r="S861" s="111"/>
      <c r="T861" s="111"/>
      <c r="U861" s="111"/>
      <c r="V861" s="111"/>
      <c r="W861" s="111"/>
      <c r="X861" s="111"/>
      <c r="Y861" s="111"/>
      <c r="Z861" s="149"/>
    </row>
    <row r="862" spans="1:26" s="69" customFormat="1" x14ac:dyDescent="0.25">
      <c r="A862" s="81"/>
      <c r="B862" s="81"/>
      <c r="C862" s="81"/>
      <c r="D862" s="82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111"/>
      <c r="S862" s="111"/>
      <c r="T862" s="111"/>
      <c r="U862" s="111"/>
      <c r="V862" s="111"/>
      <c r="W862" s="111"/>
      <c r="X862" s="111"/>
      <c r="Y862" s="111"/>
      <c r="Z862" s="149"/>
    </row>
    <row r="863" spans="1:26" s="69" customFormat="1" x14ac:dyDescent="0.25">
      <c r="A863" s="81"/>
      <c r="B863" s="81"/>
      <c r="C863" s="81"/>
      <c r="D863" s="82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111"/>
      <c r="S863" s="111"/>
      <c r="T863" s="111"/>
      <c r="U863" s="111"/>
      <c r="V863" s="111"/>
      <c r="W863" s="111"/>
      <c r="X863" s="111"/>
      <c r="Y863" s="111"/>
      <c r="Z863" s="149"/>
    </row>
    <row r="864" spans="1:26" s="69" customFormat="1" x14ac:dyDescent="0.25">
      <c r="A864" s="81"/>
      <c r="B864" s="81"/>
      <c r="C864" s="81"/>
      <c r="D864" s="82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111"/>
      <c r="S864" s="111"/>
      <c r="T864" s="111"/>
      <c r="U864" s="111"/>
      <c r="V864" s="111"/>
      <c r="W864" s="111"/>
      <c r="X864" s="111"/>
      <c r="Y864" s="111"/>
      <c r="Z864" s="149"/>
    </row>
    <row r="865" spans="1:26" s="69" customFormat="1" x14ac:dyDescent="0.25">
      <c r="A865" s="81"/>
      <c r="B865" s="81"/>
      <c r="C865" s="81"/>
      <c r="D865" s="82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111"/>
      <c r="S865" s="111"/>
      <c r="T865" s="111"/>
      <c r="U865" s="111"/>
      <c r="V865" s="111"/>
      <c r="W865" s="111"/>
      <c r="X865" s="111"/>
      <c r="Y865" s="111"/>
      <c r="Z865" s="149"/>
    </row>
    <row r="866" spans="1:26" s="69" customFormat="1" x14ac:dyDescent="0.25">
      <c r="A866" s="81"/>
      <c r="B866" s="81"/>
      <c r="C866" s="81"/>
      <c r="D866" s="82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111"/>
      <c r="S866" s="111"/>
      <c r="T866" s="111"/>
      <c r="U866" s="111"/>
      <c r="V866" s="111"/>
      <c r="W866" s="111"/>
      <c r="X866" s="111"/>
      <c r="Y866" s="111"/>
      <c r="Z866" s="149"/>
    </row>
    <row r="867" spans="1:26" s="69" customFormat="1" x14ac:dyDescent="0.25">
      <c r="A867" s="81"/>
      <c r="B867" s="81"/>
      <c r="C867" s="81"/>
      <c r="D867" s="82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111"/>
      <c r="S867" s="111"/>
      <c r="T867" s="111"/>
      <c r="U867" s="111"/>
      <c r="V867" s="111"/>
      <c r="W867" s="111"/>
      <c r="X867" s="111"/>
      <c r="Y867" s="111"/>
      <c r="Z867" s="149"/>
    </row>
    <row r="868" spans="1:26" s="69" customFormat="1" x14ac:dyDescent="0.25">
      <c r="A868" s="81"/>
      <c r="B868" s="81"/>
      <c r="C868" s="81"/>
      <c r="D868" s="82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111"/>
      <c r="S868" s="111"/>
      <c r="T868" s="111"/>
      <c r="U868" s="111"/>
      <c r="V868" s="111"/>
      <c r="W868" s="111"/>
      <c r="X868" s="111"/>
      <c r="Y868" s="111"/>
      <c r="Z868" s="149"/>
    </row>
    <row r="869" spans="1:26" s="69" customFormat="1" x14ac:dyDescent="0.25">
      <c r="A869" s="81"/>
      <c r="B869" s="81"/>
      <c r="C869" s="81"/>
      <c r="D869" s="82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111"/>
      <c r="S869" s="111"/>
      <c r="T869" s="111"/>
      <c r="U869" s="111"/>
      <c r="V869" s="111"/>
      <c r="W869" s="111"/>
      <c r="X869" s="111"/>
      <c r="Y869" s="111"/>
      <c r="Z869" s="149"/>
    </row>
    <row r="870" spans="1:26" s="69" customFormat="1" x14ac:dyDescent="0.25">
      <c r="A870" s="81"/>
      <c r="B870" s="81"/>
      <c r="C870" s="81"/>
      <c r="D870" s="82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111"/>
      <c r="S870" s="111"/>
      <c r="T870" s="111"/>
      <c r="U870" s="111"/>
      <c r="V870" s="111"/>
      <c r="W870" s="111"/>
      <c r="X870" s="111"/>
      <c r="Y870" s="111"/>
      <c r="Z870" s="149"/>
    </row>
    <row r="871" spans="1:26" s="69" customFormat="1" x14ac:dyDescent="0.25">
      <c r="A871" s="81"/>
      <c r="B871" s="81"/>
      <c r="C871" s="81"/>
      <c r="D871" s="82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111"/>
      <c r="S871" s="111"/>
      <c r="T871" s="111"/>
      <c r="U871" s="111"/>
      <c r="V871" s="111"/>
      <c r="W871" s="111"/>
      <c r="X871" s="111"/>
      <c r="Y871" s="111"/>
      <c r="Z871" s="149"/>
    </row>
    <row r="872" spans="1:26" s="69" customFormat="1" x14ac:dyDescent="0.25">
      <c r="A872" s="81"/>
      <c r="B872" s="81"/>
      <c r="C872" s="81"/>
      <c r="D872" s="82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111"/>
      <c r="S872" s="111"/>
      <c r="T872" s="111"/>
      <c r="U872" s="111"/>
      <c r="V872" s="111"/>
      <c r="W872" s="111"/>
      <c r="X872" s="111"/>
      <c r="Y872" s="111"/>
      <c r="Z872" s="149"/>
    </row>
    <row r="873" spans="1:26" s="69" customFormat="1" x14ac:dyDescent="0.25">
      <c r="A873" s="81"/>
      <c r="B873" s="81"/>
      <c r="C873" s="81"/>
      <c r="D873" s="82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111"/>
      <c r="S873" s="111"/>
      <c r="T873" s="111"/>
      <c r="U873" s="111"/>
      <c r="V873" s="111"/>
      <c r="W873" s="111"/>
      <c r="X873" s="111"/>
      <c r="Y873" s="111"/>
      <c r="Z873" s="149"/>
    </row>
    <row r="874" spans="1:26" s="69" customFormat="1" x14ac:dyDescent="0.25">
      <c r="A874" s="81"/>
      <c r="B874" s="81"/>
      <c r="C874" s="81"/>
      <c r="D874" s="82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111"/>
      <c r="S874" s="111"/>
      <c r="T874" s="111"/>
      <c r="U874" s="111"/>
      <c r="V874" s="111"/>
      <c r="W874" s="111"/>
      <c r="X874" s="111"/>
      <c r="Y874" s="111"/>
      <c r="Z874" s="149"/>
    </row>
    <row r="875" spans="1:26" s="69" customFormat="1" x14ac:dyDescent="0.25">
      <c r="A875" s="81"/>
      <c r="B875" s="81"/>
      <c r="C875" s="81"/>
      <c r="D875" s="82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111"/>
      <c r="S875" s="111"/>
      <c r="T875" s="111"/>
      <c r="U875" s="111"/>
      <c r="V875" s="111"/>
      <c r="W875" s="111"/>
      <c r="X875" s="111"/>
      <c r="Y875" s="111"/>
      <c r="Z875" s="149"/>
    </row>
    <row r="876" spans="1:26" s="69" customFormat="1" x14ac:dyDescent="0.25">
      <c r="A876" s="81"/>
      <c r="B876" s="81"/>
      <c r="C876" s="81"/>
      <c r="D876" s="82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111"/>
      <c r="S876" s="111"/>
      <c r="T876" s="111"/>
      <c r="U876" s="111"/>
      <c r="V876" s="111"/>
      <c r="W876" s="111"/>
      <c r="X876" s="111"/>
      <c r="Y876" s="111"/>
      <c r="Z876" s="149"/>
    </row>
    <row r="877" spans="1:26" s="69" customFormat="1" x14ac:dyDescent="0.25">
      <c r="A877" s="81"/>
      <c r="B877" s="81"/>
      <c r="C877" s="81"/>
      <c r="D877" s="82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111"/>
      <c r="S877" s="111"/>
      <c r="T877" s="111"/>
      <c r="U877" s="111"/>
      <c r="V877" s="111"/>
      <c r="W877" s="111"/>
      <c r="X877" s="111"/>
      <c r="Y877" s="111"/>
      <c r="Z877" s="149"/>
    </row>
    <row r="878" spans="1:26" s="69" customFormat="1" x14ac:dyDescent="0.25">
      <c r="A878" s="81"/>
      <c r="B878" s="81"/>
      <c r="C878" s="81"/>
      <c r="D878" s="82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111"/>
      <c r="S878" s="111"/>
      <c r="T878" s="111"/>
      <c r="U878" s="111"/>
      <c r="V878" s="111"/>
      <c r="W878" s="111"/>
      <c r="X878" s="111"/>
      <c r="Y878" s="111"/>
      <c r="Z878" s="149"/>
    </row>
    <row r="879" spans="1:26" s="69" customFormat="1" x14ac:dyDescent="0.25">
      <c r="A879" s="81"/>
      <c r="B879" s="81"/>
      <c r="C879" s="81"/>
      <c r="D879" s="82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111"/>
      <c r="S879" s="111"/>
      <c r="T879" s="111"/>
      <c r="U879" s="111"/>
      <c r="V879" s="111"/>
      <c r="W879" s="111"/>
      <c r="X879" s="111"/>
      <c r="Y879" s="111"/>
      <c r="Z879" s="149"/>
    </row>
    <row r="880" spans="1:26" s="69" customFormat="1" x14ac:dyDescent="0.25">
      <c r="A880" s="81"/>
      <c r="B880" s="81"/>
      <c r="C880" s="81"/>
      <c r="D880" s="82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111"/>
      <c r="S880" s="111"/>
      <c r="T880" s="111"/>
      <c r="U880" s="111"/>
      <c r="V880" s="111"/>
      <c r="W880" s="111"/>
      <c r="X880" s="111"/>
      <c r="Y880" s="111"/>
      <c r="Z880" s="149"/>
    </row>
    <row r="881" spans="1:26" s="69" customFormat="1" x14ac:dyDescent="0.25">
      <c r="A881" s="81"/>
      <c r="B881" s="81"/>
      <c r="C881" s="81"/>
      <c r="D881" s="82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111"/>
      <c r="S881" s="111"/>
      <c r="T881" s="111"/>
      <c r="U881" s="111"/>
      <c r="V881" s="111"/>
      <c r="W881" s="111"/>
      <c r="X881" s="111"/>
      <c r="Y881" s="111"/>
      <c r="Z881" s="149"/>
    </row>
    <row r="882" spans="1:26" s="69" customFormat="1" x14ac:dyDescent="0.25">
      <c r="A882" s="81"/>
      <c r="B882" s="81"/>
      <c r="C882" s="81"/>
      <c r="D882" s="82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111"/>
      <c r="S882" s="111"/>
      <c r="T882" s="111"/>
      <c r="U882" s="111"/>
      <c r="V882" s="111"/>
      <c r="W882" s="111"/>
      <c r="X882" s="111"/>
      <c r="Y882" s="111"/>
      <c r="Z882" s="149"/>
    </row>
    <row r="883" spans="1:26" s="69" customFormat="1" x14ac:dyDescent="0.25">
      <c r="A883" s="81"/>
      <c r="B883" s="81"/>
      <c r="C883" s="81"/>
      <c r="D883" s="82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111"/>
      <c r="S883" s="111"/>
      <c r="T883" s="111"/>
      <c r="U883" s="111"/>
      <c r="V883" s="111"/>
      <c r="W883" s="111"/>
      <c r="X883" s="111"/>
      <c r="Y883" s="111"/>
      <c r="Z883" s="149"/>
    </row>
    <row r="884" spans="1:26" s="69" customFormat="1" x14ac:dyDescent="0.25">
      <c r="A884" s="81"/>
      <c r="B884" s="81"/>
      <c r="C884" s="81"/>
      <c r="D884" s="82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111"/>
      <c r="S884" s="111"/>
      <c r="T884" s="111"/>
      <c r="U884" s="111"/>
      <c r="V884" s="111"/>
      <c r="W884" s="111"/>
      <c r="X884" s="111"/>
      <c r="Y884" s="111"/>
      <c r="Z884" s="149"/>
    </row>
    <row r="885" spans="1:26" s="69" customFormat="1" x14ac:dyDescent="0.25">
      <c r="A885" s="81"/>
      <c r="B885" s="81"/>
      <c r="C885" s="81"/>
      <c r="D885" s="82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111"/>
      <c r="S885" s="111"/>
      <c r="T885" s="111"/>
      <c r="U885" s="111"/>
      <c r="V885" s="111"/>
      <c r="W885" s="111"/>
      <c r="X885" s="111"/>
      <c r="Y885" s="111"/>
      <c r="Z885" s="149"/>
    </row>
    <row r="886" spans="1:26" s="69" customFormat="1" x14ac:dyDescent="0.25">
      <c r="A886" s="81"/>
      <c r="B886" s="81"/>
      <c r="C886" s="81"/>
      <c r="D886" s="82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111"/>
      <c r="S886" s="111"/>
      <c r="T886" s="111"/>
      <c r="U886" s="111"/>
      <c r="V886" s="111"/>
      <c r="W886" s="111"/>
      <c r="X886" s="111"/>
      <c r="Y886" s="111"/>
      <c r="Z886" s="149"/>
    </row>
    <row r="887" spans="1:26" s="69" customFormat="1" x14ac:dyDescent="0.25">
      <c r="A887" s="81"/>
      <c r="B887" s="81"/>
      <c r="C887" s="81"/>
      <c r="D887" s="82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111"/>
      <c r="S887" s="111"/>
      <c r="T887" s="111"/>
      <c r="U887" s="111"/>
      <c r="V887" s="111"/>
      <c r="W887" s="111"/>
      <c r="X887" s="111"/>
      <c r="Y887" s="111"/>
      <c r="Z887" s="149"/>
    </row>
    <row r="888" spans="1:26" s="69" customFormat="1" x14ac:dyDescent="0.25">
      <c r="A888" s="81"/>
      <c r="B888" s="81"/>
      <c r="C888" s="81"/>
      <c r="D888" s="82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111"/>
      <c r="S888" s="111"/>
      <c r="T888" s="111"/>
      <c r="U888" s="111"/>
      <c r="V888" s="111"/>
      <c r="W888" s="111"/>
      <c r="X888" s="111"/>
      <c r="Y888" s="111"/>
      <c r="Z888" s="149"/>
    </row>
    <row r="889" spans="1:26" s="69" customFormat="1" x14ac:dyDescent="0.25">
      <c r="A889" s="81"/>
      <c r="B889" s="81"/>
      <c r="C889" s="81"/>
      <c r="D889" s="82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111"/>
      <c r="S889" s="111"/>
      <c r="T889" s="111"/>
      <c r="U889" s="111"/>
      <c r="V889" s="111"/>
      <c r="W889" s="111"/>
      <c r="X889" s="111"/>
      <c r="Y889" s="111"/>
      <c r="Z889" s="149"/>
    </row>
    <row r="890" spans="1:26" s="69" customFormat="1" x14ac:dyDescent="0.25">
      <c r="A890" s="81"/>
      <c r="B890" s="81"/>
      <c r="C890" s="81"/>
      <c r="D890" s="82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111"/>
      <c r="S890" s="111"/>
      <c r="T890" s="111"/>
      <c r="U890" s="111"/>
      <c r="V890" s="111"/>
      <c r="W890" s="111"/>
      <c r="X890" s="111"/>
      <c r="Y890" s="111"/>
      <c r="Z890" s="149"/>
    </row>
    <row r="891" spans="1:26" s="69" customFormat="1" x14ac:dyDescent="0.25">
      <c r="A891" s="81"/>
      <c r="B891" s="81"/>
      <c r="C891" s="81"/>
      <c r="D891" s="82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111"/>
      <c r="S891" s="111"/>
      <c r="T891" s="111"/>
      <c r="U891" s="111"/>
      <c r="V891" s="111"/>
      <c r="W891" s="111"/>
      <c r="X891" s="111"/>
      <c r="Y891" s="111"/>
      <c r="Z891" s="149"/>
    </row>
    <row r="892" spans="1:26" s="69" customFormat="1" x14ac:dyDescent="0.25">
      <c r="A892" s="81"/>
      <c r="B892" s="81"/>
      <c r="C892" s="81"/>
      <c r="D892" s="82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111"/>
      <c r="S892" s="111"/>
      <c r="T892" s="111"/>
      <c r="U892" s="111"/>
      <c r="V892" s="111"/>
      <c r="W892" s="111"/>
      <c r="X892" s="111"/>
      <c r="Y892" s="111"/>
      <c r="Z892" s="149"/>
    </row>
    <row r="893" spans="1:26" s="69" customFormat="1" x14ac:dyDescent="0.25">
      <c r="A893" s="81"/>
      <c r="B893" s="81"/>
      <c r="C893" s="81"/>
      <c r="D893" s="82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111"/>
      <c r="S893" s="111"/>
      <c r="T893" s="111"/>
      <c r="U893" s="111"/>
      <c r="V893" s="111"/>
      <c r="W893" s="111"/>
      <c r="X893" s="111"/>
      <c r="Y893" s="111"/>
      <c r="Z893" s="149"/>
    </row>
    <row r="894" spans="1:26" s="69" customFormat="1" x14ac:dyDescent="0.25">
      <c r="A894" s="81"/>
      <c r="B894" s="81"/>
      <c r="C894" s="81"/>
      <c r="D894" s="82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111"/>
      <c r="S894" s="111"/>
      <c r="T894" s="111"/>
      <c r="U894" s="111"/>
      <c r="V894" s="111"/>
      <c r="W894" s="111"/>
      <c r="X894" s="111"/>
      <c r="Y894" s="111"/>
      <c r="Z894" s="149"/>
    </row>
    <row r="895" spans="1:26" s="69" customFormat="1" x14ac:dyDescent="0.25">
      <c r="A895" s="81"/>
      <c r="B895" s="81"/>
      <c r="C895" s="81"/>
      <c r="D895" s="82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111"/>
      <c r="S895" s="111"/>
      <c r="T895" s="111"/>
      <c r="U895" s="111"/>
      <c r="V895" s="111"/>
      <c r="W895" s="111"/>
      <c r="X895" s="111"/>
      <c r="Y895" s="111"/>
      <c r="Z895" s="149"/>
    </row>
    <row r="896" spans="1:26" s="69" customFormat="1" x14ac:dyDescent="0.25">
      <c r="A896" s="81"/>
      <c r="B896" s="81"/>
      <c r="C896" s="81"/>
      <c r="D896" s="82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111"/>
      <c r="S896" s="111"/>
      <c r="T896" s="111"/>
      <c r="U896" s="111"/>
      <c r="V896" s="111"/>
      <c r="W896" s="111"/>
      <c r="X896" s="111"/>
      <c r="Y896" s="111"/>
      <c r="Z896" s="149"/>
    </row>
    <row r="897" spans="1:26" s="69" customFormat="1" x14ac:dyDescent="0.25">
      <c r="A897" s="81"/>
      <c r="B897" s="81"/>
      <c r="C897" s="81"/>
      <c r="D897" s="82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111"/>
      <c r="S897" s="111"/>
      <c r="T897" s="111"/>
      <c r="U897" s="111"/>
      <c r="V897" s="111"/>
      <c r="W897" s="111"/>
      <c r="X897" s="111"/>
      <c r="Y897" s="111"/>
      <c r="Z897" s="149"/>
    </row>
    <row r="898" spans="1:26" s="69" customFormat="1" x14ac:dyDescent="0.25">
      <c r="A898" s="81"/>
      <c r="B898" s="81"/>
      <c r="C898" s="81"/>
      <c r="D898" s="82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111"/>
      <c r="S898" s="111"/>
      <c r="T898" s="111"/>
      <c r="U898" s="111"/>
      <c r="V898" s="111"/>
      <c r="W898" s="111"/>
      <c r="X898" s="111"/>
      <c r="Y898" s="111"/>
      <c r="Z898" s="149"/>
    </row>
    <row r="899" spans="1:26" s="69" customFormat="1" x14ac:dyDescent="0.25">
      <c r="A899" s="81"/>
      <c r="B899" s="81"/>
      <c r="C899" s="81"/>
      <c r="D899" s="82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111"/>
      <c r="S899" s="111"/>
      <c r="T899" s="111"/>
      <c r="U899" s="111"/>
      <c r="V899" s="111"/>
      <c r="W899" s="111"/>
      <c r="X899" s="111"/>
      <c r="Y899" s="111"/>
      <c r="Z899" s="149"/>
    </row>
    <row r="900" spans="1:26" s="69" customFormat="1" x14ac:dyDescent="0.25">
      <c r="A900" s="81"/>
      <c r="B900" s="81"/>
      <c r="C900" s="81"/>
      <c r="D900" s="82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111"/>
      <c r="S900" s="111"/>
      <c r="T900" s="111"/>
      <c r="U900" s="111"/>
      <c r="V900" s="111"/>
      <c r="W900" s="111"/>
      <c r="X900" s="111"/>
      <c r="Y900" s="111"/>
      <c r="Z900" s="149"/>
    </row>
    <row r="901" spans="1:26" s="69" customFormat="1" x14ac:dyDescent="0.25">
      <c r="A901" s="81"/>
      <c r="B901" s="81"/>
      <c r="C901" s="81"/>
      <c r="D901" s="82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111"/>
      <c r="S901" s="111"/>
      <c r="T901" s="111"/>
      <c r="U901" s="111"/>
      <c r="V901" s="111"/>
      <c r="W901" s="111"/>
      <c r="X901" s="111"/>
      <c r="Y901" s="111"/>
      <c r="Z901" s="149"/>
    </row>
    <row r="902" spans="1:26" s="69" customFormat="1" x14ac:dyDescent="0.25">
      <c r="A902" s="81"/>
      <c r="B902" s="81"/>
      <c r="C902" s="81"/>
      <c r="D902" s="82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111"/>
      <c r="S902" s="111"/>
      <c r="T902" s="111"/>
      <c r="U902" s="111"/>
      <c r="V902" s="111"/>
      <c r="W902" s="111"/>
      <c r="X902" s="111"/>
      <c r="Y902" s="111"/>
      <c r="Z902" s="149"/>
    </row>
    <row r="903" spans="1:26" s="69" customFormat="1" x14ac:dyDescent="0.25">
      <c r="A903" s="81"/>
      <c r="B903" s="81"/>
      <c r="C903" s="81"/>
      <c r="D903" s="82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111"/>
      <c r="S903" s="111"/>
      <c r="T903" s="111"/>
      <c r="U903" s="111"/>
      <c r="V903" s="111"/>
      <c r="W903" s="111"/>
      <c r="X903" s="111"/>
      <c r="Y903" s="111"/>
      <c r="Z903" s="149"/>
    </row>
    <row r="904" spans="1:26" s="69" customFormat="1" x14ac:dyDescent="0.25">
      <c r="A904" s="81"/>
      <c r="B904" s="81"/>
      <c r="C904" s="81"/>
      <c r="D904" s="82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111"/>
      <c r="S904" s="111"/>
      <c r="T904" s="111"/>
      <c r="U904" s="111"/>
      <c r="V904" s="111"/>
      <c r="W904" s="111"/>
      <c r="X904" s="111"/>
      <c r="Y904" s="111"/>
      <c r="Z904" s="149"/>
    </row>
    <row r="905" spans="1:26" s="69" customFormat="1" x14ac:dyDescent="0.25">
      <c r="A905" s="81"/>
      <c r="B905" s="81"/>
      <c r="C905" s="81"/>
      <c r="D905" s="82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111"/>
      <c r="S905" s="111"/>
      <c r="T905" s="111"/>
      <c r="U905" s="111"/>
      <c r="V905" s="111"/>
      <c r="W905" s="111"/>
      <c r="X905" s="111"/>
      <c r="Y905" s="111"/>
      <c r="Z905" s="149"/>
    </row>
    <row r="906" spans="1:26" s="69" customFormat="1" x14ac:dyDescent="0.25">
      <c r="A906" s="81"/>
      <c r="B906" s="81"/>
      <c r="C906" s="81"/>
      <c r="D906" s="82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111"/>
      <c r="S906" s="111"/>
      <c r="T906" s="111"/>
      <c r="U906" s="111"/>
      <c r="V906" s="111"/>
      <c r="W906" s="111"/>
      <c r="X906" s="111"/>
      <c r="Y906" s="111"/>
      <c r="Z906" s="149"/>
    </row>
    <row r="907" spans="1:26" s="69" customFormat="1" x14ac:dyDescent="0.25">
      <c r="A907" s="81"/>
      <c r="B907" s="81"/>
      <c r="C907" s="81"/>
      <c r="D907" s="82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111"/>
      <c r="S907" s="111"/>
      <c r="T907" s="111"/>
      <c r="U907" s="111"/>
      <c r="V907" s="111"/>
      <c r="W907" s="111"/>
      <c r="X907" s="111"/>
      <c r="Y907" s="111"/>
      <c r="Z907" s="149"/>
    </row>
    <row r="908" spans="1:26" s="69" customFormat="1" x14ac:dyDescent="0.25">
      <c r="A908" s="81"/>
      <c r="B908" s="81"/>
      <c r="C908" s="81"/>
      <c r="D908" s="82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111"/>
      <c r="S908" s="111"/>
      <c r="T908" s="111"/>
      <c r="U908" s="111"/>
      <c r="V908" s="111"/>
      <c r="W908" s="111"/>
      <c r="X908" s="111"/>
      <c r="Y908" s="111"/>
      <c r="Z908" s="149"/>
    </row>
    <row r="909" spans="1:26" s="69" customFormat="1" x14ac:dyDescent="0.25">
      <c r="A909" s="81"/>
      <c r="B909" s="81"/>
      <c r="C909" s="81"/>
      <c r="D909" s="82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111"/>
      <c r="S909" s="111"/>
      <c r="T909" s="111"/>
      <c r="U909" s="111"/>
      <c r="V909" s="111"/>
      <c r="W909" s="111"/>
      <c r="X909" s="111"/>
      <c r="Y909" s="111"/>
      <c r="Z909" s="149"/>
    </row>
    <row r="910" spans="1:26" s="69" customFormat="1" x14ac:dyDescent="0.25">
      <c r="A910" s="81"/>
      <c r="B910" s="81"/>
      <c r="C910" s="81"/>
      <c r="D910" s="82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111"/>
      <c r="S910" s="111"/>
      <c r="T910" s="111"/>
      <c r="U910" s="111"/>
      <c r="V910" s="111"/>
      <c r="W910" s="111"/>
      <c r="X910" s="111"/>
      <c r="Y910" s="111"/>
      <c r="Z910" s="149"/>
    </row>
    <row r="911" spans="1:26" s="69" customFormat="1" x14ac:dyDescent="0.25">
      <c r="A911" s="81"/>
      <c r="B911" s="81"/>
      <c r="C911" s="81"/>
      <c r="D911" s="82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111"/>
      <c r="S911" s="111"/>
      <c r="T911" s="111"/>
      <c r="U911" s="111"/>
      <c r="V911" s="111"/>
      <c r="W911" s="111"/>
      <c r="X911" s="111"/>
      <c r="Y911" s="111"/>
      <c r="Z911" s="149"/>
    </row>
    <row r="912" spans="1:26" s="69" customFormat="1" x14ac:dyDescent="0.25">
      <c r="A912" s="81"/>
      <c r="B912" s="81"/>
      <c r="C912" s="81"/>
      <c r="D912" s="82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111"/>
      <c r="S912" s="111"/>
      <c r="T912" s="111"/>
      <c r="U912" s="111"/>
      <c r="V912" s="111"/>
      <c r="W912" s="111"/>
      <c r="X912" s="111"/>
      <c r="Y912" s="111"/>
      <c r="Z912" s="149"/>
    </row>
    <row r="913" spans="1:26" s="69" customFormat="1" x14ac:dyDescent="0.25">
      <c r="A913" s="81"/>
      <c r="B913" s="81"/>
      <c r="C913" s="81"/>
      <c r="D913" s="82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111"/>
      <c r="S913" s="111"/>
      <c r="T913" s="111"/>
      <c r="U913" s="111"/>
      <c r="V913" s="111"/>
      <c r="W913" s="111"/>
      <c r="X913" s="111"/>
      <c r="Y913" s="111"/>
      <c r="Z913" s="149"/>
    </row>
    <row r="914" spans="1:26" s="69" customFormat="1" x14ac:dyDescent="0.25">
      <c r="A914" s="81"/>
      <c r="B914" s="81"/>
      <c r="C914" s="81"/>
      <c r="D914" s="82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111"/>
      <c r="S914" s="111"/>
      <c r="T914" s="111"/>
      <c r="U914" s="111"/>
      <c r="V914" s="111"/>
      <c r="W914" s="111"/>
      <c r="X914" s="111"/>
      <c r="Y914" s="111"/>
      <c r="Z914" s="149"/>
    </row>
    <row r="915" spans="1:26" s="69" customFormat="1" x14ac:dyDescent="0.25">
      <c r="A915" s="81"/>
      <c r="B915" s="81"/>
      <c r="C915" s="81"/>
      <c r="D915" s="82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111"/>
      <c r="S915" s="111"/>
      <c r="T915" s="111"/>
      <c r="U915" s="111"/>
      <c r="V915" s="111"/>
      <c r="W915" s="111"/>
      <c r="X915" s="111"/>
      <c r="Y915" s="111"/>
      <c r="Z915" s="149"/>
    </row>
    <row r="916" spans="1:26" s="69" customFormat="1" x14ac:dyDescent="0.25">
      <c r="A916" s="81"/>
      <c r="B916" s="81"/>
      <c r="C916" s="81"/>
      <c r="D916" s="82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111"/>
      <c r="S916" s="111"/>
      <c r="T916" s="111"/>
      <c r="U916" s="111"/>
      <c r="V916" s="111"/>
      <c r="W916" s="111"/>
      <c r="X916" s="111"/>
      <c r="Y916" s="111"/>
      <c r="Z916" s="149"/>
    </row>
    <row r="917" spans="1:26" s="69" customFormat="1" x14ac:dyDescent="0.25">
      <c r="A917" s="81"/>
      <c r="B917" s="81"/>
      <c r="C917" s="81"/>
      <c r="D917" s="82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111"/>
      <c r="S917" s="111"/>
      <c r="T917" s="111"/>
      <c r="U917" s="111"/>
      <c r="V917" s="111"/>
      <c r="W917" s="111"/>
      <c r="X917" s="111"/>
      <c r="Y917" s="111"/>
      <c r="Z917" s="149"/>
    </row>
    <row r="918" spans="1:26" s="69" customFormat="1" x14ac:dyDescent="0.25">
      <c r="A918" s="81"/>
      <c r="B918" s="81"/>
      <c r="C918" s="81"/>
      <c r="D918" s="82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111"/>
      <c r="S918" s="111"/>
      <c r="T918" s="111"/>
      <c r="U918" s="111"/>
      <c r="V918" s="111"/>
      <c r="W918" s="111"/>
      <c r="X918" s="111"/>
      <c r="Y918" s="111"/>
      <c r="Z918" s="149"/>
    </row>
    <row r="919" spans="1:26" s="69" customFormat="1" x14ac:dyDescent="0.25">
      <c r="A919" s="81"/>
      <c r="B919" s="81"/>
      <c r="C919" s="81"/>
      <c r="D919" s="82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111"/>
      <c r="S919" s="111"/>
      <c r="T919" s="111"/>
      <c r="U919" s="111"/>
      <c r="V919" s="111"/>
      <c r="W919" s="111"/>
      <c r="X919" s="111"/>
      <c r="Y919" s="111"/>
      <c r="Z919" s="149"/>
    </row>
    <row r="920" spans="1:26" s="69" customFormat="1" x14ac:dyDescent="0.25">
      <c r="A920" s="81"/>
      <c r="B920" s="81"/>
      <c r="C920" s="81"/>
      <c r="D920" s="82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111"/>
      <c r="S920" s="111"/>
      <c r="T920" s="111"/>
      <c r="U920" s="111"/>
      <c r="V920" s="111"/>
      <c r="W920" s="111"/>
      <c r="X920" s="111"/>
      <c r="Y920" s="111"/>
      <c r="Z920" s="149"/>
    </row>
    <row r="921" spans="1:26" s="69" customFormat="1" x14ac:dyDescent="0.25">
      <c r="A921" s="81"/>
      <c r="B921" s="81"/>
      <c r="C921" s="81"/>
      <c r="D921" s="82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111"/>
      <c r="S921" s="111"/>
      <c r="T921" s="111"/>
      <c r="U921" s="111"/>
      <c r="V921" s="111"/>
      <c r="W921" s="111"/>
      <c r="X921" s="111"/>
      <c r="Y921" s="111"/>
      <c r="Z921" s="149"/>
    </row>
    <row r="922" spans="1:26" s="69" customFormat="1" x14ac:dyDescent="0.25">
      <c r="A922" s="81"/>
      <c r="B922" s="81"/>
      <c r="C922" s="81"/>
      <c r="D922" s="82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111"/>
      <c r="S922" s="111"/>
      <c r="T922" s="111"/>
      <c r="U922" s="111"/>
      <c r="V922" s="111"/>
      <c r="W922" s="111"/>
      <c r="X922" s="111"/>
      <c r="Y922" s="111"/>
      <c r="Z922" s="149"/>
    </row>
    <row r="923" spans="1:26" s="69" customFormat="1" x14ac:dyDescent="0.25">
      <c r="A923" s="81"/>
      <c r="B923" s="81"/>
      <c r="C923" s="81"/>
      <c r="D923" s="82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111"/>
      <c r="S923" s="111"/>
      <c r="T923" s="111"/>
      <c r="U923" s="111"/>
      <c r="V923" s="111"/>
      <c r="W923" s="111"/>
      <c r="X923" s="111"/>
      <c r="Y923" s="111"/>
      <c r="Z923" s="149"/>
    </row>
    <row r="924" spans="1:26" s="69" customFormat="1" x14ac:dyDescent="0.25">
      <c r="A924" s="81"/>
      <c r="B924" s="81"/>
      <c r="C924" s="81"/>
      <c r="D924" s="82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111"/>
      <c r="S924" s="111"/>
      <c r="T924" s="111"/>
      <c r="U924" s="111"/>
      <c r="V924" s="111"/>
      <c r="W924" s="111"/>
      <c r="X924" s="111"/>
      <c r="Y924" s="111"/>
      <c r="Z924" s="149"/>
    </row>
    <row r="925" spans="1:26" s="69" customFormat="1" x14ac:dyDescent="0.25">
      <c r="A925" s="81"/>
      <c r="B925" s="81"/>
      <c r="C925" s="81"/>
      <c r="D925" s="82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111"/>
      <c r="S925" s="111"/>
      <c r="T925" s="111"/>
      <c r="U925" s="111"/>
      <c r="V925" s="111"/>
      <c r="W925" s="111"/>
      <c r="X925" s="111"/>
      <c r="Y925" s="111"/>
      <c r="Z925" s="149"/>
    </row>
    <row r="926" spans="1:26" s="69" customFormat="1" x14ac:dyDescent="0.25">
      <c r="A926" s="81"/>
      <c r="B926" s="81"/>
      <c r="C926" s="81"/>
      <c r="D926" s="82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111"/>
      <c r="S926" s="111"/>
      <c r="T926" s="111"/>
      <c r="U926" s="111"/>
      <c r="V926" s="111"/>
      <c r="W926" s="111"/>
      <c r="X926" s="111"/>
      <c r="Y926" s="111"/>
      <c r="Z926" s="149"/>
    </row>
    <row r="927" spans="1:26" s="69" customFormat="1" x14ac:dyDescent="0.25">
      <c r="A927" s="81"/>
      <c r="B927" s="81"/>
      <c r="C927" s="81"/>
      <c r="D927" s="82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111"/>
      <c r="S927" s="111"/>
      <c r="T927" s="111"/>
      <c r="U927" s="111"/>
      <c r="V927" s="111"/>
      <c r="W927" s="111"/>
      <c r="X927" s="111"/>
      <c r="Y927" s="111"/>
      <c r="Z927" s="149"/>
    </row>
    <row r="928" spans="1:26" s="69" customFormat="1" x14ac:dyDescent="0.25">
      <c r="A928" s="81"/>
      <c r="B928" s="81"/>
      <c r="C928" s="81"/>
      <c r="D928" s="82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111"/>
      <c r="S928" s="111"/>
      <c r="T928" s="111"/>
      <c r="U928" s="111"/>
      <c r="V928" s="111"/>
      <c r="W928" s="111"/>
      <c r="X928" s="111"/>
      <c r="Y928" s="111"/>
      <c r="Z928" s="149"/>
    </row>
    <row r="929" spans="1:26" s="69" customFormat="1" x14ac:dyDescent="0.25">
      <c r="A929" s="81"/>
      <c r="B929" s="81"/>
      <c r="C929" s="81"/>
      <c r="D929" s="82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111"/>
      <c r="S929" s="111"/>
      <c r="T929" s="111"/>
      <c r="U929" s="111"/>
      <c r="V929" s="111"/>
      <c r="W929" s="111"/>
      <c r="X929" s="111"/>
      <c r="Y929" s="111"/>
      <c r="Z929" s="149"/>
    </row>
    <row r="930" spans="1:26" s="69" customFormat="1" x14ac:dyDescent="0.25">
      <c r="A930" s="81"/>
      <c r="B930" s="81"/>
      <c r="C930" s="81"/>
      <c r="D930" s="82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111"/>
      <c r="S930" s="111"/>
      <c r="T930" s="111"/>
      <c r="U930" s="111"/>
      <c r="V930" s="111"/>
      <c r="W930" s="111"/>
      <c r="X930" s="111"/>
      <c r="Y930" s="111"/>
      <c r="Z930" s="149"/>
    </row>
    <row r="931" spans="1:26" s="69" customFormat="1" x14ac:dyDescent="0.25">
      <c r="A931" s="81"/>
      <c r="B931" s="81"/>
      <c r="C931" s="81"/>
      <c r="D931" s="82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111"/>
      <c r="S931" s="111"/>
      <c r="T931" s="111"/>
      <c r="U931" s="111"/>
      <c r="V931" s="111"/>
      <c r="W931" s="111"/>
      <c r="X931" s="111"/>
      <c r="Y931" s="111"/>
      <c r="Z931" s="149"/>
    </row>
    <row r="932" spans="1:26" s="69" customFormat="1" x14ac:dyDescent="0.25">
      <c r="A932" s="81"/>
      <c r="B932" s="81"/>
      <c r="C932" s="81"/>
      <c r="D932" s="82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111"/>
      <c r="S932" s="111"/>
      <c r="T932" s="111"/>
      <c r="U932" s="111"/>
      <c r="V932" s="111"/>
      <c r="W932" s="111"/>
      <c r="X932" s="111"/>
      <c r="Y932" s="111"/>
      <c r="Z932" s="149"/>
    </row>
    <row r="933" spans="1:26" s="69" customFormat="1" x14ac:dyDescent="0.25">
      <c r="A933" s="81"/>
      <c r="B933" s="81"/>
      <c r="C933" s="81"/>
      <c r="D933" s="82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111"/>
      <c r="S933" s="111"/>
      <c r="T933" s="111"/>
      <c r="U933" s="111"/>
      <c r="V933" s="111"/>
      <c r="W933" s="111"/>
      <c r="X933" s="111"/>
      <c r="Y933" s="111"/>
      <c r="Z933" s="149"/>
    </row>
    <row r="934" spans="1:26" s="69" customFormat="1" x14ac:dyDescent="0.25">
      <c r="A934" s="81"/>
      <c r="B934" s="81"/>
      <c r="C934" s="81"/>
      <c r="D934" s="82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111"/>
      <c r="S934" s="111"/>
      <c r="T934" s="111"/>
      <c r="U934" s="111"/>
      <c r="V934" s="111"/>
      <c r="W934" s="111"/>
      <c r="X934" s="111"/>
      <c r="Y934" s="111"/>
      <c r="Z934" s="149"/>
    </row>
    <row r="935" spans="1:26" s="69" customFormat="1" x14ac:dyDescent="0.25">
      <c r="A935" s="81"/>
      <c r="B935" s="81"/>
      <c r="C935" s="81"/>
      <c r="D935" s="82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111"/>
      <c r="S935" s="111"/>
      <c r="T935" s="111"/>
      <c r="U935" s="111"/>
      <c r="V935" s="111"/>
      <c r="W935" s="111"/>
      <c r="X935" s="111"/>
      <c r="Y935" s="111"/>
      <c r="Z935" s="149"/>
    </row>
    <row r="936" spans="1:26" s="69" customFormat="1" x14ac:dyDescent="0.25">
      <c r="A936" s="81"/>
      <c r="B936" s="81"/>
      <c r="C936" s="81"/>
      <c r="D936" s="82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111"/>
      <c r="S936" s="111"/>
      <c r="T936" s="111"/>
      <c r="U936" s="111"/>
      <c r="V936" s="111"/>
      <c r="W936" s="111"/>
      <c r="X936" s="111"/>
      <c r="Y936" s="111"/>
      <c r="Z936" s="149"/>
    </row>
    <row r="937" spans="1:26" s="69" customFormat="1" x14ac:dyDescent="0.25">
      <c r="A937" s="81"/>
      <c r="B937" s="81"/>
      <c r="C937" s="81"/>
      <c r="D937" s="82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111"/>
      <c r="S937" s="111"/>
      <c r="T937" s="111"/>
      <c r="U937" s="111"/>
      <c r="V937" s="111"/>
      <c r="W937" s="111"/>
      <c r="X937" s="111"/>
      <c r="Y937" s="111"/>
      <c r="Z937" s="149"/>
    </row>
    <row r="938" spans="1:26" s="69" customFormat="1" x14ac:dyDescent="0.25">
      <c r="A938" s="81"/>
      <c r="B938" s="81"/>
      <c r="C938" s="81"/>
      <c r="D938" s="82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111"/>
      <c r="S938" s="111"/>
      <c r="T938" s="111"/>
      <c r="U938" s="111"/>
      <c r="V938" s="111"/>
      <c r="W938" s="111"/>
      <c r="X938" s="111"/>
      <c r="Y938" s="111"/>
      <c r="Z938" s="149"/>
    </row>
    <row r="939" spans="1:26" s="69" customFormat="1" x14ac:dyDescent="0.25">
      <c r="A939" s="81"/>
      <c r="B939" s="81"/>
      <c r="C939" s="81"/>
      <c r="D939" s="82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111"/>
      <c r="S939" s="111"/>
      <c r="T939" s="111"/>
      <c r="U939" s="111"/>
      <c r="V939" s="111"/>
      <c r="W939" s="111"/>
      <c r="X939" s="111"/>
      <c r="Y939" s="111"/>
      <c r="Z939" s="149"/>
    </row>
    <row r="940" spans="1:26" s="69" customFormat="1" x14ac:dyDescent="0.25">
      <c r="A940" s="81"/>
      <c r="B940" s="81"/>
      <c r="C940" s="81"/>
      <c r="D940" s="82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111"/>
      <c r="S940" s="111"/>
      <c r="T940" s="111"/>
      <c r="U940" s="111"/>
      <c r="V940" s="111"/>
      <c r="W940" s="111"/>
      <c r="X940" s="111"/>
      <c r="Y940" s="111"/>
      <c r="Z940" s="149"/>
    </row>
    <row r="941" spans="1:26" s="69" customFormat="1" x14ac:dyDescent="0.25">
      <c r="A941" s="81"/>
      <c r="B941" s="81"/>
      <c r="C941" s="81"/>
      <c r="D941" s="82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111"/>
      <c r="S941" s="111"/>
      <c r="T941" s="111"/>
      <c r="U941" s="111"/>
      <c r="V941" s="111"/>
      <c r="W941" s="111"/>
      <c r="X941" s="111"/>
      <c r="Y941" s="111"/>
      <c r="Z941" s="149"/>
    </row>
    <row r="942" spans="1:26" s="69" customFormat="1" x14ac:dyDescent="0.25">
      <c r="A942" s="81"/>
      <c r="B942" s="81"/>
      <c r="C942" s="81"/>
      <c r="D942" s="82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111"/>
      <c r="S942" s="111"/>
      <c r="T942" s="111"/>
      <c r="U942" s="111"/>
      <c r="V942" s="111"/>
      <c r="W942" s="111"/>
      <c r="X942" s="111"/>
      <c r="Y942" s="111"/>
      <c r="Z942" s="149"/>
    </row>
    <row r="943" spans="1:26" s="69" customFormat="1" x14ac:dyDescent="0.25">
      <c r="A943" s="81"/>
      <c r="B943" s="81"/>
      <c r="C943" s="81"/>
      <c r="D943" s="82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111"/>
      <c r="S943" s="111"/>
      <c r="T943" s="111"/>
      <c r="U943" s="111"/>
      <c r="V943" s="111"/>
      <c r="W943" s="111"/>
      <c r="X943" s="111"/>
      <c r="Y943" s="111"/>
      <c r="Z943" s="149"/>
    </row>
    <row r="944" spans="1:26" s="69" customFormat="1" x14ac:dyDescent="0.25">
      <c r="A944" s="81"/>
      <c r="B944" s="81"/>
      <c r="C944" s="81"/>
      <c r="D944" s="82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111"/>
      <c r="S944" s="111"/>
      <c r="T944" s="111"/>
      <c r="U944" s="111"/>
      <c r="V944" s="111"/>
      <c r="W944" s="111"/>
      <c r="X944" s="111"/>
      <c r="Y944" s="111"/>
      <c r="Z944" s="149"/>
    </row>
    <row r="945" spans="1:26" s="69" customFormat="1" x14ac:dyDescent="0.25">
      <c r="A945" s="81"/>
      <c r="B945" s="81"/>
      <c r="C945" s="81"/>
      <c r="D945" s="82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111"/>
      <c r="S945" s="111"/>
      <c r="T945" s="111"/>
      <c r="U945" s="111"/>
      <c r="V945" s="111"/>
      <c r="W945" s="111"/>
      <c r="X945" s="111"/>
      <c r="Y945" s="111"/>
      <c r="Z945" s="149"/>
    </row>
    <row r="946" spans="1:26" s="69" customFormat="1" x14ac:dyDescent="0.25">
      <c r="A946" s="81"/>
      <c r="B946" s="81"/>
      <c r="C946" s="81"/>
      <c r="D946" s="82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111"/>
      <c r="S946" s="111"/>
      <c r="T946" s="111"/>
      <c r="U946" s="111"/>
      <c r="V946" s="111"/>
      <c r="W946" s="111"/>
      <c r="X946" s="111"/>
      <c r="Y946" s="111"/>
      <c r="Z946" s="149"/>
    </row>
    <row r="947" spans="1:26" s="69" customFormat="1" x14ac:dyDescent="0.25">
      <c r="A947" s="81"/>
      <c r="B947" s="81"/>
      <c r="C947" s="81"/>
      <c r="D947" s="82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111"/>
      <c r="S947" s="111"/>
      <c r="T947" s="111"/>
      <c r="U947" s="111"/>
      <c r="V947" s="111"/>
      <c r="W947" s="111"/>
      <c r="X947" s="111"/>
      <c r="Y947" s="111"/>
      <c r="Z947" s="149"/>
    </row>
    <row r="948" spans="1:26" s="69" customFormat="1" x14ac:dyDescent="0.25">
      <c r="A948" s="81"/>
      <c r="B948" s="81"/>
      <c r="C948" s="81"/>
      <c r="D948" s="82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111"/>
      <c r="S948" s="111"/>
      <c r="T948" s="111"/>
      <c r="U948" s="111"/>
      <c r="V948" s="111"/>
      <c r="W948" s="111"/>
      <c r="X948" s="111"/>
      <c r="Y948" s="111"/>
      <c r="Z948" s="149"/>
    </row>
    <row r="949" spans="1:26" s="69" customFormat="1" x14ac:dyDescent="0.25">
      <c r="A949" s="81"/>
      <c r="B949" s="81"/>
      <c r="C949" s="81"/>
      <c r="D949" s="82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111"/>
      <c r="S949" s="111"/>
      <c r="T949" s="111"/>
      <c r="U949" s="111"/>
      <c r="V949" s="111"/>
      <c r="W949" s="111"/>
      <c r="X949" s="111"/>
      <c r="Y949" s="111"/>
      <c r="Z949" s="149"/>
    </row>
    <row r="950" spans="1:26" s="69" customFormat="1" x14ac:dyDescent="0.25">
      <c r="A950" s="81"/>
      <c r="B950" s="81"/>
      <c r="C950" s="81"/>
      <c r="D950" s="82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111"/>
      <c r="S950" s="111"/>
      <c r="T950" s="111"/>
      <c r="U950" s="111"/>
      <c r="V950" s="111"/>
      <c r="W950" s="111"/>
      <c r="X950" s="111"/>
      <c r="Y950" s="111"/>
      <c r="Z950" s="149"/>
    </row>
    <row r="951" spans="1:26" s="69" customFormat="1" x14ac:dyDescent="0.25">
      <c r="A951" s="81"/>
      <c r="B951" s="81"/>
      <c r="C951" s="81"/>
      <c r="D951" s="82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111"/>
      <c r="S951" s="111"/>
      <c r="T951" s="111"/>
      <c r="U951" s="111"/>
      <c r="V951" s="111"/>
      <c r="W951" s="111"/>
      <c r="X951" s="111"/>
      <c r="Y951" s="111"/>
      <c r="Z951" s="149"/>
    </row>
    <row r="952" spans="1:26" s="69" customFormat="1" x14ac:dyDescent="0.25">
      <c r="A952" s="81"/>
      <c r="B952" s="81"/>
      <c r="C952" s="81"/>
      <c r="D952" s="82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111"/>
      <c r="S952" s="111"/>
      <c r="T952" s="111"/>
      <c r="U952" s="111"/>
      <c r="V952" s="111"/>
      <c r="W952" s="111"/>
      <c r="X952" s="111"/>
      <c r="Y952" s="111"/>
      <c r="Z952" s="149"/>
    </row>
  </sheetData>
  <mergeCells count="38">
    <mergeCell ref="Z259:Z308"/>
    <mergeCell ref="Z1:Z51"/>
    <mergeCell ref="Z52:Z108"/>
    <mergeCell ref="Z109:Z159"/>
    <mergeCell ref="Z160:Z207"/>
    <mergeCell ref="Z208:Z258"/>
    <mergeCell ref="K11:K14"/>
    <mergeCell ref="A9:Y9"/>
    <mergeCell ref="E12:G12"/>
    <mergeCell ref="H12:J12"/>
    <mergeCell ref="Y11:Y14"/>
    <mergeCell ref="L11:W11"/>
    <mergeCell ref="T13:T14"/>
    <mergeCell ref="U13:V13"/>
    <mergeCell ref="W13:W14"/>
    <mergeCell ref="L12:Q12"/>
    <mergeCell ref="R12:W12"/>
    <mergeCell ref="X11:X14"/>
    <mergeCell ref="R13:R14"/>
    <mergeCell ref="Q13:Q14"/>
    <mergeCell ref="M13:M14"/>
    <mergeCell ref="S13:S14"/>
    <mergeCell ref="S2:Y2"/>
    <mergeCell ref="S3:Y3"/>
    <mergeCell ref="S4:Y4"/>
    <mergeCell ref="P305:T305"/>
    <mergeCell ref="A11:A14"/>
    <mergeCell ref="E13:E14"/>
    <mergeCell ref="O13:P13"/>
    <mergeCell ref="D11:D14"/>
    <mergeCell ref="C11:C14"/>
    <mergeCell ref="B11:B14"/>
    <mergeCell ref="L13:L14"/>
    <mergeCell ref="F13:G13"/>
    <mergeCell ref="H13:H14"/>
    <mergeCell ref="N13:N14"/>
    <mergeCell ref="I13:J13"/>
    <mergeCell ref="E11:J11"/>
  </mergeCells>
  <phoneticPr fontId="2" type="noConversion"/>
  <printOptions horizontalCentered="1"/>
  <pageMargins left="0.31496062992125984" right="0.31496062992125984" top="0.74803149606299213" bottom="0.39370078740157483" header="0.31496062992125984" footer="0.19685039370078741"/>
  <pageSetup paperSize="9" scale="32" fitToHeight="100" orientation="landscape" useFirstPageNumber="1" horizontalDpi="300" verticalDpi="300" r:id="rId1"/>
  <headerFooter scaleWithDoc="0" alignWithMargins="0">
    <oddFooter>&amp;RСторінка &amp;P</oddFooter>
  </headerFooter>
  <rowBreaks count="1" manualBreakCount="1">
    <brk id="256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0"/>
  <sheetViews>
    <sheetView showGridLines="0" showZeros="0" tabSelected="1" view="pageBreakPreview" topLeftCell="A13" zoomScale="60" zoomScaleNormal="40" workbookViewId="0">
      <pane xSplit="3" topLeftCell="D1" activePane="topRight" state="frozenSplit"/>
      <selection activeCell="A15" sqref="A15"/>
      <selection pane="topRight" activeCell="R1" sqref="R1:R1048576"/>
    </sheetView>
  </sheetViews>
  <sheetFormatPr defaultColWidth="9.1640625" defaultRowHeight="15.75" x14ac:dyDescent="0.25"/>
  <cols>
    <col min="1" max="1" width="19.1640625" style="3" customWidth="1"/>
    <col min="2" max="2" width="20.33203125" style="1" customWidth="1"/>
    <col min="3" max="3" width="69" style="16" customWidth="1"/>
    <col min="4" max="4" width="21" style="112" customWidth="1"/>
    <col min="5" max="5" width="19.33203125" style="112" customWidth="1"/>
    <col min="6" max="6" width="23.33203125" style="112" customWidth="1"/>
    <col min="7" max="7" width="19.33203125" style="216" customWidth="1"/>
    <col min="8" max="8" width="19.6640625" style="112" customWidth="1"/>
    <col min="9" max="9" width="20.6640625" style="112" customWidth="1"/>
    <col min="10" max="10" width="11" style="112" customWidth="1"/>
    <col min="11" max="11" width="20" style="112" customWidth="1"/>
    <col min="12" max="12" width="26" style="112" customWidth="1"/>
    <col min="13" max="13" width="18.6640625" style="112" customWidth="1"/>
    <col min="14" max="14" width="16.33203125" style="112" customWidth="1"/>
    <col min="15" max="15" width="16.6640625" style="112" customWidth="1"/>
    <col min="16" max="16" width="20.5" style="112" customWidth="1"/>
    <col min="17" max="17" width="18" style="239" customWidth="1"/>
    <col min="18" max="18" width="17.83203125" style="239" customWidth="1"/>
    <col min="19" max="19" width="17.6640625" style="112" customWidth="1"/>
    <col min="20" max="20" width="16.6640625" style="112" customWidth="1"/>
    <col min="21" max="21" width="18.1640625" style="112" customWidth="1"/>
    <col min="22" max="22" width="18" style="112" customWidth="1"/>
    <col min="23" max="23" width="13" style="114" customWidth="1"/>
    <col min="24" max="24" width="24.83203125" style="112" customWidth="1"/>
    <col min="25" max="25" width="9.5" style="153" customWidth="1"/>
    <col min="26" max="16384" width="9.1640625" style="2"/>
  </cols>
  <sheetData>
    <row r="1" spans="1:25" ht="35.25" customHeight="1" x14ac:dyDescent="0.25">
      <c r="A1" s="9"/>
      <c r="M1" s="76"/>
      <c r="N1" s="76"/>
      <c r="O1" s="76"/>
      <c r="P1" s="76"/>
      <c r="Q1" s="236" t="s">
        <v>609</v>
      </c>
      <c r="R1" s="240"/>
      <c r="S1" s="179"/>
      <c r="T1" s="179"/>
      <c r="U1" s="179"/>
      <c r="V1" s="144"/>
      <c r="W1" s="144"/>
      <c r="X1" s="144"/>
      <c r="Y1" s="214"/>
    </row>
    <row r="2" spans="1:25" ht="38.25" customHeight="1" x14ac:dyDescent="0.25">
      <c r="A2" s="9"/>
      <c r="M2" s="76"/>
      <c r="N2" s="76"/>
      <c r="O2" s="76"/>
      <c r="P2" s="76"/>
      <c r="Q2" s="190" t="s">
        <v>603</v>
      </c>
      <c r="R2" s="190"/>
      <c r="S2" s="190"/>
      <c r="T2" s="190"/>
      <c r="U2" s="190"/>
      <c r="V2" s="190"/>
      <c r="W2" s="190"/>
      <c r="X2" s="144"/>
      <c r="Y2" s="214"/>
    </row>
    <row r="3" spans="1:25" ht="38.25" customHeight="1" x14ac:dyDescent="0.25">
      <c r="A3" s="9"/>
      <c r="M3" s="76"/>
      <c r="N3" s="76"/>
      <c r="O3" s="76"/>
      <c r="P3" s="76"/>
      <c r="Q3" s="191" t="s">
        <v>604</v>
      </c>
      <c r="R3" s="191"/>
      <c r="S3" s="191"/>
      <c r="T3" s="191"/>
      <c r="U3" s="191"/>
      <c r="V3" s="191"/>
      <c r="W3" s="191"/>
      <c r="X3" s="144"/>
      <c r="Y3" s="214"/>
    </row>
    <row r="4" spans="1:25" ht="38.25" customHeight="1" x14ac:dyDescent="0.25">
      <c r="A4" s="9"/>
      <c r="M4" s="76"/>
      <c r="N4" s="76"/>
      <c r="O4" s="76"/>
      <c r="P4" s="76"/>
      <c r="Q4" s="191" t="s">
        <v>602</v>
      </c>
      <c r="R4" s="191"/>
      <c r="S4" s="191"/>
      <c r="T4" s="191"/>
      <c r="U4" s="191"/>
      <c r="V4" s="191"/>
      <c r="W4" s="191"/>
      <c r="X4" s="144"/>
      <c r="Y4" s="214"/>
    </row>
    <row r="5" spans="1:25" ht="38.25" customHeight="1" x14ac:dyDescent="0.25">
      <c r="A5" s="9"/>
      <c r="M5" s="210"/>
      <c r="N5" s="210"/>
      <c r="O5" s="210"/>
      <c r="P5" s="210"/>
      <c r="Q5" s="236" t="s">
        <v>610</v>
      </c>
      <c r="R5" s="236"/>
      <c r="S5" s="179"/>
      <c r="T5" s="179"/>
      <c r="U5" s="179"/>
      <c r="V5" s="144"/>
      <c r="W5" s="144"/>
      <c r="X5" s="144"/>
      <c r="Y5" s="214"/>
    </row>
    <row r="6" spans="1:25" ht="26.25" customHeight="1" x14ac:dyDescent="0.4">
      <c r="A6" s="9"/>
      <c r="M6" s="76"/>
      <c r="N6" s="76"/>
      <c r="O6" s="76"/>
      <c r="P6" s="76"/>
      <c r="Q6" s="237"/>
      <c r="R6" s="241"/>
      <c r="S6" s="139"/>
      <c r="T6" s="138"/>
      <c r="U6" s="138"/>
      <c r="V6" s="76"/>
      <c r="W6" s="111"/>
      <c r="Y6" s="214"/>
    </row>
    <row r="7" spans="1:25" ht="26.25" customHeight="1" x14ac:dyDescent="0.25">
      <c r="A7" s="9"/>
      <c r="M7" s="210"/>
      <c r="N7" s="210"/>
      <c r="O7" s="210"/>
      <c r="P7" s="210"/>
      <c r="Q7" s="208"/>
      <c r="R7" s="208"/>
      <c r="S7" s="208"/>
      <c r="T7" s="208"/>
      <c r="U7" s="140"/>
      <c r="Y7" s="214"/>
    </row>
    <row r="8" spans="1:25" x14ac:dyDescent="0.25">
      <c r="A8" s="9"/>
      <c r="Q8" s="238"/>
      <c r="S8" s="113"/>
      <c r="Y8" s="214"/>
    </row>
    <row r="9" spans="1:25" s="143" customFormat="1" ht="27.75" x14ac:dyDescent="0.4">
      <c r="A9" s="200" t="s">
        <v>598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14"/>
    </row>
    <row r="10" spans="1:25" s="34" customFormat="1" ht="24" customHeight="1" x14ac:dyDescent="0.3">
      <c r="A10" s="31"/>
      <c r="B10" s="32"/>
      <c r="C10" s="33"/>
      <c r="D10" s="32"/>
      <c r="E10" s="32"/>
      <c r="F10" s="32"/>
      <c r="G10" s="217"/>
      <c r="H10" s="32"/>
      <c r="I10" s="32"/>
      <c r="J10" s="32"/>
      <c r="K10" s="32"/>
      <c r="L10" s="32"/>
      <c r="M10" s="32"/>
      <c r="N10" s="32"/>
      <c r="O10" s="32"/>
      <c r="P10" s="32"/>
      <c r="Q10" s="239"/>
      <c r="R10" s="239"/>
      <c r="S10" s="32"/>
      <c r="T10" s="32"/>
      <c r="U10" s="32"/>
      <c r="V10" s="32"/>
      <c r="W10" s="141" t="s">
        <v>303</v>
      </c>
      <c r="X10" s="32"/>
      <c r="Y10" s="214"/>
    </row>
    <row r="11" spans="1:25" s="11" customFormat="1" ht="21.75" customHeight="1" x14ac:dyDescent="0.25">
      <c r="A11" s="207" t="s">
        <v>557</v>
      </c>
      <c r="B11" s="207" t="s">
        <v>558</v>
      </c>
      <c r="C11" s="207" t="s">
        <v>560</v>
      </c>
      <c r="D11" s="211" t="s">
        <v>594</v>
      </c>
      <c r="E11" s="212"/>
      <c r="F11" s="212"/>
      <c r="G11" s="212"/>
      <c r="H11" s="212"/>
      <c r="I11" s="213"/>
      <c r="J11" s="197" t="s">
        <v>591</v>
      </c>
      <c r="K11" s="211" t="s">
        <v>296</v>
      </c>
      <c r="L11" s="212"/>
      <c r="M11" s="212"/>
      <c r="N11" s="212"/>
      <c r="O11" s="212"/>
      <c r="P11" s="213"/>
      <c r="Q11" s="211" t="s">
        <v>296</v>
      </c>
      <c r="R11" s="212"/>
      <c r="S11" s="212"/>
      <c r="T11" s="212"/>
      <c r="U11" s="212"/>
      <c r="V11" s="213"/>
      <c r="W11" s="197" t="s">
        <v>591</v>
      </c>
      <c r="X11" s="201" t="s">
        <v>297</v>
      </c>
      <c r="Y11" s="214"/>
    </row>
    <row r="12" spans="1:25" s="11" customFormat="1" ht="39" customHeight="1" x14ac:dyDescent="0.25">
      <c r="A12" s="207"/>
      <c r="B12" s="207"/>
      <c r="C12" s="207"/>
      <c r="D12" s="193" t="s">
        <v>593</v>
      </c>
      <c r="E12" s="193"/>
      <c r="F12" s="193"/>
      <c r="G12" s="194" t="s">
        <v>592</v>
      </c>
      <c r="H12" s="195"/>
      <c r="I12" s="196"/>
      <c r="J12" s="198"/>
      <c r="K12" s="194" t="s">
        <v>593</v>
      </c>
      <c r="L12" s="195"/>
      <c r="M12" s="195"/>
      <c r="N12" s="195"/>
      <c r="O12" s="195"/>
      <c r="P12" s="196"/>
      <c r="Q12" s="194" t="s">
        <v>592</v>
      </c>
      <c r="R12" s="195"/>
      <c r="S12" s="195"/>
      <c r="T12" s="195"/>
      <c r="U12" s="195"/>
      <c r="V12" s="196"/>
      <c r="W12" s="198"/>
      <c r="X12" s="201"/>
      <c r="Y12" s="214"/>
    </row>
    <row r="13" spans="1:25" s="11" customFormat="1" ht="29.25" customHeight="1" x14ac:dyDescent="0.25">
      <c r="A13" s="207"/>
      <c r="B13" s="207"/>
      <c r="C13" s="207"/>
      <c r="D13" s="209" t="s">
        <v>559</v>
      </c>
      <c r="E13" s="212" t="s">
        <v>299</v>
      </c>
      <c r="F13" s="213"/>
      <c r="G13" s="231" t="s">
        <v>559</v>
      </c>
      <c r="H13" s="193" t="s">
        <v>299</v>
      </c>
      <c r="I13" s="193"/>
      <c r="J13" s="198"/>
      <c r="K13" s="209" t="s">
        <v>559</v>
      </c>
      <c r="L13" s="197" t="s">
        <v>596</v>
      </c>
      <c r="M13" s="209" t="s">
        <v>298</v>
      </c>
      <c r="N13" s="209" t="s">
        <v>299</v>
      </c>
      <c r="O13" s="209"/>
      <c r="P13" s="209" t="s">
        <v>300</v>
      </c>
      <c r="Q13" s="218" t="s">
        <v>559</v>
      </c>
      <c r="R13" s="242" t="s">
        <v>596</v>
      </c>
      <c r="S13" s="209" t="s">
        <v>298</v>
      </c>
      <c r="T13" s="209" t="s">
        <v>299</v>
      </c>
      <c r="U13" s="209"/>
      <c r="V13" s="209" t="s">
        <v>300</v>
      </c>
      <c r="W13" s="198"/>
      <c r="X13" s="201"/>
      <c r="Y13" s="214"/>
    </row>
    <row r="14" spans="1:25" s="11" customFormat="1" ht="75.75" customHeight="1" x14ac:dyDescent="0.25">
      <c r="A14" s="207"/>
      <c r="B14" s="207"/>
      <c r="C14" s="207"/>
      <c r="D14" s="209"/>
      <c r="E14" s="125" t="s">
        <v>301</v>
      </c>
      <c r="F14" s="125" t="s">
        <v>302</v>
      </c>
      <c r="G14" s="231"/>
      <c r="H14" s="123" t="s">
        <v>301</v>
      </c>
      <c r="I14" s="123" t="s">
        <v>302</v>
      </c>
      <c r="J14" s="199"/>
      <c r="K14" s="209"/>
      <c r="L14" s="199"/>
      <c r="M14" s="209"/>
      <c r="N14" s="125" t="s">
        <v>301</v>
      </c>
      <c r="O14" s="125" t="s">
        <v>302</v>
      </c>
      <c r="P14" s="209"/>
      <c r="Q14" s="218"/>
      <c r="R14" s="243"/>
      <c r="S14" s="209"/>
      <c r="T14" s="125" t="s">
        <v>301</v>
      </c>
      <c r="U14" s="125" t="s">
        <v>302</v>
      </c>
      <c r="V14" s="209"/>
      <c r="W14" s="199"/>
      <c r="X14" s="201"/>
      <c r="Y14" s="214"/>
    </row>
    <row r="15" spans="1:25" s="11" customFormat="1" ht="27.75" customHeight="1" x14ac:dyDescent="0.25">
      <c r="A15" s="12" t="s">
        <v>67</v>
      </c>
      <c r="B15" s="14"/>
      <c r="C15" s="15" t="s">
        <v>68</v>
      </c>
      <c r="D15" s="83">
        <f>D16+D17</f>
        <v>221994300</v>
      </c>
      <c r="E15" s="83">
        <f t="shared" ref="E15:P15" si="0">E16+E17</f>
        <v>168397747</v>
      </c>
      <c r="F15" s="83">
        <f t="shared" si="0"/>
        <v>4418539</v>
      </c>
      <c r="G15" s="219">
        <f t="shared" ref="G15:I15" si="1">G16+G17</f>
        <v>48964073.899999999</v>
      </c>
      <c r="H15" s="83">
        <f t="shared" si="1"/>
        <v>37779414.969999999</v>
      </c>
      <c r="I15" s="83">
        <f t="shared" si="1"/>
        <v>1225972.8600000001</v>
      </c>
      <c r="J15" s="133">
        <f>SUM(G15/D15)*100</f>
        <v>22.056455458541052</v>
      </c>
      <c r="K15" s="83">
        <f t="shared" si="0"/>
        <v>6977000</v>
      </c>
      <c r="L15" s="83">
        <f t="shared" ref="L15" si="2">L16+L17</f>
        <v>3977000</v>
      </c>
      <c r="M15" s="83">
        <f t="shared" si="0"/>
        <v>3000000</v>
      </c>
      <c r="N15" s="83">
        <f t="shared" si="0"/>
        <v>2217000</v>
      </c>
      <c r="O15" s="83">
        <f t="shared" si="0"/>
        <v>90900</v>
      </c>
      <c r="P15" s="83">
        <f t="shared" si="0"/>
        <v>3977000</v>
      </c>
      <c r="Q15" s="219">
        <f t="shared" ref="Q15:V15" si="3">Q16+Q17</f>
        <v>2412697.66</v>
      </c>
      <c r="R15" s="219">
        <f t="shared" ref="R15" si="4">R16+R17</f>
        <v>1070516.33</v>
      </c>
      <c r="S15" s="83">
        <f t="shared" si="3"/>
        <v>1342181.33</v>
      </c>
      <c r="T15" s="83">
        <f t="shared" si="3"/>
        <v>1044123.64</v>
      </c>
      <c r="U15" s="83">
        <f t="shared" si="3"/>
        <v>36824.61</v>
      </c>
      <c r="V15" s="83">
        <f t="shared" si="3"/>
        <v>1070516.33</v>
      </c>
      <c r="W15" s="133">
        <f>SUM(Q15/K15)*100</f>
        <v>34.580731833166119</v>
      </c>
      <c r="X15" s="83">
        <f>SUM(Q15+G15)</f>
        <v>51376771.560000002</v>
      </c>
      <c r="Y15" s="214"/>
    </row>
    <row r="16" spans="1:25" ht="57.75" customHeight="1" x14ac:dyDescent="0.25">
      <c r="A16" s="101" t="s">
        <v>153</v>
      </c>
      <c r="B16" s="101" t="s">
        <v>70</v>
      </c>
      <c r="C16" s="10" t="s">
        <v>154</v>
      </c>
      <c r="D16" s="84">
        <f>'дод 2 '!E17+'дод 2 '!E56+'дод 2 '!E85+'дод 2 '!E119+'дод 2 '!E190+'дод 2 '!E198+'дод 2 '!E209+'дод 2 '!E236+'дод 2 '!E241+'дод 2 '!E268+'дод 2 '!E275+'дод 2 '!E278+'дод 2 '!E289</f>
        <v>221784300</v>
      </c>
      <c r="E16" s="84">
        <f>'дод 2 '!F17+'дод 2 '!F56+'дод 2 '!F85+'дод 2 '!F119+'дод 2 '!F190+'дод 2 '!F198+'дод 2 '!F209+'дод 2 '!F236+'дод 2 '!F241+'дод 2 '!F268+'дод 2 '!F275+'дод 2 '!F278+'дод 2 '!F289</f>
        <v>168397747</v>
      </c>
      <c r="F16" s="84">
        <f>'дод 2 '!G17+'дод 2 '!G56+'дод 2 '!G85+'дод 2 '!G119+'дод 2 '!G190+'дод 2 '!G198+'дод 2 '!G209+'дод 2 '!G236+'дод 2 '!G241+'дод 2 '!G268+'дод 2 '!G275+'дод 2 '!G278+'дод 2 '!G289</f>
        <v>4418539</v>
      </c>
      <c r="G16" s="220">
        <f>'дод 2 '!H17+'дод 2 '!H56+'дод 2 '!H85+'дод 2 '!H119+'дод 2 '!H190+'дод 2 '!H198+'дод 2 '!H209+'дод 2 '!H236+'дод 2 '!H241+'дод 2 '!H268+'дод 2 '!H275+'дод 2 '!H278+'дод 2 '!H289</f>
        <v>48943603.899999999</v>
      </c>
      <c r="H16" s="84">
        <f>'дод 2 '!I17+'дод 2 '!I56+'дод 2 '!I85+'дод 2 '!I119+'дод 2 '!I190+'дод 2 '!I198+'дод 2 '!I209+'дод 2 '!I236+'дод 2 '!I241+'дод 2 '!I268+'дод 2 '!I275+'дод 2 '!I278+'дод 2 '!I289</f>
        <v>37779414.969999999</v>
      </c>
      <c r="I16" s="84">
        <f>'дод 2 '!J17+'дод 2 '!J56+'дод 2 '!J85+'дод 2 '!J119+'дод 2 '!J190+'дод 2 '!J198+'дод 2 '!J209+'дод 2 '!J236+'дод 2 '!J241+'дод 2 '!J268+'дод 2 '!J275+'дод 2 '!J278+'дод 2 '!J289</f>
        <v>1225972.8600000001</v>
      </c>
      <c r="J16" s="134">
        <f t="shared" ref="J16:J79" si="5">SUM(G16/D16)*100</f>
        <v>22.068110276516418</v>
      </c>
      <c r="K16" s="84">
        <f>'дод 2 '!L17+'дод 2 '!L56+'дод 2 '!L85+'дод 2 '!L119+'дод 2 '!L190+'дод 2 '!L198+'дод 2 '!L209+'дод 2 '!L236+'дод 2 '!L241+'дод 2 '!L268+'дод 2 '!L275+'дод 2 '!L278+'дод 2 '!L289</f>
        <v>6977000</v>
      </c>
      <c r="L16" s="84">
        <f>'дод 2 '!M17+'дод 2 '!M56+'дод 2 '!M85+'дод 2 '!M119+'дод 2 '!M190+'дод 2 '!M198+'дод 2 '!M209+'дод 2 '!M236+'дод 2 '!M241+'дод 2 '!M268+'дод 2 '!M275+'дод 2 '!M278+'дод 2 '!M289</f>
        <v>3977000</v>
      </c>
      <c r="M16" s="84">
        <f>'дод 2 '!N17+'дод 2 '!N56+'дод 2 '!N85+'дод 2 '!N119+'дод 2 '!N190+'дод 2 '!N198+'дод 2 '!N209+'дод 2 '!N236+'дод 2 '!N241+'дод 2 '!N268+'дод 2 '!N275+'дод 2 '!N278+'дод 2 '!N289</f>
        <v>3000000</v>
      </c>
      <c r="N16" s="84">
        <f>'дод 2 '!O17+'дод 2 '!O56+'дод 2 '!O85+'дод 2 '!O119+'дод 2 '!O190+'дод 2 '!O198+'дод 2 '!O209+'дод 2 '!O236+'дод 2 '!O241+'дод 2 '!O268+'дод 2 '!O275+'дод 2 '!O278+'дод 2 '!O289</f>
        <v>2217000</v>
      </c>
      <c r="O16" s="84">
        <f>'дод 2 '!P17+'дод 2 '!P56+'дод 2 '!P85+'дод 2 '!P119+'дод 2 '!P190+'дод 2 '!P198+'дод 2 '!P209+'дод 2 '!P236+'дод 2 '!P241+'дод 2 '!P268+'дод 2 '!P275+'дод 2 '!P278+'дод 2 '!P289</f>
        <v>90900</v>
      </c>
      <c r="P16" s="84">
        <f>'дод 2 '!Q17+'дод 2 '!Q56+'дод 2 '!Q85+'дод 2 '!Q119+'дод 2 '!Q190+'дод 2 '!Q198+'дод 2 '!Q209+'дод 2 '!Q236+'дод 2 '!Q241+'дод 2 '!Q268+'дод 2 '!Q275+'дод 2 '!Q278+'дод 2 '!Q289</f>
        <v>3977000</v>
      </c>
      <c r="Q16" s="220">
        <f>'дод 2 '!R17+'дод 2 '!R56+'дод 2 '!R85+'дод 2 '!R119+'дод 2 '!R190+'дод 2 '!R198+'дод 2 '!R209+'дод 2 '!R236+'дод 2 '!R241+'дод 2 '!R268+'дод 2 '!R275+'дод 2 '!R278+'дод 2 '!R289</f>
        <v>2412697.66</v>
      </c>
      <c r="R16" s="220">
        <f>'дод 2 '!S17+'дод 2 '!S56+'дод 2 '!S85+'дод 2 '!S119+'дод 2 '!S190+'дод 2 '!S198+'дод 2 '!S209+'дод 2 '!S236+'дод 2 '!S241+'дод 2 '!S268+'дод 2 '!S275+'дод 2 '!S278+'дод 2 '!S289</f>
        <v>1070516.33</v>
      </c>
      <c r="S16" s="84">
        <f>'дод 2 '!T17+'дод 2 '!T56+'дод 2 '!T85+'дод 2 '!T119+'дод 2 '!T190+'дод 2 '!T198+'дод 2 '!T209+'дод 2 '!T236+'дод 2 '!T241+'дод 2 '!T268+'дод 2 '!T275+'дод 2 '!T278+'дод 2 '!T289</f>
        <v>1342181.33</v>
      </c>
      <c r="T16" s="84">
        <f>'дод 2 '!U17+'дод 2 '!U56+'дод 2 '!T85+'дод 2 '!U119+'дод 2 '!U190+'дод 2 '!U198+'дод 2 '!U209+'дод 2 '!U236+'дод 2 '!U241+'дод 2 '!U268+'дод 2 '!U275+'дод 2 '!U278+'дод 2 '!U289</f>
        <v>1044123.64</v>
      </c>
      <c r="U16" s="84">
        <f>'дод 2 '!V17+'дод 2 '!V56+'дод 2 '!V85+'дод 2 '!V119+'дод 2 '!V190+'дод 2 '!V198+'дод 2 '!V209+'дод 2 '!V236+'дод 2 '!V241+'дод 2 '!V268+'дод 2 '!V275+'дод 2 '!V278+'дод 2 '!V289</f>
        <v>36824.61</v>
      </c>
      <c r="V16" s="84">
        <f>'дод 2 '!W17+'дод 2 '!W56+'дод 2 '!W85+'дод 2 '!W119+'дод 2 '!W190+'дод 2 '!W198+'дод 2 '!W209+'дод 2 '!W236+'дод 2 '!W241+'дод 2 '!W268+'дод 2 '!W275+'дод 2 '!W278+'дод 2 '!W289</f>
        <v>1070516.33</v>
      </c>
      <c r="W16" s="134">
        <f t="shared" ref="W16:W69" si="6">SUM(Q16/K16)*100</f>
        <v>34.580731833166119</v>
      </c>
      <c r="X16" s="84">
        <f t="shared" ref="X16:X79" si="7">SUM(Q16+G16)</f>
        <v>51356301.560000002</v>
      </c>
      <c r="Y16" s="214"/>
    </row>
    <row r="17" spans="1:25" ht="27" customHeight="1" x14ac:dyDescent="0.25">
      <c r="A17" s="101" t="s">
        <v>69</v>
      </c>
      <c r="B17" s="101" t="s">
        <v>126</v>
      </c>
      <c r="C17" s="10" t="s">
        <v>316</v>
      </c>
      <c r="D17" s="84">
        <f>'дод 2 '!E18</f>
        <v>210000</v>
      </c>
      <c r="E17" s="84">
        <f>'дод 2 '!F18</f>
        <v>0</v>
      </c>
      <c r="F17" s="84">
        <f>'дод 2 '!G18</f>
        <v>0</v>
      </c>
      <c r="G17" s="220">
        <f>'дод 2 '!H18</f>
        <v>20470</v>
      </c>
      <c r="H17" s="84">
        <f>'дод 2 '!I18</f>
        <v>0</v>
      </c>
      <c r="I17" s="84">
        <f>'дод 2 '!J18</f>
        <v>0</v>
      </c>
      <c r="J17" s="134">
        <f t="shared" si="5"/>
        <v>9.7476190476190485</v>
      </c>
      <c r="K17" s="84">
        <f>'дод 2 '!L18</f>
        <v>0</v>
      </c>
      <c r="L17" s="84">
        <f>'дод 2 '!M18</f>
        <v>0</v>
      </c>
      <c r="M17" s="84">
        <f>'дод 2 '!N18</f>
        <v>0</v>
      </c>
      <c r="N17" s="84">
        <f>'дод 2 '!O18</f>
        <v>0</v>
      </c>
      <c r="O17" s="84">
        <f>'дод 2 '!P18</f>
        <v>0</v>
      </c>
      <c r="P17" s="84">
        <f>'дод 2 '!Q18</f>
        <v>0</v>
      </c>
      <c r="Q17" s="220">
        <f>'дод 2 '!R18</f>
        <v>0</v>
      </c>
      <c r="R17" s="220">
        <f>'дод 2 '!S18</f>
        <v>0</v>
      </c>
      <c r="S17" s="84">
        <f>'дод 2 '!T18</f>
        <v>0</v>
      </c>
      <c r="T17" s="84">
        <f>'дод 2 '!U18</f>
        <v>0</v>
      </c>
      <c r="U17" s="84">
        <f>'дод 2 '!V18</f>
        <v>0</v>
      </c>
      <c r="V17" s="84">
        <f>'дод 2 '!W18</f>
        <v>0</v>
      </c>
      <c r="W17" s="134"/>
      <c r="X17" s="84">
        <f t="shared" si="7"/>
        <v>20470</v>
      </c>
      <c r="Y17" s="214"/>
    </row>
    <row r="18" spans="1:25" s="11" customFormat="1" ht="24" customHeight="1" x14ac:dyDescent="0.25">
      <c r="A18" s="102" t="s">
        <v>71</v>
      </c>
      <c r="B18" s="103"/>
      <c r="C18" s="15" t="s">
        <v>72</v>
      </c>
      <c r="D18" s="83">
        <f>D20+D21+D23+D25+D27+D28+D29+D31+D32+D34+D35</f>
        <v>864632608</v>
      </c>
      <c r="E18" s="83">
        <f t="shared" ref="E18:P18" si="8">E20+E21+E23+E25+E27+E28+E29+E31+E32+E34+E35</f>
        <v>574739187</v>
      </c>
      <c r="F18" s="83">
        <f t="shared" si="8"/>
        <v>80845168</v>
      </c>
      <c r="G18" s="219">
        <f t="shared" ref="G18:I18" si="9">G20+G21+G23+G25+G27+G28+G29+G31+G32+G34+G35</f>
        <v>210142466.63</v>
      </c>
      <c r="H18" s="83">
        <f t="shared" si="9"/>
        <v>132830314.78000002</v>
      </c>
      <c r="I18" s="83">
        <f t="shared" si="9"/>
        <v>29292802.510000002</v>
      </c>
      <c r="J18" s="133">
        <f t="shared" si="5"/>
        <v>24.304249537394266</v>
      </c>
      <c r="K18" s="83">
        <f t="shared" si="8"/>
        <v>68113017.060000002</v>
      </c>
      <c r="L18" s="83">
        <f t="shared" ref="L18" si="10">L20+L21+L23+L25+L27+L28+L29+L31+L32+L34+L35</f>
        <v>22632598.060000002</v>
      </c>
      <c r="M18" s="83">
        <f t="shared" si="8"/>
        <v>45358699</v>
      </c>
      <c r="N18" s="83">
        <f t="shared" si="8"/>
        <v>5498925</v>
      </c>
      <c r="O18" s="83">
        <f t="shared" si="8"/>
        <v>2628089</v>
      </c>
      <c r="P18" s="83">
        <f t="shared" si="8"/>
        <v>22754318.060000002</v>
      </c>
      <c r="Q18" s="219">
        <f t="shared" ref="Q18:V18" si="11">Q20+Q21+Q23+Q25+Q27+Q28+Q29+Q31+Q32+Q34+Q35</f>
        <v>14442695.659999996</v>
      </c>
      <c r="R18" s="219">
        <f t="shared" ref="R18" si="12">R20+R21+R23+R25+R27+R28+R29+R31+R32+R34+R35</f>
        <v>430575.19</v>
      </c>
      <c r="S18" s="83">
        <f t="shared" si="11"/>
        <v>13211072.869999999</v>
      </c>
      <c r="T18" s="83">
        <f t="shared" si="11"/>
        <v>1380746.25</v>
      </c>
      <c r="U18" s="83">
        <f t="shared" si="11"/>
        <v>727896.24</v>
      </c>
      <c r="V18" s="83">
        <f t="shared" si="11"/>
        <v>1231622.79</v>
      </c>
      <c r="W18" s="133">
        <f t="shared" si="6"/>
        <v>21.204016916880345</v>
      </c>
      <c r="X18" s="83">
        <f t="shared" si="7"/>
        <v>224585162.28999999</v>
      </c>
      <c r="Y18" s="214"/>
    </row>
    <row r="19" spans="1:25" s="13" customFormat="1" ht="24" customHeight="1" x14ac:dyDescent="0.25">
      <c r="A19" s="102"/>
      <c r="B19" s="103"/>
      <c r="C19" s="6" t="s">
        <v>344</v>
      </c>
      <c r="D19" s="83">
        <f>D22+D24+D26+D33+D30+D36</f>
        <v>314087246</v>
      </c>
      <c r="E19" s="83">
        <f t="shared" ref="E19:P19" si="13">E22+E24+E26+E33+E30+E36</f>
        <v>256919167</v>
      </c>
      <c r="F19" s="83">
        <f t="shared" si="13"/>
        <v>0</v>
      </c>
      <c r="G19" s="219">
        <f t="shared" ref="G19:I19" si="14">G22+G24+G26+G33+G30+G36</f>
        <v>71776112.840000004</v>
      </c>
      <c r="H19" s="83">
        <f t="shared" si="14"/>
        <v>58821450.240000002</v>
      </c>
      <c r="I19" s="83">
        <f t="shared" si="14"/>
        <v>0</v>
      </c>
      <c r="J19" s="133">
        <f t="shared" si="5"/>
        <v>22.85228507495653</v>
      </c>
      <c r="K19" s="83">
        <f t="shared" si="13"/>
        <v>3662786</v>
      </c>
      <c r="L19" s="83">
        <f t="shared" ref="L19" si="15">L22+L24+L26+L33+L30+L36</f>
        <v>3662786</v>
      </c>
      <c r="M19" s="83">
        <f t="shared" si="13"/>
        <v>0</v>
      </c>
      <c r="N19" s="83">
        <f t="shared" si="13"/>
        <v>0</v>
      </c>
      <c r="O19" s="83">
        <f t="shared" si="13"/>
        <v>0</v>
      </c>
      <c r="P19" s="83">
        <f t="shared" si="13"/>
        <v>3662786</v>
      </c>
      <c r="Q19" s="219">
        <f t="shared" ref="Q19:V19" si="16">Q22+Q24+Q26+Q33+Q30+Q36</f>
        <v>0</v>
      </c>
      <c r="R19" s="219">
        <f t="shared" ref="R19" si="17">R22+R24+R26+R33+R30+R36</f>
        <v>0</v>
      </c>
      <c r="S19" s="83">
        <f t="shared" si="16"/>
        <v>0</v>
      </c>
      <c r="T19" s="83">
        <f t="shared" si="16"/>
        <v>0</v>
      </c>
      <c r="U19" s="83">
        <f t="shared" si="16"/>
        <v>0</v>
      </c>
      <c r="V19" s="83">
        <f t="shared" si="16"/>
        <v>0</v>
      </c>
      <c r="W19" s="133">
        <f t="shared" si="6"/>
        <v>0</v>
      </c>
      <c r="X19" s="83">
        <f t="shared" si="7"/>
        <v>71776112.840000004</v>
      </c>
      <c r="Y19" s="214"/>
    </row>
    <row r="20" spans="1:25" ht="27" customHeight="1" x14ac:dyDescent="0.25">
      <c r="A20" s="101" t="s">
        <v>73</v>
      </c>
      <c r="B20" s="101" t="s">
        <v>74</v>
      </c>
      <c r="C20" s="10" t="s">
        <v>189</v>
      </c>
      <c r="D20" s="84">
        <f>'дод 2 '!E57</f>
        <v>213158120</v>
      </c>
      <c r="E20" s="84">
        <f>'дод 2 '!F57</f>
        <v>134790000</v>
      </c>
      <c r="F20" s="84">
        <f>'дод 2 '!G57</f>
        <v>25895944</v>
      </c>
      <c r="G20" s="220">
        <f>'дод 2 '!H57</f>
        <v>52900738.259999998</v>
      </c>
      <c r="H20" s="84">
        <f>'дод 2 '!I57</f>
        <v>31712835.719999999</v>
      </c>
      <c r="I20" s="84">
        <f>'дод 2 '!J57</f>
        <v>9332651.7200000007</v>
      </c>
      <c r="J20" s="134">
        <f t="shared" si="5"/>
        <v>24.817604067815946</v>
      </c>
      <c r="K20" s="84">
        <f>'дод 2 '!L57</f>
        <v>21663647</v>
      </c>
      <c r="L20" s="84">
        <f>SUM('дод 2 '!M57)</f>
        <v>5414336</v>
      </c>
      <c r="M20" s="84">
        <f>'дод 2 '!N57</f>
        <v>16249311</v>
      </c>
      <c r="N20" s="84">
        <f>'дод 2 '!O57</f>
        <v>0</v>
      </c>
      <c r="O20" s="84">
        <f>'дод 2 '!P57</f>
        <v>0</v>
      </c>
      <c r="P20" s="84">
        <f>'дод 2 '!Q57</f>
        <v>5414336</v>
      </c>
      <c r="Q20" s="220">
        <f>'дод 2 '!R57</f>
        <v>3683220.09</v>
      </c>
      <c r="R20" s="220">
        <f>'дод 2 '!S57</f>
        <v>125474</v>
      </c>
      <c r="S20" s="84">
        <f>'дод 2 '!T57</f>
        <v>3510546.09</v>
      </c>
      <c r="T20" s="84">
        <f>'дод 2 '!U57</f>
        <v>0</v>
      </c>
      <c r="U20" s="84">
        <f>'дод 2 '!V57</f>
        <v>0</v>
      </c>
      <c r="V20" s="84">
        <f>'дод 2 '!W57</f>
        <v>172674</v>
      </c>
      <c r="W20" s="134">
        <f t="shared" si="6"/>
        <v>17.001846872781854</v>
      </c>
      <c r="X20" s="84">
        <f t="shared" si="7"/>
        <v>56583958.349999994</v>
      </c>
      <c r="Y20" s="214"/>
    </row>
    <row r="21" spans="1:25" ht="71.25" customHeight="1" x14ac:dyDescent="0.25">
      <c r="A21" s="101" t="s">
        <v>75</v>
      </c>
      <c r="B21" s="101" t="s">
        <v>76</v>
      </c>
      <c r="C21" s="10" t="s">
        <v>479</v>
      </c>
      <c r="D21" s="84">
        <f>'дод 2 '!E58</f>
        <v>466631856</v>
      </c>
      <c r="E21" s="84">
        <f>'дод 2 '!F58</f>
        <v>319962983</v>
      </c>
      <c r="F21" s="84">
        <f>'дод 2 '!G58</f>
        <v>39271738</v>
      </c>
      <c r="G21" s="220">
        <f>'дод 2 '!H58</f>
        <v>113743322.55</v>
      </c>
      <c r="H21" s="84">
        <f>'дод 2 '!I58</f>
        <v>73884898.680000007</v>
      </c>
      <c r="I21" s="84">
        <f>'дод 2 '!J58</f>
        <v>14534571.83</v>
      </c>
      <c r="J21" s="134">
        <f t="shared" si="5"/>
        <v>24.375387382467949</v>
      </c>
      <c r="K21" s="84">
        <f>'дод 2 '!L58</f>
        <v>31925884.060000002</v>
      </c>
      <c r="L21" s="84">
        <f>'дод 2 '!M58</f>
        <v>12918862.060000001</v>
      </c>
      <c r="M21" s="84">
        <f>'дод 2 '!N58</f>
        <v>19007022</v>
      </c>
      <c r="N21" s="84">
        <f>'дод 2 '!O58</f>
        <v>939364</v>
      </c>
      <c r="O21" s="84">
        <f>'дод 2 '!P58</f>
        <v>38709</v>
      </c>
      <c r="P21" s="84">
        <f>'дод 2 '!Q58</f>
        <v>12918862.060000001</v>
      </c>
      <c r="Q21" s="220">
        <f>'дод 2 '!R58</f>
        <v>7637281.0199999996</v>
      </c>
      <c r="R21" s="220">
        <f>'дод 2 '!S58</f>
        <v>271701.19</v>
      </c>
      <c r="S21" s="84">
        <f>'дод 2 '!T58</f>
        <v>6814265.5800000001</v>
      </c>
      <c r="T21" s="84">
        <f>'дод 2 '!U58</f>
        <v>215709.7</v>
      </c>
      <c r="U21" s="84">
        <f>'дод 2 '!V58</f>
        <v>20548.13</v>
      </c>
      <c r="V21" s="84">
        <f>'дод 2 '!W58</f>
        <v>823015.44</v>
      </c>
      <c r="W21" s="134">
        <f t="shared" si="6"/>
        <v>23.921909274765433</v>
      </c>
      <c r="X21" s="84">
        <f t="shared" si="7"/>
        <v>121380603.56999999</v>
      </c>
      <c r="Y21" s="214"/>
    </row>
    <row r="22" spans="1:25" ht="28.5" customHeight="1" x14ac:dyDescent="0.25">
      <c r="A22" s="101"/>
      <c r="B22" s="101"/>
      <c r="C22" s="7" t="s">
        <v>344</v>
      </c>
      <c r="D22" s="84">
        <f>'дод 2 '!E59</f>
        <v>293780626</v>
      </c>
      <c r="E22" s="84">
        <f>'дод 2 '!F59</f>
        <v>240776103</v>
      </c>
      <c r="F22" s="84">
        <f>'дод 2 '!G59</f>
        <v>0</v>
      </c>
      <c r="G22" s="220">
        <f>'дод 2 '!H59</f>
        <v>67503678.219999999</v>
      </c>
      <c r="H22" s="84">
        <f>'дод 2 '!I59</f>
        <v>55326313.780000001</v>
      </c>
      <c r="I22" s="84">
        <f>'дод 2 '!J59</f>
        <v>0</v>
      </c>
      <c r="J22" s="134">
        <f t="shared" si="5"/>
        <v>22.977579951102697</v>
      </c>
      <c r="K22" s="84">
        <f>'дод 2 '!L59</f>
        <v>134786</v>
      </c>
      <c r="L22" s="84">
        <f>'дод 2 '!M59</f>
        <v>134786</v>
      </c>
      <c r="M22" s="84">
        <f>'дод 2 '!N59</f>
        <v>0</v>
      </c>
      <c r="N22" s="84">
        <f>'дод 2 '!O59</f>
        <v>0</v>
      </c>
      <c r="O22" s="84">
        <f>'дод 2 '!P59</f>
        <v>0</v>
      </c>
      <c r="P22" s="84">
        <f>'дод 2 '!Q59</f>
        <v>134786</v>
      </c>
      <c r="Q22" s="220">
        <f>'дод 2 '!R59</f>
        <v>0</v>
      </c>
      <c r="R22" s="220">
        <f>'дод 2 '!S59</f>
        <v>0</v>
      </c>
      <c r="S22" s="84">
        <f>'дод 2 '!T59</f>
        <v>0</v>
      </c>
      <c r="T22" s="84">
        <f>'дод 2 '!U59</f>
        <v>0</v>
      </c>
      <c r="U22" s="84">
        <f>'дод 2 '!V59</f>
        <v>0</v>
      </c>
      <c r="V22" s="84">
        <f>'дод 2 '!W59</f>
        <v>0</v>
      </c>
      <c r="W22" s="134">
        <f t="shared" si="6"/>
        <v>0</v>
      </c>
      <c r="X22" s="84">
        <f t="shared" si="7"/>
        <v>67503678.219999999</v>
      </c>
      <c r="Y22" s="214"/>
    </row>
    <row r="23" spans="1:25" ht="42.75" customHeight="1" x14ac:dyDescent="0.25">
      <c r="A23" s="101" t="s">
        <v>77</v>
      </c>
      <c r="B23" s="101" t="s">
        <v>76</v>
      </c>
      <c r="C23" s="10" t="s">
        <v>42</v>
      </c>
      <c r="D23" s="84">
        <f>'дод 2 '!E60</f>
        <v>946850</v>
      </c>
      <c r="E23" s="84">
        <f>'дод 2 '!F60</f>
        <v>775000</v>
      </c>
      <c r="F23" s="84">
        <f>'дод 2 '!G60</f>
        <v>0</v>
      </c>
      <c r="G23" s="220">
        <f>'дод 2 '!H60</f>
        <v>222699.79</v>
      </c>
      <c r="H23" s="84">
        <f>'дод 2 '!I60</f>
        <v>182540.82</v>
      </c>
      <c r="I23" s="84">
        <f>'дод 2 '!J60</f>
        <v>0</v>
      </c>
      <c r="J23" s="134">
        <f t="shared" si="5"/>
        <v>23.520070760944183</v>
      </c>
      <c r="K23" s="84">
        <f>'дод 2 '!L60</f>
        <v>0</v>
      </c>
      <c r="L23" s="84"/>
      <c r="M23" s="84">
        <f>'дод 2 '!N60</f>
        <v>0</v>
      </c>
      <c r="N23" s="84">
        <f>'дод 2 '!O60</f>
        <v>0</v>
      </c>
      <c r="O23" s="84">
        <f>'дод 2 '!P60</f>
        <v>0</v>
      </c>
      <c r="P23" s="84">
        <f>'дод 2 '!Q60</f>
        <v>0</v>
      </c>
      <c r="Q23" s="220">
        <f>'дод 2 '!R60</f>
        <v>4103.54</v>
      </c>
      <c r="R23" s="220">
        <f>'дод 2 '!S60</f>
        <v>0</v>
      </c>
      <c r="S23" s="84">
        <f>'дод 2 '!T60</f>
        <v>0</v>
      </c>
      <c r="T23" s="84">
        <f>'дод 2 '!U60</f>
        <v>0</v>
      </c>
      <c r="U23" s="84">
        <f>'дод 2 '!V60</f>
        <v>0</v>
      </c>
      <c r="V23" s="84">
        <f>'дод 2 '!W60</f>
        <v>4103.54</v>
      </c>
      <c r="W23" s="134"/>
      <c r="X23" s="84">
        <f t="shared" si="7"/>
        <v>226803.33000000002</v>
      </c>
      <c r="Y23" s="214"/>
    </row>
    <row r="24" spans="1:25" ht="24.75" customHeight="1" x14ac:dyDescent="0.25">
      <c r="A24" s="101"/>
      <c r="B24" s="101"/>
      <c r="C24" s="7" t="s">
        <v>344</v>
      </c>
      <c r="D24" s="84">
        <f>'дод 2 '!E61</f>
        <v>945500</v>
      </c>
      <c r="E24" s="84">
        <f>'дод 2 '!F61</f>
        <v>775000</v>
      </c>
      <c r="F24" s="84">
        <f>'дод 2 '!G61</f>
        <v>0</v>
      </c>
      <c r="G24" s="220">
        <f>'дод 2 '!H61</f>
        <v>222699.79</v>
      </c>
      <c r="H24" s="84">
        <f>'дод 2 '!I61</f>
        <v>182540.82</v>
      </c>
      <c r="I24" s="84">
        <f>'дод 2 '!J61</f>
        <v>0</v>
      </c>
      <c r="J24" s="134">
        <f t="shared" si="5"/>
        <v>23.55365309360127</v>
      </c>
      <c r="K24" s="84">
        <f>'дод 2 '!L61</f>
        <v>0</v>
      </c>
      <c r="L24" s="84">
        <f>'дод 2 '!M61</f>
        <v>0</v>
      </c>
      <c r="M24" s="84">
        <f>'дод 2 '!N61</f>
        <v>0</v>
      </c>
      <c r="N24" s="84">
        <f>'дод 2 '!O61</f>
        <v>0</v>
      </c>
      <c r="O24" s="84">
        <f>'дод 2 '!P61</f>
        <v>0</v>
      </c>
      <c r="P24" s="84">
        <f>'дод 2 '!Q61</f>
        <v>0</v>
      </c>
      <c r="Q24" s="220">
        <f>'дод 2 '!R61</f>
        <v>0</v>
      </c>
      <c r="R24" s="220">
        <f>'дод 2 '!S61</f>
        <v>0</v>
      </c>
      <c r="S24" s="84">
        <f>'дод 2 '!T61</f>
        <v>0</v>
      </c>
      <c r="T24" s="84">
        <f>'дод 2 '!U61</f>
        <v>0</v>
      </c>
      <c r="U24" s="84">
        <f>'дод 2 '!V61</f>
        <v>0</v>
      </c>
      <c r="V24" s="84">
        <f>'дод 2 '!W61</f>
        <v>0</v>
      </c>
      <c r="W24" s="134"/>
      <c r="X24" s="84">
        <f t="shared" si="7"/>
        <v>222699.79</v>
      </c>
      <c r="Y24" s="214"/>
    </row>
    <row r="25" spans="1:25" ht="87" customHeight="1" x14ac:dyDescent="0.25">
      <c r="A25" s="101" t="s">
        <v>79</v>
      </c>
      <c r="B25" s="101" t="s">
        <v>80</v>
      </c>
      <c r="C25" s="10" t="s">
        <v>155</v>
      </c>
      <c r="D25" s="84">
        <f>'дод 2 '!E62</f>
        <v>8885650</v>
      </c>
      <c r="E25" s="84">
        <f>'дод 2 '!F62</f>
        <v>6226400</v>
      </c>
      <c r="F25" s="84">
        <f>'дод 2 '!G62</f>
        <v>760530</v>
      </c>
      <c r="G25" s="220">
        <f>'дод 2 '!H62</f>
        <v>2149238.56</v>
      </c>
      <c r="H25" s="84">
        <f>'дод 2 '!I62</f>
        <v>1459649.9</v>
      </c>
      <c r="I25" s="84">
        <f>'дод 2 '!J62</f>
        <v>267899.78999999998</v>
      </c>
      <c r="J25" s="134">
        <f t="shared" si="5"/>
        <v>24.187747210389787</v>
      </c>
      <c r="K25" s="84">
        <f>'дод 2 '!L62</f>
        <v>183400</v>
      </c>
      <c r="L25" s="84">
        <f>'дод 2 '!M62</f>
        <v>183400</v>
      </c>
      <c r="M25" s="84">
        <f>'дод 2 '!N62</f>
        <v>0</v>
      </c>
      <c r="N25" s="84">
        <f>'дод 2 '!O62</f>
        <v>0</v>
      </c>
      <c r="O25" s="84">
        <f>'дод 2 '!P62</f>
        <v>0</v>
      </c>
      <c r="P25" s="84">
        <f>'дод 2 '!Q62</f>
        <v>183400</v>
      </c>
      <c r="Q25" s="220">
        <f>'дод 2 '!R62</f>
        <v>44679.32</v>
      </c>
      <c r="R25" s="220">
        <f>'дод 2 '!S62</f>
        <v>33400</v>
      </c>
      <c r="S25" s="84">
        <f>'дод 2 '!T62</f>
        <v>5276</v>
      </c>
      <c r="T25" s="84">
        <f>'дод 2 '!U62</f>
        <v>0</v>
      </c>
      <c r="U25" s="84">
        <f>'дод 2 '!V62</f>
        <v>0</v>
      </c>
      <c r="V25" s="84">
        <f>'дод 2 '!W62</f>
        <v>39403.32</v>
      </c>
      <c r="W25" s="134">
        <f t="shared" si="6"/>
        <v>24.361679389312975</v>
      </c>
      <c r="X25" s="84">
        <f t="shared" si="7"/>
        <v>2193917.88</v>
      </c>
      <c r="Y25" s="214"/>
    </row>
    <row r="26" spans="1:25" ht="21.75" customHeight="1" x14ac:dyDescent="0.25">
      <c r="A26" s="101"/>
      <c r="B26" s="101"/>
      <c r="C26" s="7" t="s">
        <v>344</v>
      </c>
      <c r="D26" s="84">
        <f>'дод 2 '!E63</f>
        <v>6060400</v>
      </c>
      <c r="E26" s="84">
        <f>'дод 2 '!F63</f>
        <v>4975700</v>
      </c>
      <c r="F26" s="84">
        <f>'дод 2 '!G63</f>
        <v>0</v>
      </c>
      <c r="G26" s="220">
        <f>'дод 2 '!H63</f>
        <v>1406165.13</v>
      </c>
      <c r="H26" s="84">
        <f>'дод 2 '!I63</f>
        <v>1147526.8999999999</v>
      </c>
      <c r="I26" s="84">
        <f>'дод 2 '!J63</f>
        <v>0</v>
      </c>
      <c r="J26" s="134">
        <f t="shared" si="5"/>
        <v>23.202513530460035</v>
      </c>
      <c r="K26" s="84">
        <f>'дод 2 '!L63</f>
        <v>0</v>
      </c>
      <c r="L26" s="84">
        <f>'дод 2 '!M63</f>
        <v>0</v>
      </c>
      <c r="M26" s="84">
        <f>'дод 2 '!N63</f>
        <v>0</v>
      </c>
      <c r="N26" s="84">
        <f>'дод 2 '!O63</f>
        <v>0</v>
      </c>
      <c r="O26" s="84">
        <f>'дод 2 '!P63</f>
        <v>0</v>
      </c>
      <c r="P26" s="84">
        <f>'дод 2 '!Q63</f>
        <v>0</v>
      </c>
      <c r="Q26" s="220">
        <f>'дод 2 '!R63</f>
        <v>0</v>
      </c>
      <c r="R26" s="220">
        <f>'дод 2 '!S63</f>
        <v>0</v>
      </c>
      <c r="S26" s="84">
        <f>'дод 2 '!T63</f>
        <v>0</v>
      </c>
      <c r="T26" s="84">
        <f>'дод 2 '!U63</f>
        <v>0</v>
      </c>
      <c r="U26" s="84">
        <f>'дод 2 '!V63</f>
        <v>0</v>
      </c>
      <c r="V26" s="84">
        <f>'дод 2 '!W63</f>
        <v>0</v>
      </c>
      <c r="W26" s="134"/>
      <c r="X26" s="84">
        <f t="shared" si="7"/>
        <v>1406165.13</v>
      </c>
      <c r="Y26" s="214"/>
    </row>
    <row r="27" spans="1:25" ht="33" customHeight="1" x14ac:dyDescent="0.25">
      <c r="A27" s="101" t="s">
        <v>81</v>
      </c>
      <c r="B27" s="101" t="s">
        <v>82</v>
      </c>
      <c r="C27" s="10" t="s">
        <v>190</v>
      </c>
      <c r="D27" s="84">
        <f>'дод 2 '!E64</f>
        <v>24665462</v>
      </c>
      <c r="E27" s="84">
        <f>'дод 2 '!F64</f>
        <v>17544640</v>
      </c>
      <c r="F27" s="84">
        <f>'дод 2 '!G64</f>
        <v>2859859</v>
      </c>
      <c r="G27" s="220">
        <f>'дод 2 '!H64</f>
        <v>6204552.0099999998</v>
      </c>
      <c r="H27" s="84">
        <f>'дод 2 '!I64</f>
        <v>4106349.04</v>
      </c>
      <c r="I27" s="84">
        <f>'дод 2 '!J64</f>
        <v>1172740.27</v>
      </c>
      <c r="J27" s="134">
        <f t="shared" si="5"/>
        <v>25.154817736639188</v>
      </c>
      <c r="K27" s="84">
        <f>'дод 2 '!L64</f>
        <v>300000</v>
      </c>
      <c r="L27" s="84">
        <f>'дод 2 '!M64</f>
        <v>300000</v>
      </c>
      <c r="M27" s="84">
        <f>'дод 2 '!N64</f>
        <v>0</v>
      </c>
      <c r="N27" s="84">
        <f>'дод 2 '!O64</f>
        <v>0</v>
      </c>
      <c r="O27" s="84">
        <f>'дод 2 '!P64</f>
        <v>0</v>
      </c>
      <c r="P27" s="84">
        <f>'дод 2 '!Q64</f>
        <v>300000</v>
      </c>
      <c r="Q27" s="220">
        <f>'дод 2 '!R64</f>
        <v>73036.44</v>
      </c>
      <c r="R27" s="220">
        <f>'дод 2 '!S64</f>
        <v>0</v>
      </c>
      <c r="S27" s="84">
        <f>'дод 2 '!T64</f>
        <v>73036.44</v>
      </c>
      <c r="T27" s="84">
        <f>'дод 2 '!U64</f>
        <v>0</v>
      </c>
      <c r="U27" s="84">
        <f>'дод 2 '!V64</f>
        <v>0</v>
      </c>
      <c r="V27" s="84">
        <f>'дод 2 '!W64</f>
        <v>0</v>
      </c>
      <c r="W27" s="134">
        <f t="shared" si="6"/>
        <v>24.345479999999998</v>
      </c>
      <c r="X27" s="84">
        <f t="shared" si="7"/>
        <v>6277588.4500000002</v>
      </c>
      <c r="Y27" s="214"/>
    </row>
    <row r="28" spans="1:25" ht="57.75" customHeight="1" x14ac:dyDescent="0.25">
      <c r="A28" s="101" t="s">
        <v>83</v>
      </c>
      <c r="B28" s="101" t="s">
        <v>82</v>
      </c>
      <c r="C28" s="10" t="s">
        <v>26</v>
      </c>
      <c r="D28" s="84">
        <f>'дод 2 '!E199</f>
        <v>34678300</v>
      </c>
      <c r="E28" s="84">
        <f>'дод 2 '!F199</f>
        <v>27174000</v>
      </c>
      <c r="F28" s="84">
        <f>'дод 2 '!G199</f>
        <v>833079</v>
      </c>
      <c r="G28" s="220">
        <f>'дод 2 '!H199</f>
        <v>8006884.6399999997</v>
      </c>
      <c r="H28" s="84">
        <f>'дод 2 '!I199</f>
        <v>6153457.3099999996</v>
      </c>
      <c r="I28" s="84">
        <f>'дод 2 '!J199</f>
        <v>464606.77</v>
      </c>
      <c r="J28" s="134">
        <f t="shared" si="5"/>
        <v>23.089034468240946</v>
      </c>
      <c r="K28" s="84">
        <f>'дод 2 '!L199</f>
        <v>2616580</v>
      </c>
      <c r="L28" s="84">
        <f>'дод 2 '!M199</f>
        <v>110000</v>
      </c>
      <c r="M28" s="84">
        <f>'дод 2 '!N199</f>
        <v>2501860</v>
      </c>
      <c r="N28" s="84">
        <f>'дод 2 '!O199</f>
        <v>2043504</v>
      </c>
      <c r="O28" s="84">
        <f>'дод 2 '!P199</f>
        <v>0</v>
      </c>
      <c r="P28" s="84">
        <f>'дод 2 '!Q199</f>
        <v>114720</v>
      </c>
      <c r="Q28" s="220">
        <f>'дод 2 '!R199</f>
        <v>737086.91</v>
      </c>
      <c r="R28" s="220">
        <f>'дод 2 '!S199</f>
        <v>0</v>
      </c>
      <c r="S28" s="84">
        <f>'дод 2 '!T199</f>
        <v>737086.91</v>
      </c>
      <c r="T28" s="84">
        <f>'дод 2 '!U199</f>
        <v>592631.14</v>
      </c>
      <c r="U28" s="84">
        <f>'дод 2 '!V199</f>
        <v>0</v>
      </c>
      <c r="V28" s="84">
        <f>'дод 2 '!W199</f>
        <v>0</v>
      </c>
      <c r="W28" s="134">
        <f t="shared" si="6"/>
        <v>28.169859511270438</v>
      </c>
      <c r="X28" s="84">
        <f t="shared" si="7"/>
        <v>8743971.5499999989</v>
      </c>
      <c r="Y28" s="214"/>
    </row>
    <row r="29" spans="1:25" ht="39.75" customHeight="1" x14ac:dyDescent="0.25">
      <c r="A29" s="101" t="s">
        <v>291</v>
      </c>
      <c r="B29" s="101" t="s">
        <v>84</v>
      </c>
      <c r="C29" s="10" t="s">
        <v>156</v>
      </c>
      <c r="D29" s="84">
        <f>'дод 2 '!E65</f>
        <v>103006500</v>
      </c>
      <c r="E29" s="84">
        <f>'дод 2 '!F65</f>
        <v>59049100</v>
      </c>
      <c r="F29" s="84">
        <f>'дод 2 '!G65</f>
        <v>10491026</v>
      </c>
      <c r="G29" s="220">
        <f>'дод 2 '!H65</f>
        <v>24193473.190000001</v>
      </c>
      <c r="H29" s="84">
        <f>'дод 2 '!I65</f>
        <v>13329233.1</v>
      </c>
      <c r="I29" s="84">
        <f>'дод 2 '!J65</f>
        <v>3346649.01</v>
      </c>
      <c r="J29" s="134">
        <f t="shared" si="5"/>
        <v>23.487326712391937</v>
      </c>
      <c r="K29" s="84">
        <f>'дод 2 '!L65</f>
        <v>11245506</v>
      </c>
      <c r="L29" s="84">
        <f>'дод 2 '!M65</f>
        <v>3528000</v>
      </c>
      <c r="M29" s="84">
        <f>'дод 2 '!N65</f>
        <v>7600506</v>
      </c>
      <c r="N29" s="84">
        <f>'дод 2 '!O65</f>
        <v>2516057</v>
      </c>
      <c r="O29" s="84">
        <f>'дод 2 '!P65</f>
        <v>2589380</v>
      </c>
      <c r="P29" s="84">
        <f>'дод 2 '!Q65</f>
        <v>3645000</v>
      </c>
      <c r="Q29" s="220">
        <f>'дод 2 '!R65</f>
        <v>2072817.69</v>
      </c>
      <c r="R29" s="220">
        <f>'дод 2 '!S65</f>
        <v>0</v>
      </c>
      <c r="S29" s="84">
        <f>'дод 2 '!T65</f>
        <v>1996810.7</v>
      </c>
      <c r="T29" s="84">
        <f>'дод 2 '!U65</f>
        <v>572405.41</v>
      </c>
      <c r="U29" s="84">
        <f>'дод 2 '!V65</f>
        <v>707348.11</v>
      </c>
      <c r="V29" s="84">
        <f>'дод 2 '!W65</f>
        <v>76006.990000000005</v>
      </c>
      <c r="W29" s="134">
        <f t="shared" si="6"/>
        <v>18.432409266421626</v>
      </c>
      <c r="X29" s="84">
        <f t="shared" si="7"/>
        <v>26266290.880000003</v>
      </c>
      <c r="Y29" s="214"/>
    </row>
    <row r="30" spans="1:25" ht="21" customHeight="1" x14ac:dyDescent="0.25">
      <c r="A30" s="101"/>
      <c r="B30" s="101"/>
      <c r="C30" s="7" t="s">
        <v>344</v>
      </c>
      <c r="D30" s="84">
        <f>'дод 2 '!E66</f>
        <v>12122000</v>
      </c>
      <c r="E30" s="84">
        <f>'дод 2 '!F66</f>
        <v>9426200</v>
      </c>
      <c r="F30" s="84">
        <f>'дод 2 '!G66</f>
        <v>0</v>
      </c>
      <c r="G30" s="220">
        <f>'дод 2 '!H66</f>
        <v>2539730.04</v>
      </c>
      <c r="H30" s="84">
        <f>'дод 2 '!I66</f>
        <v>2080162.43</v>
      </c>
      <c r="I30" s="84">
        <f>'дод 2 '!J66</f>
        <v>0</v>
      </c>
      <c r="J30" s="134">
        <f t="shared" si="5"/>
        <v>20.951410988285762</v>
      </c>
      <c r="K30" s="84">
        <f>'дод 2 '!L66</f>
        <v>3528000</v>
      </c>
      <c r="L30" s="84">
        <f>'дод 2 '!M66</f>
        <v>3528000</v>
      </c>
      <c r="M30" s="84">
        <f>'дод 2 '!N66</f>
        <v>0</v>
      </c>
      <c r="N30" s="84">
        <f>'дод 2 '!O66</f>
        <v>0</v>
      </c>
      <c r="O30" s="84">
        <f>'дод 2 '!P66</f>
        <v>0</v>
      </c>
      <c r="P30" s="84">
        <f>'дод 2 '!Q66</f>
        <v>3528000</v>
      </c>
      <c r="Q30" s="220">
        <f>'дод 2 '!R66</f>
        <v>0</v>
      </c>
      <c r="R30" s="220">
        <f>'дод 2 '!S66</f>
        <v>0</v>
      </c>
      <c r="S30" s="84">
        <f>'дод 2 '!T66</f>
        <v>0</v>
      </c>
      <c r="T30" s="84">
        <f>'дод 2 '!U66</f>
        <v>0</v>
      </c>
      <c r="U30" s="84">
        <f>'дод 2 '!V66</f>
        <v>0</v>
      </c>
      <c r="V30" s="84">
        <f>'дод 2 '!W66</f>
        <v>0</v>
      </c>
      <c r="W30" s="134">
        <f t="shared" si="6"/>
        <v>0</v>
      </c>
      <c r="X30" s="84">
        <f t="shared" si="7"/>
        <v>2539730.04</v>
      </c>
      <c r="Y30" s="214"/>
    </row>
    <row r="31" spans="1:25" ht="33" customHeight="1" x14ac:dyDescent="0.25">
      <c r="A31" s="101" t="s">
        <v>157</v>
      </c>
      <c r="B31" s="101" t="s">
        <v>85</v>
      </c>
      <c r="C31" s="10" t="s">
        <v>480</v>
      </c>
      <c r="D31" s="84">
        <f>'дод 2 '!E67</f>
        <v>2838770</v>
      </c>
      <c r="E31" s="84">
        <f>'дод 2 '!F67</f>
        <v>2189100</v>
      </c>
      <c r="F31" s="84">
        <f>'дод 2 '!G67</f>
        <v>128898</v>
      </c>
      <c r="G31" s="220">
        <f>'дод 2 '!H67</f>
        <v>668683.30000000005</v>
      </c>
      <c r="H31" s="84">
        <f>'дод 2 '!I67</f>
        <v>514134.09</v>
      </c>
      <c r="I31" s="84">
        <f>'дод 2 '!J67</f>
        <v>35665.32</v>
      </c>
      <c r="J31" s="134">
        <f t="shared" si="5"/>
        <v>23.555388425268692</v>
      </c>
      <c r="K31" s="84">
        <f>'дод 2 '!L67</f>
        <v>0</v>
      </c>
      <c r="L31" s="84">
        <f>'дод 2 '!M67</f>
        <v>0</v>
      </c>
      <c r="M31" s="84">
        <f>'дод 2 '!N67</f>
        <v>0</v>
      </c>
      <c r="N31" s="84">
        <f>'дод 2 '!O67</f>
        <v>0</v>
      </c>
      <c r="O31" s="84">
        <f>'дод 2 '!P67</f>
        <v>0</v>
      </c>
      <c r="P31" s="84">
        <f>'дод 2 '!Q67</f>
        <v>0</v>
      </c>
      <c r="Q31" s="220">
        <f>'дод 2 '!R67</f>
        <v>12451.619999999999</v>
      </c>
      <c r="R31" s="220">
        <f>'дод 2 '!S67</f>
        <v>0</v>
      </c>
      <c r="S31" s="84">
        <f>'дод 2 '!T67</f>
        <v>8953.2099999999991</v>
      </c>
      <c r="T31" s="84">
        <f>'дод 2 '!U67</f>
        <v>0</v>
      </c>
      <c r="U31" s="84">
        <f>'дод 2 '!V67</f>
        <v>0</v>
      </c>
      <c r="V31" s="84">
        <f>'дод 2 '!W67</f>
        <v>3498.41</v>
      </c>
      <c r="W31" s="134"/>
      <c r="X31" s="84">
        <f t="shared" si="7"/>
        <v>681134.92</v>
      </c>
      <c r="Y31" s="214"/>
    </row>
    <row r="32" spans="1:25" ht="36" customHeight="1" x14ac:dyDescent="0.25">
      <c r="A32" s="101" t="s">
        <v>368</v>
      </c>
      <c r="B32" s="101" t="s">
        <v>85</v>
      </c>
      <c r="C32" s="10" t="s">
        <v>370</v>
      </c>
      <c r="D32" s="84">
        <f>'дод 2 '!E68</f>
        <v>8147190</v>
      </c>
      <c r="E32" s="84">
        <f>'дод 2 '!F68</f>
        <v>5861200</v>
      </c>
      <c r="F32" s="84">
        <f>'дод 2 '!G68</f>
        <v>512034</v>
      </c>
      <c r="G32" s="220">
        <f>'дод 2 '!H68</f>
        <v>1913056.59</v>
      </c>
      <c r="H32" s="84">
        <f>'дод 2 '!I68</f>
        <v>1402309.81</v>
      </c>
      <c r="I32" s="84">
        <f>'дод 2 '!J68</f>
        <v>123371.23</v>
      </c>
      <c r="J32" s="134">
        <f t="shared" si="5"/>
        <v>23.481182960014436</v>
      </c>
      <c r="K32" s="84">
        <f>'дод 2 '!L68</f>
        <v>148000</v>
      </c>
      <c r="L32" s="84">
        <f>'дод 2 '!M68</f>
        <v>148000</v>
      </c>
      <c r="M32" s="84">
        <f>'дод 2 '!N68</f>
        <v>0</v>
      </c>
      <c r="N32" s="84">
        <f>'дод 2 '!O68</f>
        <v>0</v>
      </c>
      <c r="O32" s="84">
        <f>'дод 2 '!P68</f>
        <v>0</v>
      </c>
      <c r="P32" s="84">
        <f>'дод 2 '!Q68</f>
        <v>148000</v>
      </c>
      <c r="Q32" s="220">
        <f>'дод 2 '!R68</f>
        <v>178019.03</v>
      </c>
      <c r="R32" s="220">
        <f>'дод 2 '!S68</f>
        <v>0</v>
      </c>
      <c r="S32" s="84">
        <f>'дод 2 '!T68</f>
        <v>65097.94</v>
      </c>
      <c r="T32" s="84">
        <f>'дод 2 '!U68</f>
        <v>0</v>
      </c>
      <c r="U32" s="84">
        <f>'дод 2 '!V68</f>
        <v>0</v>
      </c>
      <c r="V32" s="84">
        <f>'дод 2 '!W68</f>
        <v>112921.09</v>
      </c>
      <c r="W32" s="134">
        <f t="shared" si="6"/>
        <v>120.28312837837838</v>
      </c>
      <c r="X32" s="84">
        <f t="shared" si="7"/>
        <v>2091075.62</v>
      </c>
      <c r="Y32" s="214"/>
    </row>
    <row r="33" spans="1:25" ht="21" hidden="1" customHeight="1" x14ac:dyDescent="0.25">
      <c r="A33" s="101"/>
      <c r="B33" s="101"/>
      <c r="C33" s="7" t="s">
        <v>344</v>
      </c>
      <c r="D33" s="84">
        <f>'дод 2 '!E69</f>
        <v>0</v>
      </c>
      <c r="E33" s="84">
        <f>'дод 2 '!F69</f>
        <v>0</v>
      </c>
      <c r="F33" s="84">
        <f>'дод 2 '!G69</f>
        <v>0</v>
      </c>
      <c r="G33" s="220">
        <f>'дод 2 '!H69</f>
        <v>0</v>
      </c>
      <c r="H33" s="84">
        <f>'дод 2 '!I69</f>
        <v>0</v>
      </c>
      <c r="I33" s="84">
        <f>'дод 2 '!J69</f>
        <v>0</v>
      </c>
      <c r="J33" s="134" t="e">
        <f t="shared" si="5"/>
        <v>#DIV/0!</v>
      </c>
      <c r="K33" s="84">
        <f>'дод 2 '!L69</f>
        <v>0</v>
      </c>
      <c r="L33" s="84">
        <f>'дод 2 '!M69</f>
        <v>0</v>
      </c>
      <c r="M33" s="84">
        <f>'дод 2 '!N69</f>
        <v>0</v>
      </c>
      <c r="N33" s="84">
        <f>'дод 2 '!O69</f>
        <v>0</v>
      </c>
      <c r="O33" s="84">
        <f>'дод 2 '!P69</f>
        <v>0</v>
      </c>
      <c r="P33" s="84">
        <f>'дод 2 '!Q69</f>
        <v>0</v>
      </c>
      <c r="Q33" s="220">
        <f>'дод 2 '!R69</f>
        <v>0</v>
      </c>
      <c r="R33" s="220">
        <f>'дод 2 '!S69</f>
        <v>0</v>
      </c>
      <c r="S33" s="84">
        <f>'дод 2 '!T69</f>
        <v>0</v>
      </c>
      <c r="T33" s="84">
        <f>'дод 2 '!U69</f>
        <v>0</v>
      </c>
      <c r="U33" s="84">
        <f>'дод 2 '!V69</f>
        <v>0</v>
      </c>
      <c r="V33" s="84">
        <f>'дод 2 '!W69</f>
        <v>0</v>
      </c>
      <c r="W33" s="134" t="e">
        <f t="shared" si="6"/>
        <v>#DIV/0!</v>
      </c>
      <c r="X33" s="84">
        <f t="shared" si="7"/>
        <v>0</v>
      </c>
      <c r="Y33" s="214"/>
    </row>
    <row r="34" spans="1:25" ht="25.5" customHeight="1" x14ac:dyDescent="0.25">
      <c r="A34" s="101" t="s">
        <v>369</v>
      </c>
      <c r="B34" s="101" t="s">
        <v>85</v>
      </c>
      <c r="C34" s="10" t="s">
        <v>371</v>
      </c>
      <c r="D34" s="84">
        <f>'дод 2 '!E70</f>
        <v>90400</v>
      </c>
      <c r="E34" s="84">
        <f>'дод 2 '!F70</f>
        <v>0</v>
      </c>
      <c r="F34" s="84">
        <f>'дод 2 '!G70</f>
        <v>0</v>
      </c>
      <c r="G34" s="220">
        <f>'дод 2 '!H70</f>
        <v>21000</v>
      </c>
      <c r="H34" s="84">
        <f>'дод 2 '!I70</f>
        <v>0</v>
      </c>
      <c r="I34" s="84">
        <f>'дод 2 '!J70</f>
        <v>0</v>
      </c>
      <c r="J34" s="134">
        <f t="shared" si="5"/>
        <v>23.23008849557522</v>
      </c>
      <c r="K34" s="84">
        <f>'дод 2 '!L70</f>
        <v>0</v>
      </c>
      <c r="L34" s="84">
        <f>'дод 2 '!M70</f>
        <v>0</v>
      </c>
      <c r="M34" s="84">
        <f>'дод 2 '!N70</f>
        <v>0</v>
      </c>
      <c r="N34" s="84">
        <f>'дод 2 '!O70</f>
        <v>0</v>
      </c>
      <c r="O34" s="84">
        <f>'дод 2 '!P70</f>
        <v>0</v>
      </c>
      <c r="P34" s="84">
        <f>'дод 2 '!Q70</f>
        <v>0</v>
      </c>
      <c r="Q34" s="220">
        <f>'дод 2 '!R70</f>
        <v>0</v>
      </c>
      <c r="R34" s="220">
        <f>'дод 2 '!S70</f>
        <v>0</v>
      </c>
      <c r="S34" s="84">
        <f>'дод 2 '!T70</f>
        <v>0</v>
      </c>
      <c r="T34" s="84">
        <f>'дод 2 '!U70</f>
        <v>0</v>
      </c>
      <c r="U34" s="84">
        <f>'дод 2 '!V70</f>
        <v>0</v>
      </c>
      <c r="V34" s="84">
        <f>'дод 2 '!W70</f>
        <v>0</v>
      </c>
      <c r="W34" s="134"/>
      <c r="X34" s="84">
        <f t="shared" si="7"/>
        <v>21000</v>
      </c>
      <c r="Y34" s="214"/>
    </row>
    <row r="35" spans="1:25" ht="25.5" customHeight="1" x14ac:dyDescent="0.25">
      <c r="A35" s="101" t="s">
        <v>571</v>
      </c>
      <c r="B35" s="101" t="s">
        <v>85</v>
      </c>
      <c r="C35" s="86" t="s">
        <v>570</v>
      </c>
      <c r="D35" s="84">
        <f>SUM('дод 2 '!E72)</f>
        <v>1583510</v>
      </c>
      <c r="E35" s="84">
        <f>SUM('дод 2 '!F72)</f>
        <v>1166764</v>
      </c>
      <c r="F35" s="84">
        <f>SUM('дод 2 '!G72)</f>
        <v>92060</v>
      </c>
      <c r="G35" s="220">
        <f>SUM('дод 2 '!H72)</f>
        <v>118817.74</v>
      </c>
      <c r="H35" s="84">
        <f>SUM('дод 2 '!I72)</f>
        <v>84906.31</v>
      </c>
      <c r="I35" s="84">
        <f>SUM('дод 2 '!J72)</f>
        <v>14646.57</v>
      </c>
      <c r="J35" s="134">
        <f t="shared" si="5"/>
        <v>7.50344108973104</v>
      </c>
      <c r="K35" s="84">
        <f>SUM('дод 2 '!L72)</f>
        <v>30000</v>
      </c>
      <c r="L35" s="84">
        <f>SUM('дод 2 '!M72)</f>
        <v>30000</v>
      </c>
      <c r="M35" s="84">
        <f>SUM('дод 2 '!N72)</f>
        <v>0</v>
      </c>
      <c r="N35" s="84">
        <f>SUM('дод 2 '!O72)</f>
        <v>0</v>
      </c>
      <c r="O35" s="84">
        <f>SUM('дод 2 '!P72)</f>
        <v>0</v>
      </c>
      <c r="P35" s="84">
        <f>SUM('дод 2 '!Q72)</f>
        <v>30000</v>
      </c>
      <c r="Q35" s="220">
        <f>SUM('дод 2 '!R72)</f>
        <v>0</v>
      </c>
      <c r="R35" s="220">
        <f>SUM('дод 2 '!S72)</f>
        <v>0</v>
      </c>
      <c r="S35" s="84">
        <f>SUM('дод 2 '!T72)</f>
        <v>0</v>
      </c>
      <c r="T35" s="84">
        <f>SUM('дод 2 '!U72)</f>
        <v>0</v>
      </c>
      <c r="U35" s="84">
        <f>SUM('дод 2 '!V72)</f>
        <v>0</v>
      </c>
      <c r="V35" s="84">
        <f>SUM('дод 2 '!W72)</f>
        <v>0</v>
      </c>
      <c r="W35" s="134">
        <f t="shared" si="6"/>
        <v>0</v>
      </c>
      <c r="X35" s="84">
        <f t="shared" si="7"/>
        <v>118817.74</v>
      </c>
      <c r="Y35" s="214"/>
    </row>
    <row r="36" spans="1:25" ht="21.75" customHeight="1" x14ac:dyDescent="0.25">
      <c r="A36" s="101"/>
      <c r="B36" s="101"/>
      <c r="C36" s="7" t="s">
        <v>344</v>
      </c>
      <c r="D36" s="84">
        <f>SUM('дод 2 '!E73)</f>
        <v>1178720</v>
      </c>
      <c r="E36" s="84">
        <f>SUM('дод 2 '!F73)</f>
        <v>966164</v>
      </c>
      <c r="F36" s="84">
        <f>SUM('дод 2 '!G73)</f>
        <v>0</v>
      </c>
      <c r="G36" s="220">
        <f>SUM('дод 2 '!H73)</f>
        <v>103839.66</v>
      </c>
      <c r="H36" s="84">
        <f>SUM('дод 2 '!I73)</f>
        <v>84906.31</v>
      </c>
      <c r="I36" s="84">
        <f>SUM('дод 2 '!J73)</f>
        <v>0</v>
      </c>
      <c r="J36" s="134">
        <f t="shared" si="5"/>
        <v>8.8095272838333116</v>
      </c>
      <c r="K36" s="84">
        <f>SUM('дод 2 '!L73)</f>
        <v>0</v>
      </c>
      <c r="L36" s="84">
        <f>SUM('дод 2 '!M73)</f>
        <v>0</v>
      </c>
      <c r="M36" s="84">
        <f>SUM('дод 2 '!N73)</f>
        <v>0</v>
      </c>
      <c r="N36" s="84">
        <f>SUM('дод 2 '!O73)</f>
        <v>0</v>
      </c>
      <c r="O36" s="84">
        <f>SUM('дод 2 '!P73)</f>
        <v>0</v>
      </c>
      <c r="P36" s="84">
        <f>SUM('дод 2 '!Q73)</f>
        <v>0</v>
      </c>
      <c r="Q36" s="220">
        <f>SUM('дод 2 '!R73)</f>
        <v>0</v>
      </c>
      <c r="R36" s="220">
        <f>SUM('дод 2 '!S73)</f>
        <v>0</v>
      </c>
      <c r="S36" s="84">
        <f>SUM('дод 2 '!T73)</f>
        <v>0</v>
      </c>
      <c r="T36" s="84">
        <f>SUM('дод 2 '!U73)</f>
        <v>0</v>
      </c>
      <c r="U36" s="84">
        <f>SUM('дод 2 '!V73)</f>
        <v>0</v>
      </c>
      <c r="V36" s="84">
        <f>SUM('дод 2 '!W73)</f>
        <v>0</v>
      </c>
      <c r="W36" s="134"/>
      <c r="X36" s="84">
        <f t="shared" si="7"/>
        <v>103839.66</v>
      </c>
      <c r="Y36" s="214"/>
    </row>
    <row r="37" spans="1:25" s="11" customFormat="1" ht="23.25" customHeight="1" x14ac:dyDescent="0.25">
      <c r="A37" s="102" t="s">
        <v>86</v>
      </c>
      <c r="B37" s="103"/>
      <c r="C37" s="15" t="s">
        <v>87</v>
      </c>
      <c r="D37" s="83">
        <f>D39+D41+D43+D45+D47+D49+D51+D53+D55+D57</f>
        <v>338194140</v>
      </c>
      <c r="E37" s="83">
        <f t="shared" ref="E37:P37" si="18">E39+E41+E43+E45+E47+E49+E51+E53+E55+E57</f>
        <v>0</v>
      </c>
      <c r="F37" s="83">
        <f t="shared" si="18"/>
        <v>0</v>
      </c>
      <c r="G37" s="219">
        <f t="shared" ref="G37:I37" si="19">G39+G41+G43+G45+G47+G49+G51+G53+G55+G57</f>
        <v>79366249.219999999</v>
      </c>
      <c r="H37" s="83">
        <f t="shared" si="19"/>
        <v>0</v>
      </c>
      <c r="I37" s="83">
        <f t="shared" si="19"/>
        <v>0</v>
      </c>
      <c r="J37" s="133">
        <f t="shared" si="5"/>
        <v>23.467659498771916</v>
      </c>
      <c r="K37" s="83">
        <f t="shared" si="18"/>
        <v>39788766.299999997</v>
      </c>
      <c r="L37" s="83">
        <f t="shared" ref="L37" si="20">L39+L41+L43+L45+L47+L49+L51+L53+L55+L57</f>
        <v>18900088.300000001</v>
      </c>
      <c r="M37" s="83">
        <f t="shared" si="18"/>
        <v>20888678</v>
      </c>
      <c r="N37" s="83">
        <f t="shared" si="18"/>
        <v>0</v>
      </c>
      <c r="O37" s="83">
        <f t="shared" si="18"/>
        <v>0</v>
      </c>
      <c r="P37" s="83">
        <f t="shared" si="18"/>
        <v>18900088.300000001</v>
      </c>
      <c r="Q37" s="219">
        <f t="shared" ref="Q37:V37" si="21">Q39+Q41+Q43+Q45+Q47+Q49+Q51+Q53+Q55+Q57</f>
        <v>6926793.29</v>
      </c>
      <c r="R37" s="219">
        <f t="shared" ref="R37" si="22">R39+R41+R43+R45+R47+R49+R51+R53+R55+R57</f>
        <v>2523915.5499999998</v>
      </c>
      <c r="S37" s="83">
        <f t="shared" si="21"/>
        <v>4299234.74</v>
      </c>
      <c r="T37" s="83">
        <f t="shared" si="21"/>
        <v>0</v>
      </c>
      <c r="U37" s="83">
        <f t="shared" si="21"/>
        <v>0</v>
      </c>
      <c r="V37" s="83">
        <f t="shared" si="21"/>
        <v>2627558.5499999998</v>
      </c>
      <c r="W37" s="133">
        <f t="shared" si="6"/>
        <v>17.408916973633335</v>
      </c>
      <c r="X37" s="83">
        <f t="shared" si="7"/>
        <v>86293042.510000005</v>
      </c>
      <c r="Y37" s="214"/>
    </row>
    <row r="38" spans="1:25" s="11" customFormat="1" ht="23.25" customHeight="1" x14ac:dyDescent="0.25">
      <c r="A38" s="102"/>
      <c r="B38" s="103"/>
      <c r="C38" s="6" t="s">
        <v>344</v>
      </c>
      <c r="D38" s="83">
        <f>D40+D42+D44+D46+D48+D50+D52+D54+D56+D58</f>
        <v>212404230</v>
      </c>
      <c r="E38" s="83">
        <f t="shared" ref="E38:P38" si="23">E40+E42+E44+E46+E48+E50+E52+E54+E56+E58</f>
        <v>0</v>
      </c>
      <c r="F38" s="83">
        <f t="shared" si="23"/>
        <v>0</v>
      </c>
      <c r="G38" s="219">
        <f t="shared" ref="G38:I38" si="24">G40+G42+G44+G46+G48+G50+G52+G54+G56+G58</f>
        <v>53170015.649999991</v>
      </c>
      <c r="H38" s="83">
        <f t="shared" si="24"/>
        <v>0</v>
      </c>
      <c r="I38" s="83">
        <f t="shared" si="24"/>
        <v>0</v>
      </c>
      <c r="J38" s="133">
        <f t="shared" si="5"/>
        <v>25.032465525757182</v>
      </c>
      <c r="K38" s="83">
        <f t="shared" si="23"/>
        <v>0</v>
      </c>
      <c r="L38" s="83">
        <f t="shared" ref="L38" si="25">L40+L42+L44+L46+L48+L50+L52+L54+L56+L58</f>
        <v>0</v>
      </c>
      <c r="M38" s="83">
        <f t="shared" si="23"/>
        <v>0</v>
      </c>
      <c r="N38" s="83">
        <f t="shared" si="23"/>
        <v>0</v>
      </c>
      <c r="O38" s="83">
        <f t="shared" si="23"/>
        <v>0</v>
      </c>
      <c r="P38" s="83">
        <f t="shared" si="23"/>
        <v>0</v>
      </c>
      <c r="Q38" s="219">
        <f t="shared" ref="Q38:V38" si="26">Q40+Q42+Q44+Q46+Q48+Q50+Q52+Q54+Q56+Q58</f>
        <v>0</v>
      </c>
      <c r="R38" s="219">
        <f t="shared" ref="R38" si="27">R40+R42+R44+R46+R48+R50+R52+R54+R56+R58</f>
        <v>0</v>
      </c>
      <c r="S38" s="83">
        <f t="shared" si="26"/>
        <v>0</v>
      </c>
      <c r="T38" s="83">
        <f t="shared" si="26"/>
        <v>0</v>
      </c>
      <c r="U38" s="83">
        <f t="shared" si="26"/>
        <v>0</v>
      </c>
      <c r="V38" s="83">
        <f t="shared" si="26"/>
        <v>0</v>
      </c>
      <c r="W38" s="133"/>
      <c r="X38" s="83">
        <f t="shared" si="7"/>
        <v>53170015.649999991</v>
      </c>
      <c r="Y38" s="214"/>
    </row>
    <row r="39" spans="1:25" ht="31.5" x14ac:dyDescent="0.25">
      <c r="A39" s="101" t="s">
        <v>88</v>
      </c>
      <c r="B39" s="101" t="s">
        <v>89</v>
      </c>
      <c r="C39" s="10" t="s">
        <v>46</v>
      </c>
      <c r="D39" s="84">
        <f>'дод 2 '!E86</f>
        <v>267823598</v>
      </c>
      <c r="E39" s="84">
        <f>'дод 2 '!F86</f>
        <v>0</v>
      </c>
      <c r="F39" s="84">
        <f>'дод 2 '!G86</f>
        <v>0</v>
      </c>
      <c r="G39" s="220">
        <f>'дод 2 '!H86</f>
        <v>62772302.950000003</v>
      </c>
      <c r="H39" s="84">
        <f>'дод 2 '!I86</f>
        <v>0</v>
      </c>
      <c r="I39" s="84">
        <f>'дод 2 '!J86</f>
        <v>0</v>
      </c>
      <c r="J39" s="134">
        <f t="shared" si="5"/>
        <v>23.437928329974866</v>
      </c>
      <c r="K39" s="84">
        <f>'дод 2 '!L86</f>
        <v>24711141.300000001</v>
      </c>
      <c r="L39" s="84">
        <f>'дод 2 '!M86</f>
        <v>11494273.300000001</v>
      </c>
      <c r="M39" s="84">
        <f>'дод 2 '!N86</f>
        <v>13216868</v>
      </c>
      <c r="N39" s="84">
        <f>'дод 2 '!O86</f>
        <v>0</v>
      </c>
      <c r="O39" s="84">
        <f>'дод 2 '!P86</f>
        <v>0</v>
      </c>
      <c r="P39" s="84">
        <f>'дод 2 '!Q86</f>
        <v>11494273.300000001</v>
      </c>
      <c r="Q39" s="220">
        <f>'дод 2 '!R86</f>
        <v>5356214.9800000004</v>
      </c>
      <c r="R39" s="220">
        <f>'дод 2 '!S86</f>
        <v>2510558.5499999998</v>
      </c>
      <c r="S39" s="84">
        <f>'дод 2 '!T86</f>
        <v>2742013.43</v>
      </c>
      <c r="T39" s="84">
        <f>'дод 2 '!U86</f>
        <v>0</v>
      </c>
      <c r="U39" s="84">
        <f>'дод 2 '!V86</f>
        <v>0</v>
      </c>
      <c r="V39" s="84">
        <f>'дод 2 '!W86</f>
        <v>2614201.5499999998</v>
      </c>
      <c r="W39" s="134">
        <f t="shared" si="6"/>
        <v>21.675303924550018</v>
      </c>
      <c r="X39" s="84">
        <f t="shared" si="7"/>
        <v>68128517.930000007</v>
      </c>
      <c r="Y39" s="214"/>
    </row>
    <row r="40" spans="1:25" ht="15.75" customHeight="1" x14ac:dyDescent="0.25">
      <c r="A40" s="101"/>
      <c r="B40" s="101"/>
      <c r="C40" s="7" t="s">
        <v>344</v>
      </c>
      <c r="D40" s="84">
        <f>'дод 2 '!E87</f>
        <v>178803030</v>
      </c>
      <c r="E40" s="84">
        <f>'дод 2 '!F87</f>
        <v>0</v>
      </c>
      <c r="F40" s="84">
        <f>'дод 2 '!G87</f>
        <v>0</v>
      </c>
      <c r="G40" s="220">
        <f>'дод 2 '!H87</f>
        <v>43740951.109999999</v>
      </c>
      <c r="H40" s="84">
        <f>'дод 2 '!I87</f>
        <v>0</v>
      </c>
      <c r="I40" s="84">
        <f>'дод 2 '!J87</f>
        <v>0</v>
      </c>
      <c r="J40" s="134">
        <f t="shared" si="5"/>
        <v>24.463204628020005</v>
      </c>
      <c r="K40" s="84">
        <f>'дод 2 '!L87</f>
        <v>0</v>
      </c>
      <c r="L40" s="84">
        <f>'дод 2 '!M87</f>
        <v>0</v>
      </c>
      <c r="M40" s="84">
        <f>'дод 2 '!N87</f>
        <v>0</v>
      </c>
      <c r="N40" s="84">
        <f>'дод 2 '!O87</f>
        <v>0</v>
      </c>
      <c r="O40" s="84">
        <f>'дод 2 '!P87</f>
        <v>0</v>
      </c>
      <c r="P40" s="84">
        <f>'дод 2 '!Q87</f>
        <v>0</v>
      </c>
      <c r="Q40" s="220">
        <f>'дод 2 '!R87</f>
        <v>0</v>
      </c>
      <c r="R40" s="220">
        <f>'дод 2 '!S87</f>
        <v>0</v>
      </c>
      <c r="S40" s="84">
        <f>'дод 2 '!T87</f>
        <v>0</v>
      </c>
      <c r="T40" s="84">
        <f>'дод 2 '!U87</f>
        <v>0</v>
      </c>
      <c r="U40" s="84">
        <f>'дод 2 '!V87</f>
        <v>0</v>
      </c>
      <c r="V40" s="84">
        <f>'дод 2 '!W87</f>
        <v>0</v>
      </c>
      <c r="W40" s="134"/>
      <c r="X40" s="84">
        <f t="shared" si="7"/>
        <v>43740951.109999999</v>
      </c>
      <c r="Y40" s="214"/>
    </row>
    <row r="41" spans="1:25" ht="42.75" customHeight="1" x14ac:dyDescent="0.25">
      <c r="A41" s="101" t="s">
        <v>158</v>
      </c>
      <c r="B41" s="101" t="s">
        <v>90</v>
      </c>
      <c r="C41" s="10" t="s">
        <v>159</v>
      </c>
      <c r="D41" s="84">
        <f>'дод 2 '!E88</f>
        <v>37728216</v>
      </c>
      <c r="E41" s="84">
        <f>'дод 2 '!F88</f>
        <v>0</v>
      </c>
      <c r="F41" s="84">
        <f>'дод 2 '!G88</f>
        <v>0</v>
      </c>
      <c r="G41" s="220">
        <f>'дод 2 '!H88</f>
        <v>8716896.7599999998</v>
      </c>
      <c r="H41" s="84">
        <f>'дод 2 '!I88</f>
        <v>0</v>
      </c>
      <c r="I41" s="84">
        <f>'дод 2 '!J88</f>
        <v>0</v>
      </c>
      <c r="J41" s="134">
        <f t="shared" si="5"/>
        <v>23.10444988970589</v>
      </c>
      <c r="K41" s="84">
        <f>'дод 2 '!L88</f>
        <v>1037400</v>
      </c>
      <c r="L41" s="84">
        <f>'дод 2 '!M88</f>
        <v>1000000</v>
      </c>
      <c r="M41" s="84">
        <f>'дод 2 '!N88</f>
        <v>37400</v>
      </c>
      <c r="N41" s="84">
        <f>'дод 2 '!O88</f>
        <v>0</v>
      </c>
      <c r="O41" s="84">
        <f>'дод 2 '!P88</f>
        <v>0</v>
      </c>
      <c r="P41" s="84">
        <f>'дод 2 '!Q88</f>
        <v>1000000</v>
      </c>
      <c r="Q41" s="220">
        <f>'дод 2 '!R88</f>
        <v>11959.27</v>
      </c>
      <c r="R41" s="220">
        <f>'дод 2 '!S88</f>
        <v>0</v>
      </c>
      <c r="S41" s="84">
        <f>'дод 2 '!T88</f>
        <v>11959.27</v>
      </c>
      <c r="T41" s="84">
        <f>'дод 2 '!U88</f>
        <v>0</v>
      </c>
      <c r="U41" s="84">
        <f>'дод 2 '!V88</f>
        <v>0</v>
      </c>
      <c r="V41" s="84">
        <f>'дод 2 '!W88</f>
        <v>0</v>
      </c>
      <c r="W41" s="134">
        <f t="shared" si="6"/>
        <v>1.1528118372855216</v>
      </c>
      <c r="X41" s="84">
        <f t="shared" si="7"/>
        <v>8728856.0299999993</v>
      </c>
      <c r="Y41" s="214"/>
    </row>
    <row r="42" spans="1:25" ht="24" customHeight="1" x14ac:dyDescent="0.25">
      <c r="A42" s="101"/>
      <c r="B42" s="101"/>
      <c r="C42" s="7" t="s">
        <v>344</v>
      </c>
      <c r="D42" s="84">
        <f>'дод 2 '!E89</f>
        <v>23499600</v>
      </c>
      <c r="E42" s="84">
        <f>'дод 2 '!F89</f>
        <v>0</v>
      </c>
      <c r="F42" s="84">
        <f>'дод 2 '!G89</f>
        <v>0</v>
      </c>
      <c r="G42" s="220">
        <f>'дод 2 '!H89</f>
        <v>5662630</v>
      </c>
      <c r="H42" s="84">
        <f>'дод 2 '!I89</f>
        <v>0</v>
      </c>
      <c r="I42" s="84">
        <f>'дод 2 '!J89</f>
        <v>0</v>
      </c>
      <c r="J42" s="134">
        <f t="shared" si="5"/>
        <v>24.096708029072836</v>
      </c>
      <c r="K42" s="84">
        <f>'дод 2 '!L89</f>
        <v>0</v>
      </c>
      <c r="L42" s="84">
        <f>'дод 2 '!M89</f>
        <v>0</v>
      </c>
      <c r="M42" s="84">
        <f>'дод 2 '!N89</f>
        <v>0</v>
      </c>
      <c r="N42" s="84">
        <f>'дод 2 '!O89</f>
        <v>0</v>
      </c>
      <c r="O42" s="84">
        <f>'дод 2 '!P89</f>
        <v>0</v>
      </c>
      <c r="P42" s="84">
        <f>'дод 2 '!Q89</f>
        <v>0</v>
      </c>
      <c r="Q42" s="220">
        <f>'дод 2 '!R89</f>
        <v>0</v>
      </c>
      <c r="R42" s="220">
        <f>'дод 2 '!S89</f>
        <v>0</v>
      </c>
      <c r="S42" s="84">
        <f>'дод 2 '!T89</f>
        <v>0</v>
      </c>
      <c r="T42" s="84">
        <f>'дод 2 '!U89</f>
        <v>0</v>
      </c>
      <c r="U42" s="84">
        <f>'дод 2 '!V89</f>
        <v>0</v>
      </c>
      <c r="V42" s="84">
        <f>'дод 2 '!W89</f>
        <v>0</v>
      </c>
      <c r="W42" s="134"/>
      <c r="X42" s="84">
        <f t="shared" si="7"/>
        <v>5662630</v>
      </c>
      <c r="Y42" s="214"/>
    </row>
    <row r="43" spans="1:25" ht="33" hidden="1" customHeight="1" x14ac:dyDescent="0.25">
      <c r="A43" s="101" t="s">
        <v>160</v>
      </c>
      <c r="B43" s="101" t="s">
        <v>91</v>
      </c>
      <c r="C43" s="10" t="s">
        <v>412</v>
      </c>
      <c r="D43" s="84">
        <f>'дод 2 '!E90</f>
        <v>0</v>
      </c>
      <c r="E43" s="84">
        <f>'дод 2 '!F90</f>
        <v>0</v>
      </c>
      <c r="F43" s="84">
        <f>'дод 2 '!G90</f>
        <v>0</v>
      </c>
      <c r="G43" s="220">
        <f>'дод 2 '!H90</f>
        <v>0</v>
      </c>
      <c r="H43" s="84">
        <f>'дод 2 '!I90</f>
        <v>0</v>
      </c>
      <c r="I43" s="84">
        <f>'дод 2 '!J90</f>
        <v>0</v>
      </c>
      <c r="J43" s="134" t="e">
        <f t="shared" si="5"/>
        <v>#DIV/0!</v>
      </c>
      <c r="K43" s="84">
        <f>'дод 2 '!L90</f>
        <v>0</v>
      </c>
      <c r="L43" s="84">
        <f>'дод 2 '!M90</f>
        <v>0</v>
      </c>
      <c r="M43" s="84">
        <f>'дод 2 '!N90</f>
        <v>0</v>
      </c>
      <c r="N43" s="84">
        <f>'дод 2 '!O90</f>
        <v>0</v>
      </c>
      <c r="O43" s="84">
        <f>'дод 2 '!P90</f>
        <v>0</v>
      </c>
      <c r="P43" s="84">
        <f>'дод 2 '!Q90</f>
        <v>0</v>
      </c>
      <c r="Q43" s="220">
        <f>'дод 2 '!R90</f>
        <v>0</v>
      </c>
      <c r="R43" s="220">
        <f>'дод 2 '!S90</f>
        <v>0</v>
      </c>
      <c r="S43" s="84">
        <f>'дод 2 '!T90</f>
        <v>0</v>
      </c>
      <c r="T43" s="84">
        <f>'дод 2 '!U90</f>
        <v>0</v>
      </c>
      <c r="U43" s="84">
        <f>'дод 2 '!V90</f>
        <v>0</v>
      </c>
      <c r="V43" s="84">
        <f>'дод 2 '!W90</f>
        <v>0</v>
      </c>
      <c r="W43" s="134" t="e">
        <f t="shared" si="6"/>
        <v>#DIV/0!</v>
      </c>
      <c r="X43" s="84">
        <f t="shared" si="7"/>
        <v>0</v>
      </c>
      <c r="Y43" s="214"/>
    </row>
    <row r="44" spans="1:25" ht="27" hidden="1" customHeight="1" x14ac:dyDescent="0.25">
      <c r="A44" s="101"/>
      <c r="B44" s="101"/>
      <c r="C44" s="7" t="s">
        <v>344</v>
      </c>
      <c r="D44" s="84">
        <f>'дод 2 '!E91</f>
        <v>0</v>
      </c>
      <c r="E44" s="84">
        <f>'дод 2 '!F91</f>
        <v>0</v>
      </c>
      <c r="F44" s="84">
        <f>'дод 2 '!G91</f>
        <v>0</v>
      </c>
      <c r="G44" s="220">
        <f>'дод 2 '!H91</f>
        <v>0</v>
      </c>
      <c r="H44" s="84">
        <f>'дод 2 '!I91</f>
        <v>0</v>
      </c>
      <c r="I44" s="84">
        <f>'дод 2 '!J91</f>
        <v>0</v>
      </c>
      <c r="J44" s="134" t="e">
        <f t="shared" si="5"/>
        <v>#DIV/0!</v>
      </c>
      <c r="K44" s="84">
        <f>'дод 2 '!L91</f>
        <v>0</v>
      </c>
      <c r="L44" s="84">
        <f>'дод 2 '!M91</f>
        <v>0</v>
      </c>
      <c r="M44" s="84">
        <f>'дод 2 '!N91</f>
        <v>0</v>
      </c>
      <c r="N44" s="84">
        <f>'дод 2 '!O91</f>
        <v>0</v>
      </c>
      <c r="O44" s="84">
        <f>'дод 2 '!P91</f>
        <v>0</v>
      </c>
      <c r="P44" s="84">
        <f>'дод 2 '!Q91</f>
        <v>0</v>
      </c>
      <c r="Q44" s="220">
        <f>'дод 2 '!R91</f>
        <v>0</v>
      </c>
      <c r="R44" s="220">
        <f>'дод 2 '!S91</f>
        <v>0</v>
      </c>
      <c r="S44" s="84">
        <f>'дод 2 '!T91</f>
        <v>0</v>
      </c>
      <c r="T44" s="84">
        <f>'дод 2 '!U91</f>
        <v>0</v>
      </c>
      <c r="U44" s="84">
        <f>'дод 2 '!V91</f>
        <v>0</v>
      </c>
      <c r="V44" s="84">
        <f>'дод 2 '!W91</f>
        <v>0</v>
      </c>
      <c r="W44" s="134" t="e">
        <f t="shared" si="6"/>
        <v>#DIV/0!</v>
      </c>
      <c r="X44" s="84">
        <f t="shared" si="7"/>
        <v>0</v>
      </c>
      <c r="Y44" s="214"/>
    </row>
    <row r="45" spans="1:25" ht="25.5" customHeight="1" x14ac:dyDescent="0.25">
      <c r="A45" s="101" t="s">
        <v>161</v>
      </c>
      <c r="B45" s="101" t="s">
        <v>92</v>
      </c>
      <c r="C45" s="10" t="s">
        <v>162</v>
      </c>
      <c r="D45" s="84">
        <f>'дод 2 '!E92</f>
        <v>6226457</v>
      </c>
      <c r="E45" s="84">
        <f>'дод 2 '!F92</f>
        <v>0</v>
      </c>
      <c r="F45" s="84">
        <f>'дод 2 '!G92</f>
        <v>0</v>
      </c>
      <c r="G45" s="220">
        <f>'дод 2 '!H92</f>
        <v>1394809.09</v>
      </c>
      <c r="H45" s="84">
        <f>'дод 2 '!I92</f>
        <v>0</v>
      </c>
      <c r="I45" s="84">
        <f>'дод 2 '!J92</f>
        <v>0</v>
      </c>
      <c r="J45" s="134">
        <f t="shared" si="5"/>
        <v>22.401328556512958</v>
      </c>
      <c r="K45" s="84">
        <f>'дод 2 '!L92</f>
        <v>8044410</v>
      </c>
      <c r="L45" s="84">
        <f>'дод 2 '!M92</f>
        <v>410000</v>
      </c>
      <c r="M45" s="84">
        <f>'дод 2 '!N92</f>
        <v>7634410</v>
      </c>
      <c r="N45" s="84">
        <f>'дод 2 '!O92</f>
        <v>0</v>
      </c>
      <c r="O45" s="84">
        <f>'дод 2 '!P92</f>
        <v>0</v>
      </c>
      <c r="P45" s="84">
        <f>'дод 2 '!Q92</f>
        <v>410000</v>
      </c>
      <c r="Q45" s="220">
        <f>'дод 2 '!R92</f>
        <v>1545262.04</v>
      </c>
      <c r="R45" s="220">
        <f>'дод 2 '!S92</f>
        <v>0</v>
      </c>
      <c r="S45" s="84">
        <f>'дод 2 '!T92</f>
        <v>1545262.04</v>
      </c>
      <c r="T45" s="84">
        <f>'дод 2 '!U92</f>
        <v>0</v>
      </c>
      <c r="U45" s="84">
        <f>'дод 2 '!V92</f>
        <v>0</v>
      </c>
      <c r="V45" s="84">
        <f>'дод 2 '!W92</f>
        <v>0</v>
      </c>
      <c r="W45" s="134">
        <f t="shared" si="6"/>
        <v>19.209140757370648</v>
      </c>
      <c r="X45" s="84">
        <f t="shared" si="7"/>
        <v>2940071.13</v>
      </c>
      <c r="Y45" s="214"/>
    </row>
    <row r="46" spans="1:25" ht="25.5" customHeight="1" x14ac:dyDescent="0.25">
      <c r="A46" s="101"/>
      <c r="B46" s="101"/>
      <c r="C46" s="7" t="s">
        <v>344</v>
      </c>
      <c r="D46" s="84">
        <f>'дод 2 '!E93</f>
        <v>4064800</v>
      </c>
      <c r="E46" s="84">
        <f>'дод 2 '!F93</f>
        <v>0</v>
      </c>
      <c r="F46" s="84">
        <f>'дод 2 '!G93</f>
        <v>0</v>
      </c>
      <c r="G46" s="220">
        <f>'дод 2 '!H93</f>
        <v>1165375.4099999999</v>
      </c>
      <c r="H46" s="84">
        <f>'дод 2 '!I93</f>
        <v>0</v>
      </c>
      <c r="I46" s="84">
        <f>'дод 2 '!J93</f>
        <v>0</v>
      </c>
      <c r="J46" s="134">
        <f t="shared" si="5"/>
        <v>28.66993234599488</v>
      </c>
      <c r="K46" s="84">
        <f>'дод 2 '!L93</f>
        <v>0</v>
      </c>
      <c r="L46" s="84">
        <f>'дод 2 '!M93</f>
        <v>0</v>
      </c>
      <c r="M46" s="84">
        <f>'дод 2 '!N93</f>
        <v>0</v>
      </c>
      <c r="N46" s="84">
        <f>'дод 2 '!O93</f>
        <v>0</v>
      </c>
      <c r="O46" s="84">
        <f>'дод 2 '!P93</f>
        <v>0</v>
      </c>
      <c r="P46" s="84">
        <f>'дод 2 '!Q93</f>
        <v>0</v>
      </c>
      <c r="Q46" s="220">
        <f>'дод 2 '!R93</f>
        <v>0</v>
      </c>
      <c r="R46" s="220">
        <f>'дод 2 '!S93</f>
        <v>0</v>
      </c>
      <c r="S46" s="84">
        <f>'дод 2 '!T93</f>
        <v>0</v>
      </c>
      <c r="T46" s="84">
        <f>'дод 2 '!U93</f>
        <v>0</v>
      </c>
      <c r="U46" s="84">
        <f>'дод 2 '!V93</f>
        <v>0</v>
      </c>
      <c r="V46" s="84">
        <f>'дод 2 '!W93</f>
        <v>0</v>
      </c>
      <c r="W46" s="134"/>
      <c r="X46" s="84">
        <f t="shared" si="7"/>
        <v>1165375.4099999999</v>
      </c>
      <c r="Y46" s="214"/>
    </row>
    <row r="47" spans="1:25" ht="54" customHeight="1" x14ac:dyDescent="0.25">
      <c r="A47" s="101" t="s">
        <v>163</v>
      </c>
      <c r="B47" s="101" t="s">
        <v>413</v>
      </c>
      <c r="C47" s="10" t="s">
        <v>164</v>
      </c>
      <c r="D47" s="84">
        <f>'дод 2 '!E94</f>
        <v>2760000</v>
      </c>
      <c r="E47" s="84">
        <f>'дод 2 '!F94</f>
        <v>0</v>
      </c>
      <c r="F47" s="84">
        <f>'дод 2 '!G94</f>
        <v>0</v>
      </c>
      <c r="G47" s="220">
        <f>'дод 2 '!H94</f>
        <v>597529.94999999995</v>
      </c>
      <c r="H47" s="84">
        <f>'дод 2 '!I94</f>
        <v>0</v>
      </c>
      <c r="I47" s="84">
        <f>'дод 2 '!J94</f>
        <v>0</v>
      </c>
      <c r="J47" s="134">
        <f t="shared" si="5"/>
        <v>21.649635869565216</v>
      </c>
      <c r="K47" s="84">
        <f>'дод 2 '!L94</f>
        <v>2995815</v>
      </c>
      <c r="L47" s="84">
        <f>'дод 2 '!M94</f>
        <v>2995815</v>
      </c>
      <c r="M47" s="84">
        <f>'дод 2 '!N94</f>
        <v>0</v>
      </c>
      <c r="N47" s="84">
        <f>'дод 2 '!O94</f>
        <v>0</v>
      </c>
      <c r="O47" s="84">
        <f>'дод 2 '!P94</f>
        <v>0</v>
      </c>
      <c r="P47" s="84">
        <f>'дод 2 '!Q94</f>
        <v>2995815</v>
      </c>
      <c r="Q47" s="220">
        <f>'дод 2 '!R94</f>
        <v>13357</v>
      </c>
      <c r="R47" s="220">
        <f>'дод 2 '!S94</f>
        <v>13357</v>
      </c>
      <c r="S47" s="84">
        <f>'дод 2 '!T94</f>
        <v>0</v>
      </c>
      <c r="T47" s="84">
        <f>'дод 2 '!U94</f>
        <v>0</v>
      </c>
      <c r="U47" s="84">
        <f>'дод 2 '!V94</f>
        <v>0</v>
      </c>
      <c r="V47" s="84">
        <f>'дод 2 '!W94</f>
        <v>13357</v>
      </c>
      <c r="W47" s="134">
        <f t="shared" si="6"/>
        <v>0.4458553014788964</v>
      </c>
      <c r="X47" s="84">
        <f t="shared" si="7"/>
        <v>610886.94999999995</v>
      </c>
      <c r="Y47" s="214"/>
    </row>
    <row r="48" spans="1:25" ht="21.75" hidden="1" customHeight="1" x14ac:dyDescent="0.25">
      <c r="A48" s="101"/>
      <c r="B48" s="101"/>
      <c r="C48" s="7" t="s">
        <v>344</v>
      </c>
      <c r="D48" s="84">
        <f>'дод 2 '!E95</f>
        <v>0</v>
      </c>
      <c r="E48" s="84">
        <f>'дод 2 '!F95</f>
        <v>0</v>
      </c>
      <c r="F48" s="84">
        <f>'дод 2 '!G95</f>
        <v>0</v>
      </c>
      <c r="G48" s="220">
        <f>'дод 2 '!H95</f>
        <v>0</v>
      </c>
      <c r="H48" s="84">
        <f>'дод 2 '!I95</f>
        <v>0</v>
      </c>
      <c r="I48" s="84">
        <f>'дод 2 '!J95</f>
        <v>0</v>
      </c>
      <c r="J48" s="134" t="e">
        <f t="shared" si="5"/>
        <v>#DIV/0!</v>
      </c>
      <c r="K48" s="84">
        <f>'дод 2 '!L95</f>
        <v>0</v>
      </c>
      <c r="L48" s="84">
        <f>'дод 2 '!M95</f>
        <v>0</v>
      </c>
      <c r="M48" s="84">
        <f>'дод 2 '!N95</f>
        <v>0</v>
      </c>
      <c r="N48" s="84">
        <f>'дод 2 '!O95</f>
        <v>0</v>
      </c>
      <c r="O48" s="84">
        <f>'дод 2 '!P95</f>
        <v>0</v>
      </c>
      <c r="P48" s="84">
        <f>'дод 2 '!Q95</f>
        <v>0</v>
      </c>
      <c r="Q48" s="220">
        <f>'дод 2 '!R95</f>
        <v>0</v>
      </c>
      <c r="R48" s="220">
        <f>'дод 2 '!S95</f>
        <v>0</v>
      </c>
      <c r="S48" s="84">
        <f>'дод 2 '!T95</f>
        <v>0</v>
      </c>
      <c r="T48" s="84">
        <f>'дод 2 '!U95</f>
        <v>0</v>
      </c>
      <c r="U48" s="84">
        <f>'дод 2 '!V95</f>
        <v>0</v>
      </c>
      <c r="V48" s="84">
        <f>'дод 2 '!W95</f>
        <v>0</v>
      </c>
      <c r="W48" s="134" t="e">
        <f t="shared" si="6"/>
        <v>#DIV/0!</v>
      </c>
      <c r="X48" s="84">
        <f t="shared" si="7"/>
        <v>0</v>
      </c>
      <c r="Y48" s="214"/>
    </row>
    <row r="49" spans="1:25" ht="52.5" hidden="1" customHeight="1" x14ac:dyDescent="0.25">
      <c r="A49" s="101" t="s">
        <v>483</v>
      </c>
      <c r="B49" s="101" t="s">
        <v>91</v>
      </c>
      <c r="C49" s="10" t="s">
        <v>481</v>
      </c>
      <c r="D49" s="84">
        <f>'дод 2 '!E96</f>
        <v>0</v>
      </c>
      <c r="E49" s="84">
        <f>'дод 2 '!F96</f>
        <v>0</v>
      </c>
      <c r="F49" s="84">
        <f>'дод 2 '!G96</f>
        <v>0</v>
      </c>
      <c r="G49" s="220">
        <f>'дод 2 '!H96</f>
        <v>0</v>
      </c>
      <c r="H49" s="84">
        <f>'дод 2 '!I96</f>
        <v>0</v>
      </c>
      <c r="I49" s="84">
        <f>'дод 2 '!J96</f>
        <v>0</v>
      </c>
      <c r="J49" s="134" t="e">
        <f t="shared" si="5"/>
        <v>#DIV/0!</v>
      </c>
      <c r="K49" s="84">
        <f>'дод 2 '!L96</f>
        <v>0</v>
      </c>
      <c r="L49" s="84">
        <f>'дод 2 '!M96</f>
        <v>0</v>
      </c>
      <c r="M49" s="84">
        <f>'дод 2 '!N96</f>
        <v>0</v>
      </c>
      <c r="N49" s="84">
        <f>'дод 2 '!O96</f>
        <v>0</v>
      </c>
      <c r="O49" s="84">
        <f>'дод 2 '!P96</f>
        <v>0</v>
      </c>
      <c r="P49" s="84">
        <f>'дод 2 '!Q96</f>
        <v>0</v>
      </c>
      <c r="Q49" s="220">
        <f>'дод 2 '!R96</f>
        <v>0</v>
      </c>
      <c r="R49" s="220">
        <f>'дод 2 '!S96</f>
        <v>0</v>
      </c>
      <c r="S49" s="84">
        <f>'дод 2 '!T96</f>
        <v>0</v>
      </c>
      <c r="T49" s="84">
        <f>'дод 2 '!U96</f>
        <v>0</v>
      </c>
      <c r="U49" s="84">
        <f>'дод 2 '!V96</f>
        <v>0</v>
      </c>
      <c r="V49" s="84">
        <f>'дод 2 '!W96</f>
        <v>0</v>
      </c>
      <c r="W49" s="134" t="e">
        <f t="shared" si="6"/>
        <v>#DIV/0!</v>
      </c>
      <c r="X49" s="84">
        <f t="shared" si="7"/>
        <v>0</v>
      </c>
      <c r="Y49" s="214"/>
    </row>
    <row r="50" spans="1:25" ht="21.75" hidden="1" customHeight="1" x14ac:dyDescent="0.25">
      <c r="A50" s="101"/>
      <c r="B50" s="101"/>
      <c r="C50" s="7" t="s">
        <v>344</v>
      </c>
      <c r="D50" s="84">
        <f>'дод 2 '!E97</f>
        <v>0</v>
      </c>
      <c r="E50" s="84">
        <f>'дод 2 '!F97</f>
        <v>0</v>
      </c>
      <c r="F50" s="84">
        <f>'дод 2 '!G97</f>
        <v>0</v>
      </c>
      <c r="G50" s="220">
        <f>'дод 2 '!H97</f>
        <v>0</v>
      </c>
      <c r="H50" s="84">
        <f>'дод 2 '!I97</f>
        <v>0</v>
      </c>
      <c r="I50" s="84">
        <f>'дод 2 '!J97</f>
        <v>0</v>
      </c>
      <c r="J50" s="134" t="e">
        <f t="shared" si="5"/>
        <v>#DIV/0!</v>
      </c>
      <c r="K50" s="84">
        <f>'дод 2 '!L97</f>
        <v>0</v>
      </c>
      <c r="L50" s="84">
        <f>'дод 2 '!M97</f>
        <v>0</v>
      </c>
      <c r="M50" s="84">
        <f>'дод 2 '!N97</f>
        <v>0</v>
      </c>
      <c r="N50" s="84">
        <f>'дод 2 '!O97</f>
        <v>0</v>
      </c>
      <c r="O50" s="84">
        <f>'дод 2 '!P97</f>
        <v>0</v>
      </c>
      <c r="P50" s="84">
        <f>'дод 2 '!Q97</f>
        <v>0</v>
      </c>
      <c r="Q50" s="220">
        <f>'дод 2 '!R97</f>
        <v>0</v>
      </c>
      <c r="R50" s="220">
        <f>'дод 2 '!S97</f>
        <v>0</v>
      </c>
      <c r="S50" s="84">
        <f>'дод 2 '!T97</f>
        <v>0</v>
      </c>
      <c r="T50" s="84">
        <f>'дод 2 '!U97</f>
        <v>0</v>
      </c>
      <c r="U50" s="84">
        <f>'дод 2 '!V97</f>
        <v>0</v>
      </c>
      <c r="V50" s="84">
        <f>'дод 2 '!W97</f>
        <v>0</v>
      </c>
      <c r="W50" s="134" t="e">
        <f t="shared" si="6"/>
        <v>#DIV/0!</v>
      </c>
      <c r="X50" s="84">
        <f t="shared" si="7"/>
        <v>0</v>
      </c>
      <c r="Y50" s="214"/>
    </row>
    <row r="51" spans="1:25" ht="36.75" customHeight="1" x14ac:dyDescent="0.25">
      <c r="A51" s="104">
        <v>2144</v>
      </c>
      <c r="B51" s="101" t="s">
        <v>93</v>
      </c>
      <c r="C51" s="10" t="s">
        <v>165</v>
      </c>
      <c r="D51" s="84">
        <f>'дод 2 '!E98</f>
        <v>4580500</v>
      </c>
      <c r="E51" s="84">
        <f>'дод 2 '!F98</f>
        <v>0</v>
      </c>
      <c r="F51" s="84">
        <f>'дод 2 '!G98</f>
        <v>0</v>
      </c>
      <c r="G51" s="220">
        <f>'дод 2 '!H98</f>
        <v>1144764.33</v>
      </c>
      <c r="H51" s="84">
        <f>'дод 2 '!I98</f>
        <v>0</v>
      </c>
      <c r="I51" s="84">
        <f>'дод 2 '!J98</f>
        <v>0</v>
      </c>
      <c r="J51" s="134">
        <f t="shared" si="5"/>
        <v>24.992125968780702</v>
      </c>
      <c r="K51" s="84">
        <f>'дод 2 '!L98</f>
        <v>0</v>
      </c>
      <c r="L51" s="84">
        <f>'дод 2 '!M98</f>
        <v>0</v>
      </c>
      <c r="M51" s="84">
        <f>'дод 2 '!N98</f>
        <v>0</v>
      </c>
      <c r="N51" s="84">
        <f>'дод 2 '!O98</f>
        <v>0</v>
      </c>
      <c r="O51" s="84">
        <f>'дод 2 '!P98</f>
        <v>0</v>
      </c>
      <c r="P51" s="84">
        <f>'дод 2 '!Q98</f>
        <v>0</v>
      </c>
      <c r="Q51" s="220">
        <f>'дод 2 '!R98</f>
        <v>0</v>
      </c>
      <c r="R51" s="220">
        <f>'дод 2 '!S98</f>
        <v>0</v>
      </c>
      <c r="S51" s="84">
        <f>'дод 2 '!T98</f>
        <v>0</v>
      </c>
      <c r="T51" s="84">
        <f>'дод 2 '!U98</f>
        <v>0</v>
      </c>
      <c r="U51" s="84">
        <f>'дод 2 '!V98</f>
        <v>0</v>
      </c>
      <c r="V51" s="84">
        <f>'дод 2 '!W98</f>
        <v>0</v>
      </c>
      <c r="W51" s="134"/>
      <c r="X51" s="84">
        <f t="shared" si="7"/>
        <v>1144764.33</v>
      </c>
      <c r="Y51" s="214"/>
    </row>
    <row r="52" spans="1:25" ht="24.75" customHeight="1" x14ac:dyDescent="0.25">
      <c r="A52" s="104"/>
      <c r="B52" s="101"/>
      <c r="C52" s="7" t="s">
        <v>344</v>
      </c>
      <c r="D52" s="84">
        <f>'дод 2 '!E99</f>
        <v>4580500</v>
      </c>
      <c r="E52" s="84">
        <f>'дод 2 '!F99</f>
        <v>0</v>
      </c>
      <c r="F52" s="84">
        <f>'дод 2 '!G99</f>
        <v>0</v>
      </c>
      <c r="G52" s="220">
        <f>'дод 2 '!H99</f>
        <v>1144764.33</v>
      </c>
      <c r="H52" s="84">
        <f>'дод 2 '!I99</f>
        <v>0</v>
      </c>
      <c r="I52" s="84">
        <f>'дод 2 '!J99</f>
        <v>0</v>
      </c>
      <c r="J52" s="134">
        <f t="shared" si="5"/>
        <v>24.992125968780702</v>
      </c>
      <c r="K52" s="84">
        <f>'дод 2 '!L99</f>
        <v>0</v>
      </c>
      <c r="L52" s="84">
        <f>'дод 2 '!M99</f>
        <v>0</v>
      </c>
      <c r="M52" s="84">
        <f>'дод 2 '!N99</f>
        <v>0</v>
      </c>
      <c r="N52" s="84">
        <f>'дод 2 '!O99</f>
        <v>0</v>
      </c>
      <c r="O52" s="84">
        <f>'дод 2 '!P99</f>
        <v>0</v>
      </c>
      <c r="P52" s="84">
        <f>'дод 2 '!Q99</f>
        <v>0</v>
      </c>
      <c r="Q52" s="220">
        <f>'дод 2 '!R99</f>
        <v>0</v>
      </c>
      <c r="R52" s="220">
        <f>'дод 2 '!S99</f>
        <v>0</v>
      </c>
      <c r="S52" s="84">
        <f>'дод 2 '!T99</f>
        <v>0</v>
      </c>
      <c r="T52" s="84">
        <f>'дод 2 '!U99</f>
        <v>0</v>
      </c>
      <c r="U52" s="84">
        <f>'дод 2 '!V99</f>
        <v>0</v>
      </c>
      <c r="V52" s="84">
        <f>'дод 2 '!W99</f>
        <v>0</v>
      </c>
      <c r="W52" s="134"/>
      <c r="X52" s="84">
        <f t="shared" si="7"/>
        <v>1144764.33</v>
      </c>
      <c r="Y52" s="214"/>
    </row>
    <row r="53" spans="1:25" ht="32.25" customHeight="1" x14ac:dyDescent="0.25">
      <c r="A53" s="104">
        <v>2146</v>
      </c>
      <c r="B53" s="101" t="s">
        <v>93</v>
      </c>
      <c r="C53" s="10" t="s">
        <v>426</v>
      </c>
      <c r="D53" s="84">
        <f>'дод 2 '!E100</f>
        <v>1456300</v>
      </c>
      <c r="E53" s="84">
        <f>'дод 2 '!F100</f>
        <v>0</v>
      </c>
      <c r="F53" s="84">
        <f>'дод 2 '!G100</f>
        <v>0</v>
      </c>
      <c r="G53" s="220">
        <f>'дод 2 '!H100</f>
        <v>1456294.8</v>
      </c>
      <c r="H53" s="84">
        <f>'дод 2 '!I100</f>
        <v>0</v>
      </c>
      <c r="I53" s="84">
        <f>'дод 2 '!J100</f>
        <v>0</v>
      </c>
      <c r="J53" s="134">
        <f t="shared" si="5"/>
        <v>99.999642930714828</v>
      </c>
      <c r="K53" s="84">
        <f>'дод 2 '!L100</f>
        <v>0</v>
      </c>
      <c r="L53" s="84">
        <f>'дод 2 '!M100</f>
        <v>0</v>
      </c>
      <c r="M53" s="84">
        <f>'дод 2 '!N100</f>
        <v>0</v>
      </c>
      <c r="N53" s="84">
        <f>'дод 2 '!O100</f>
        <v>0</v>
      </c>
      <c r="O53" s="84">
        <f>'дод 2 '!P100</f>
        <v>0</v>
      </c>
      <c r="P53" s="84">
        <f>'дод 2 '!Q100</f>
        <v>0</v>
      </c>
      <c r="Q53" s="220">
        <f>'дод 2 '!R100</f>
        <v>0</v>
      </c>
      <c r="R53" s="220">
        <f>'дод 2 '!S100</f>
        <v>0</v>
      </c>
      <c r="S53" s="84">
        <f>'дод 2 '!T100</f>
        <v>0</v>
      </c>
      <c r="T53" s="84">
        <f>'дод 2 '!U100</f>
        <v>0</v>
      </c>
      <c r="U53" s="84">
        <f>'дод 2 '!V100</f>
        <v>0</v>
      </c>
      <c r="V53" s="84">
        <f>'дод 2 '!W100</f>
        <v>0</v>
      </c>
      <c r="W53" s="134"/>
      <c r="X53" s="84">
        <f t="shared" si="7"/>
        <v>1456294.8</v>
      </c>
      <c r="Y53" s="214"/>
    </row>
    <row r="54" spans="1:25" ht="24.75" customHeight="1" x14ac:dyDescent="0.25">
      <c r="A54" s="104"/>
      <c r="B54" s="101"/>
      <c r="C54" s="7" t="s">
        <v>344</v>
      </c>
      <c r="D54" s="84">
        <f>'дод 2 '!E101</f>
        <v>1456300</v>
      </c>
      <c r="E54" s="84">
        <f>'дод 2 '!F101</f>
        <v>0</v>
      </c>
      <c r="F54" s="84">
        <f>'дод 2 '!G101</f>
        <v>0</v>
      </c>
      <c r="G54" s="220">
        <f>'дод 2 '!H101</f>
        <v>1456294.8</v>
      </c>
      <c r="H54" s="84">
        <f>'дод 2 '!I101</f>
        <v>0</v>
      </c>
      <c r="I54" s="84">
        <f>'дод 2 '!J101</f>
        <v>0</v>
      </c>
      <c r="J54" s="134">
        <f t="shared" si="5"/>
        <v>99.999642930714828</v>
      </c>
      <c r="K54" s="84">
        <f>'дод 2 '!L101</f>
        <v>0</v>
      </c>
      <c r="L54" s="84">
        <f>'дод 2 '!M101</f>
        <v>0</v>
      </c>
      <c r="M54" s="84">
        <f>'дод 2 '!N101</f>
        <v>0</v>
      </c>
      <c r="N54" s="84">
        <f>'дод 2 '!O101</f>
        <v>0</v>
      </c>
      <c r="O54" s="84">
        <f>'дод 2 '!P101</f>
        <v>0</v>
      </c>
      <c r="P54" s="84">
        <f>'дод 2 '!Q101</f>
        <v>0</v>
      </c>
      <c r="Q54" s="220">
        <f>'дод 2 '!R101</f>
        <v>0</v>
      </c>
      <c r="R54" s="220">
        <f>'дод 2 '!S101</f>
        <v>0</v>
      </c>
      <c r="S54" s="84">
        <f>'дод 2 '!T101</f>
        <v>0</v>
      </c>
      <c r="T54" s="84">
        <f>'дод 2 '!U101</f>
        <v>0</v>
      </c>
      <c r="U54" s="84">
        <f>'дод 2 '!V101</f>
        <v>0</v>
      </c>
      <c r="V54" s="84">
        <f>'дод 2 '!W101</f>
        <v>0</v>
      </c>
      <c r="W54" s="134"/>
      <c r="X54" s="84">
        <f t="shared" si="7"/>
        <v>1456294.8</v>
      </c>
      <c r="Y54" s="214"/>
    </row>
    <row r="55" spans="1:25" ht="37.5" customHeight="1" x14ac:dyDescent="0.25">
      <c r="A55" s="101" t="s">
        <v>372</v>
      </c>
      <c r="B55" s="101" t="s">
        <v>93</v>
      </c>
      <c r="C55" s="7" t="s">
        <v>374</v>
      </c>
      <c r="D55" s="84">
        <f>'дод 2 '!E102</f>
        <v>2602469</v>
      </c>
      <c r="E55" s="84">
        <f>'дод 2 '!F102</f>
        <v>0</v>
      </c>
      <c r="F55" s="84">
        <f>'дод 2 '!G102</f>
        <v>0</v>
      </c>
      <c r="G55" s="220">
        <f>'дод 2 '!H102</f>
        <v>588863.06999999995</v>
      </c>
      <c r="H55" s="84">
        <f>'дод 2 '!I102</f>
        <v>0</v>
      </c>
      <c r="I55" s="84">
        <f>'дод 2 '!J102</f>
        <v>0</v>
      </c>
      <c r="J55" s="134">
        <f t="shared" si="5"/>
        <v>22.627092580161374</v>
      </c>
      <c r="K55" s="84">
        <f>'дод 2 '!L102</f>
        <v>0</v>
      </c>
      <c r="L55" s="84">
        <f>'дод 2 '!M102</f>
        <v>0</v>
      </c>
      <c r="M55" s="84">
        <f>'дод 2 '!N102</f>
        <v>0</v>
      </c>
      <c r="N55" s="84">
        <f>'дод 2 '!O102</f>
        <v>0</v>
      </c>
      <c r="O55" s="84">
        <f>'дод 2 '!P102</f>
        <v>0</v>
      </c>
      <c r="P55" s="84">
        <f>'дод 2 '!Q102</f>
        <v>0</v>
      </c>
      <c r="Q55" s="220">
        <f>'дод 2 '!R102</f>
        <v>0</v>
      </c>
      <c r="R55" s="220">
        <f>'дод 2 '!S102</f>
        <v>0</v>
      </c>
      <c r="S55" s="84">
        <f>'дод 2 '!T102</f>
        <v>0</v>
      </c>
      <c r="T55" s="84">
        <f>'дод 2 '!U102</f>
        <v>0</v>
      </c>
      <c r="U55" s="84">
        <f>'дод 2 '!V102</f>
        <v>0</v>
      </c>
      <c r="V55" s="84">
        <f>'дод 2 '!W102</f>
        <v>0</v>
      </c>
      <c r="W55" s="134"/>
      <c r="X55" s="84">
        <f t="shared" si="7"/>
        <v>588863.06999999995</v>
      </c>
      <c r="Y55" s="214"/>
    </row>
    <row r="56" spans="1:25" ht="21.75" hidden="1" customHeight="1" x14ac:dyDescent="0.25">
      <c r="A56" s="101"/>
      <c r="B56" s="101"/>
      <c r="C56" s="7" t="s">
        <v>344</v>
      </c>
      <c r="D56" s="84">
        <f>'дод 2 '!E103</f>
        <v>0</v>
      </c>
      <c r="E56" s="84">
        <f>'дод 2 '!F103</f>
        <v>0</v>
      </c>
      <c r="F56" s="84">
        <f>'дод 2 '!G103</f>
        <v>0</v>
      </c>
      <c r="G56" s="220">
        <f>'дод 2 '!H103</f>
        <v>0</v>
      </c>
      <c r="H56" s="84">
        <f>'дод 2 '!I103</f>
        <v>0</v>
      </c>
      <c r="I56" s="84">
        <f>'дод 2 '!J103</f>
        <v>0</v>
      </c>
      <c r="J56" s="134" t="e">
        <f t="shared" si="5"/>
        <v>#DIV/0!</v>
      </c>
      <c r="K56" s="84">
        <f>'дод 2 '!L103</f>
        <v>0</v>
      </c>
      <c r="L56" s="84">
        <f>'дод 2 '!M103</f>
        <v>0</v>
      </c>
      <c r="M56" s="84">
        <f>'дод 2 '!N103</f>
        <v>0</v>
      </c>
      <c r="N56" s="84">
        <f>'дод 2 '!O103</f>
        <v>0</v>
      </c>
      <c r="O56" s="84">
        <f>'дод 2 '!P103</f>
        <v>0</v>
      </c>
      <c r="P56" s="84">
        <f>'дод 2 '!Q103</f>
        <v>0</v>
      </c>
      <c r="Q56" s="220">
        <f>'дод 2 '!R103</f>
        <v>0</v>
      </c>
      <c r="R56" s="220">
        <f>'дод 2 '!S103</f>
        <v>0</v>
      </c>
      <c r="S56" s="84">
        <f>'дод 2 '!T103</f>
        <v>0</v>
      </c>
      <c r="T56" s="84">
        <f>'дод 2 '!U103</f>
        <v>0</v>
      </c>
      <c r="U56" s="84">
        <f>'дод 2 '!V103</f>
        <v>0</v>
      </c>
      <c r="V56" s="84">
        <f>'дод 2 '!W103</f>
        <v>0</v>
      </c>
      <c r="W56" s="134" t="e">
        <f t="shared" si="6"/>
        <v>#DIV/0!</v>
      </c>
      <c r="X56" s="84">
        <f t="shared" si="7"/>
        <v>0</v>
      </c>
      <c r="Y56" s="214"/>
    </row>
    <row r="57" spans="1:25" ht="21.75" customHeight="1" x14ac:dyDescent="0.25">
      <c r="A57" s="101" t="s">
        <v>373</v>
      </c>
      <c r="B57" s="101" t="s">
        <v>93</v>
      </c>
      <c r="C57" s="7" t="s">
        <v>375</v>
      </c>
      <c r="D57" s="84">
        <f>'дод 2 '!E104</f>
        <v>15016600</v>
      </c>
      <c r="E57" s="84">
        <f>'дод 2 '!F104</f>
        <v>0</v>
      </c>
      <c r="F57" s="84">
        <f>'дод 2 '!G104</f>
        <v>0</v>
      </c>
      <c r="G57" s="220">
        <f>'дод 2 '!H104</f>
        <v>2694788.27</v>
      </c>
      <c r="H57" s="84">
        <f>'дод 2 '!I104</f>
        <v>0</v>
      </c>
      <c r="I57" s="84">
        <f>'дод 2 '!J104</f>
        <v>0</v>
      </c>
      <c r="J57" s="134">
        <f t="shared" si="5"/>
        <v>17.94539556224445</v>
      </c>
      <c r="K57" s="84">
        <f>'дод 2 '!L104</f>
        <v>3000000</v>
      </c>
      <c r="L57" s="84">
        <f>'дод 2 '!M104</f>
        <v>3000000</v>
      </c>
      <c r="M57" s="84">
        <f>'дод 2 '!N104</f>
        <v>0</v>
      </c>
      <c r="N57" s="84">
        <f>'дод 2 '!O104</f>
        <v>0</v>
      </c>
      <c r="O57" s="84">
        <f>'дод 2 '!P104</f>
        <v>0</v>
      </c>
      <c r="P57" s="84">
        <f>'дод 2 '!Q104</f>
        <v>3000000</v>
      </c>
      <c r="Q57" s="220">
        <f>'дод 2 '!R104</f>
        <v>0</v>
      </c>
      <c r="R57" s="220">
        <f>'дод 2 '!S104</f>
        <v>0</v>
      </c>
      <c r="S57" s="84">
        <f>'дод 2 '!T104</f>
        <v>0</v>
      </c>
      <c r="T57" s="84">
        <f>'дод 2 '!U104</f>
        <v>0</v>
      </c>
      <c r="U57" s="84">
        <f>'дод 2 '!V104</f>
        <v>0</v>
      </c>
      <c r="V57" s="84">
        <f>'дод 2 '!W104</f>
        <v>0</v>
      </c>
      <c r="W57" s="134">
        <f t="shared" si="6"/>
        <v>0</v>
      </c>
      <c r="X57" s="84">
        <f t="shared" si="7"/>
        <v>2694788.27</v>
      </c>
      <c r="Y57" s="214"/>
    </row>
    <row r="58" spans="1:25" ht="21.75" hidden="1" customHeight="1" x14ac:dyDescent="0.25">
      <c r="A58" s="101"/>
      <c r="B58" s="101"/>
      <c r="C58" s="7" t="s">
        <v>344</v>
      </c>
      <c r="D58" s="84">
        <f>'дод 2 '!E105</f>
        <v>0</v>
      </c>
      <c r="E58" s="84">
        <f>'дод 2 '!F105</f>
        <v>0</v>
      </c>
      <c r="F58" s="84">
        <f>'дод 2 '!G105</f>
        <v>0</v>
      </c>
      <c r="G58" s="220">
        <f>'дод 2 '!H105</f>
        <v>0</v>
      </c>
      <c r="H58" s="84">
        <f>'дод 2 '!I105</f>
        <v>0</v>
      </c>
      <c r="I58" s="84">
        <f>'дод 2 '!J105</f>
        <v>0</v>
      </c>
      <c r="J58" s="134" t="e">
        <f t="shared" si="5"/>
        <v>#DIV/0!</v>
      </c>
      <c r="K58" s="84">
        <f>'дод 2 '!L105</f>
        <v>0</v>
      </c>
      <c r="L58" s="84">
        <f>'дод 2 '!M105</f>
        <v>0</v>
      </c>
      <c r="M58" s="84">
        <f>'дод 2 '!N105</f>
        <v>0</v>
      </c>
      <c r="N58" s="84">
        <f>'дод 2 '!O105</f>
        <v>0</v>
      </c>
      <c r="O58" s="84">
        <f>'дод 2 '!P105</f>
        <v>0</v>
      </c>
      <c r="P58" s="84">
        <f>'дод 2 '!Q105</f>
        <v>0</v>
      </c>
      <c r="Q58" s="220">
        <f>'дод 2 '!R105</f>
        <v>0</v>
      </c>
      <c r="R58" s="220">
        <f>'дод 2 '!S105</f>
        <v>0</v>
      </c>
      <c r="S58" s="84">
        <f>'дод 2 '!T105</f>
        <v>0</v>
      </c>
      <c r="T58" s="84">
        <f>'дод 2 '!U105</f>
        <v>0</v>
      </c>
      <c r="U58" s="84">
        <f>'дод 2 '!V105</f>
        <v>0</v>
      </c>
      <c r="V58" s="84">
        <f>'дод 2 '!W105</f>
        <v>0</v>
      </c>
      <c r="W58" s="134" t="e">
        <f t="shared" si="6"/>
        <v>#DIV/0!</v>
      </c>
      <c r="X58" s="84">
        <f t="shared" si="7"/>
        <v>0</v>
      </c>
      <c r="Y58" s="214"/>
    </row>
    <row r="59" spans="1:25" s="11" customFormat="1" ht="34.5" customHeight="1" x14ac:dyDescent="0.25">
      <c r="A59" s="102" t="s">
        <v>94</v>
      </c>
      <c r="B59" s="105"/>
      <c r="C59" s="6" t="s">
        <v>95</v>
      </c>
      <c r="D59" s="83">
        <f>SUM(D61+D63+D65+D67+D69+D70+D71+D73+D74+D76+D78+D80+D82+D84+D86+D88+D90+D91+D93+D95+D97+D99+D101+D103+D104+D105+D106+D107+D108+D109+D110+D111+D112+D113+D114+D115+D116+D117+D124+D126+D127)</f>
        <v>737545573.67000008</v>
      </c>
      <c r="E59" s="83">
        <f t="shared" ref="E59:P59" si="28">SUM(E61+E63+E65+E67+E69+E70+E71+E73+E74+E76+E78+E80+E82+E84+E86+E88+E90+E91+E93+E95+E97+E99+E101+E103+E104+E105+E106+E107+E108+E109+E110+E111+E112+E113+E114+E115+E116+E117+E124+E126+E127)</f>
        <v>14312964</v>
      </c>
      <c r="F59" s="83">
        <f t="shared" si="28"/>
        <v>968952</v>
      </c>
      <c r="G59" s="219">
        <f t="shared" ref="G59:I59" si="29">SUM(G61+G63+G65+G67+G69+G70+G71+G73+G74+G76+G78+G80+G82+G84+G86+G88+G90+G91+G93+G95+G97+G99+G101+G103+G104+G105+G106+G107+G108+G109+G110+G111+G112+G113+G114+G115+G116+G117+G124+G126+G127)</f>
        <v>216140227.54000002</v>
      </c>
      <c r="H59" s="83">
        <f t="shared" si="29"/>
        <v>3324928.1</v>
      </c>
      <c r="I59" s="83">
        <f t="shared" si="29"/>
        <v>309041.30000000005</v>
      </c>
      <c r="J59" s="133">
        <f t="shared" si="5"/>
        <v>29.305338579214034</v>
      </c>
      <c r="K59" s="83">
        <f t="shared" si="28"/>
        <v>1288430</v>
      </c>
      <c r="L59" s="83">
        <f t="shared" ref="L59" si="30">SUM(L61+L63+L65+L67+L69+L70+L71+L73+L74+L76+L78+L80+L82+L84+L86+L88+L90+L91+L93+L95+L97+L99+L101+L103+L104+L105+L106+L107+L108+L109+L110+L111+L112+L113+L114+L115+L116+L117+L124+L126+L127)</f>
        <v>1192900</v>
      </c>
      <c r="M59" s="83">
        <f t="shared" si="28"/>
        <v>95530</v>
      </c>
      <c r="N59" s="83">
        <f t="shared" si="28"/>
        <v>75100</v>
      </c>
      <c r="O59" s="83">
        <f t="shared" si="28"/>
        <v>0</v>
      </c>
      <c r="P59" s="83">
        <f t="shared" si="28"/>
        <v>1192900</v>
      </c>
      <c r="Q59" s="219">
        <f t="shared" ref="Q59:V59" si="31">SUM(Q61+Q63+Q65+Q67+Q69+Q70+Q71+Q73+Q74+Q76+Q78+Q80+Q82+Q84+Q86+Q88+Q90+Q91+Q93+Q95+Q97+Q99+Q101+Q103+Q104+Q105+Q106+Q107+Q108+Q109+Q110+Q111+Q112+Q113+Q114+Q115+Q116+Q117+Q124+Q126+Q127)</f>
        <v>30649.47</v>
      </c>
      <c r="R59" s="219">
        <f t="shared" ref="R59" si="32">SUM(R61+R63+R65+R67+R69+R70+R71+R73+R74+R76+R78+R80+R82+R84+R86+R88+R90+R91+R93+R95+R97+R99+R101+R103+R104+R105+R106+R107+R108+R109+R110+R111+R112+R113+R114+R115+R116+R117+R124+R126+R127)</f>
        <v>0</v>
      </c>
      <c r="S59" s="83">
        <f t="shared" si="31"/>
        <v>30649.47</v>
      </c>
      <c r="T59" s="83">
        <f t="shared" si="31"/>
        <v>14501.36</v>
      </c>
      <c r="U59" s="83">
        <f t="shared" si="31"/>
        <v>0</v>
      </c>
      <c r="V59" s="83">
        <f t="shared" si="31"/>
        <v>0</v>
      </c>
      <c r="W59" s="133">
        <f t="shared" si="6"/>
        <v>2.3788230637287242</v>
      </c>
      <c r="X59" s="83">
        <f t="shared" si="7"/>
        <v>216170877.01000002</v>
      </c>
      <c r="Y59" s="214"/>
    </row>
    <row r="60" spans="1:25" s="11" customFormat="1" ht="21.75" customHeight="1" x14ac:dyDescent="0.25">
      <c r="A60" s="102"/>
      <c r="B60" s="105"/>
      <c r="C60" s="6" t="s">
        <v>344</v>
      </c>
      <c r="D60" s="83">
        <f>SUM(D62+D64+D66+D68+D75+D77+D79+D81+D83+D85+D87+D89+D92+D94+D96+D98+D100+D102+D125)</f>
        <v>626270840</v>
      </c>
      <c r="E60" s="83">
        <f t="shared" ref="E60:P60" si="33">SUM(E62+E64+E66+E68+E75+E77+E79+E81+E83+E85+E87+E89+E92+E94+E96+E98+E100+E102+E125)</f>
        <v>0</v>
      </c>
      <c r="F60" s="83">
        <f t="shared" si="33"/>
        <v>0</v>
      </c>
      <c r="G60" s="219">
        <f t="shared" ref="G60:I60" si="34">SUM(G62+G64+G66+G68+G75+G77+G79+G81+G83+G85+G87+G89+G92+G94+G96+G98+G100+G102+G125)</f>
        <v>191490819.19999999</v>
      </c>
      <c r="H60" s="83">
        <f t="shared" si="34"/>
        <v>0</v>
      </c>
      <c r="I60" s="83">
        <f t="shared" si="34"/>
        <v>0</v>
      </c>
      <c r="J60" s="133">
        <f t="shared" si="5"/>
        <v>30.576358816259109</v>
      </c>
      <c r="K60" s="83">
        <f t="shared" si="33"/>
        <v>0</v>
      </c>
      <c r="L60" s="83">
        <f t="shared" ref="L60" si="35">SUM(L62+L64+L66+L68+L75+L77+L79+L81+L83+L85+L87+L89+L92+L94+L96+L98+L100+L102+L125)</f>
        <v>0</v>
      </c>
      <c r="M60" s="83">
        <f t="shared" si="33"/>
        <v>0</v>
      </c>
      <c r="N60" s="83">
        <f t="shared" si="33"/>
        <v>0</v>
      </c>
      <c r="O60" s="83">
        <f t="shared" si="33"/>
        <v>0</v>
      </c>
      <c r="P60" s="83">
        <f t="shared" si="33"/>
        <v>0</v>
      </c>
      <c r="Q60" s="219">
        <f t="shared" ref="Q60:V60" si="36">SUM(Q62+Q64+Q66+Q68+Q75+Q77+Q79+Q81+Q83+Q85+Q87+Q89+Q92+Q94+Q96+Q98+Q100+Q102+Q125)</f>
        <v>0</v>
      </c>
      <c r="R60" s="219">
        <f t="shared" ref="R60" si="37">SUM(R62+R64+R66+R68+R75+R77+R79+R81+R83+R85+R87+R89+R92+R94+R96+R98+R100+R102+R125)</f>
        <v>0</v>
      </c>
      <c r="S60" s="83">
        <f t="shared" si="36"/>
        <v>0</v>
      </c>
      <c r="T60" s="83">
        <f t="shared" si="36"/>
        <v>0</v>
      </c>
      <c r="U60" s="83">
        <f t="shared" si="36"/>
        <v>0</v>
      </c>
      <c r="V60" s="83">
        <f t="shared" si="36"/>
        <v>0</v>
      </c>
      <c r="W60" s="133"/>
      <c r="X60" s="83">
        <f t="shared" si="7"/>
        <v>191490819.19999999</v>
      </c>
      <c r="Y60" s="215"/>
    </row>
    <row r="61" spans="1:25" ht="49.5" customHeight="1" x14ac:dyDescent="0.25">
      <c r="A61" s="101" t="s">
        <v>428</v>
      </c>
      <c r="B61" s="106">
        <v>1030</v>
      </c>
      <c r="C61" s="7" t="s">
        <v>432</v>
      </c>
      <c r="D61" s="84">
        <f>'дод 2 '!E120</f>
        <v>60934500</v>
      </c>
      <c r="E61" s="84">
        <f>'дод 2 '!F120</f>
        <v>0</v>
      </c>
      <c r="F61" s="84">
        <f>'дод 2 '!G120</f>
        <v>0</v>
      </c>
      <c r="G61" s="220">
        <f>'дод 2 '!H120</f>
        <v>29264116.359999999</v>
      </c>
      <c r="H61" s="84">
        <f>'дод 2 '!I120</f>
        <v>0</v>
      </c>
      <c r="I61" s="84">
        <f>'дод 2 '!J120</f>
        <v>0</v>
      </c>
      <c r="J61" s="134">
        <f t="shared" si="5"/>
        <v>48.025529642484962</v>
      </c>
      <c r="K61" s="84">
        <f>'дод 2 '!L120</f>
        <v>0</v>
      </c>
      <c r="L61" s="84">
        <f>'дод 2 '!M120</f>
        <v>0</v>
      </c>
      <c r="M61" s="84">
        <f>'дод 2 '!N120</f>
        <v>0</v>
      </c>
      <c r="N61" s="84">
        <f>'дод 2 '!O120</f>
        <v>0</v>
      </c>
      <c r="O61" s="84">
        <f>'дод 2 '!P120</f>
        <v>0</v>
      </c>
      <c r="P61" s="84">
        <f>'дод 2 '!Q120</f>
        <v>0</v>
      </c>
      <c r="Q61" s="220">
        <f>'дод 2 '!R120</f>
        <v>0</v>
      </c>
      <c r="R61" s="220">
        <f>'дод 2 '!S120</f>
        <v>0</v>
      </c>
      <c r="S61" s="84">
        <f>'дод 2 '!T120</f>
        <v>0</v>
      </c>
      <c r="T61" s="84">
        <f>'дод 2 '!U120</f>
        <v>0</v>
      </c>
      <c r="U61" s="84">
        <f>'дод 2 '!V120</f>
        <v>0</v>
      </c>
      <c r="V61" s="84">
        <f>'дод 2 '!W120</f>
        <v>0</v>
      </c>
      <c r="W61" s="134"/>
      <c r="X61" s="84">
        <f t="shared" si="7"/>
        <v>29264116.359999999</v>
      </c>
      <c r="Y61" s="215"/>
    </row>
    <row r="62" spans="1:25" ht="21.75" customHeight="1" x14ac:dyDescent="0.25">
      <c r="A62" s="101"/>
      <c r="B62" s="106"/>
      <c r="C62" s="7" t="s">
        <v>344</v>
      </c>
      <c r="D62" s="84">
        <f>'дод 2 '!E121</f>
        <v>60934500</v>
      </c>
      <c r="E62" s="84">
        <f>'дод 2 '!F121</f>
        <v>0</v>
      </c>
      <c r="F62" s="84">
        <f>'дод 2 '!G121</f>
        <v>0</v>
      </c>
      <c r="G62" s="220">
        <f>'дод 2 '!H121</f>
        <v>29264116.359999999</v>
      </c>
      <c r="H62" s="84">
        <f>'дод 2 '!I121</f>
        <v>0</v>
      </c>
      <c r="I62" s="84">
        <f>'дод 2 '!J121</f>
        <v>0</v>
      </c>
      <c r="J62" s="134">
        <f t="shared" si="5"/>
        <v>48.025529642484962</v>
      </c>
      <c r="K62" s="84">
        <f>'дод 2 '!L121</f>
        <v>0</v>
      </c>
      <c r="L62" s="84">
        <f>'дод 2 '!M121</f>
        <v>0</v>
      </c>
      <c r="M62" s="84">
        <f>'дод 2 '!N121</f>
        <v>0</v>
      </c>
      <c r="N62" s="84">
        <f>'дод 2 '!O121</f>
        <v>0</v>
      </c>
      <c r="O62" s="84">
        <f>'дод 2 '!P121</f>
        <v>0</v>
      </c>
      <c r="P62" s="84">
        <f>'дод 2 '!Q121</f>
        <v>0</v>
      </c>
      <c r="Q62" s="220">
        <f>'дод 2 '!R121</f>
        <v>0</v>
      </c>
      <c r="R62" s="220">
        <f>'дод 2 '!S121</f>
        <v>0</v>
      </c>
      <c r="S62" s="84">
        <f>'дод 2 '!T121</f>
        <v>0</v>
      </c>
      <c r="T62" s="84">
        <f>'дод 2 '!U121</f>
        <v>0</v>
      </c>
      <c r="U62" s="84">
        <f>'дод 2 '!V121</f>
        <v>0</v>
      </c>
      <c r="V62" s="84">
        <f>'дод 2 '!W121</f>
        <v>0</v>
      </c>
      <c r="W62" s="134"/>
      <c r="X62" s="84">
        <f t="shared" si="7"/>
        <v>29264116.359999999</v>
      </c>
      <c r="Y62" s="215"/>
    </row>
    <row r="63" spans="1:25" ht="33" customHeight="1" x14ac:dyDescent="0.25">
      <c r="A63" s="101" t="s">
        <v>429</v>
      </c>
      <c r="B63" s="106">
        <v>1060</v>
      </c>
      <c r="C63" s="7" t="s">
        <v>433</v>
      </c>
      <c r="D63" s="84">
        <f>'дод 2 '!E122</f>
        <v>222289440</v>
      </c>
      <c r="E63" s="84">
        <f>'дод 2 '!F122</f>
        <v>0</v>
      </c>
      <c r="F63" s="84">
        <f>'дод 2 '!G122</f>
        <v>0</v>
      </c>
      <c r="G63" s="220">
        <f>'дод 2 '!H122</f>
        <v>92807957.379999995</v>
      </c>
      <c r="H63" s="84">
        <f>'дод 2 '!I122</f>
        <v>0</v>
      </c>
      <c r="I63" s="84">
        <f>'дод 2 '!J122</f>
        <v>0</v>
      </c>
      <c r="J63" s="134">
        <f t="shared" si="5"/>
        <v>41.750951993041141</v>
      </c>
      <c r="K63" s="84">
        <f>'дод 2 '!L122</f>
        <v>0</v>
      </c>
      <c r="L63" s="84">
        <f>'дод 2 '!M122</f>
        <v>0</v>
      </c>
      <c r="M63" s="84">
        <f>'дод 2 '!N122</f>
        <v>0</v>
      </c>
      <c r="N63" s="84">
        <f>'дод 2 '!O122</f>
        <v>0</v>
      </c>
      <c r="O63" s="84">
        <f>'дод 2 '!P122</f>
        <v>0</v>
      </c>
      <c r="P63" s="84">
        <f>'дод 2 '!Q122</f>
        <v>0</v>
      </c>
      <c r="Q63" s="220">
        <f>'дод 2 '!R122</f>
        <v>0</v>
      </c>
      <c r="R63" s="220">
        <f>'дод 2 '!S122</f>
        <v>0</v>
      </c>
      <c r="S63" s="84">
        <f>'дод 2 '!T122</f>
        <v>0</v>
      </c>
      <c r="T63" s="84">
        <f>'дод 2 '!U122</f>
        <v>0</v>
      </c>
      <c r="U63" s="84">
        <f>'дод 2 '!V122</f>
        <v>0</v>
      </c>
      <c r="V63" s="84">
        <f>'дод 2 '!W122</f>
        <v>0</v>
      </c>
      <c r="W63" s="134"/>
      <c r="X63" s="84">
        <f t="shared" si="7"/>
        <v>92807957.379999995</v>
      </c>
      <c r="Y63" s="215"/>
    </row>
    <row r="64" spans="1:25" ht="21.75" customHeight="1" x14ac:dyDescent="0.25">
      <c r="A64" s="101"/>
      <c r="B64" s="107"/>
      <c r="C64" s="7" t="s">
        <v>344</v>
      </c>
      <c r="D64" s="84">
        <f>'дод 2 '!E123</f>
        <v>222289440</v>
      </c>
      <c r="E64" s="84">
        <f>'дод 2 '!F123</f>
        <v>0</v>
      </c>
      <c r="F64" s="84">
        <f>'дод 2 '!G123</f>
        <v>0</v>
      </c>
      <c r="G64" s="220">
        <f>'дод 2 '!H123</f>
        <v>92807957.379999995</v>
      </c>
      <c r="H64" s="84">
        <f>'дод 2 '!I123</f>
        <v>0</v>
      </c>
      <c r="I64" s="84">
        <f>'дод 2 '!J123</f>
        <v>0</v>
      </c>
      <c r="J64" s="134">
        <f t="shared" si="5"/>
        <v>41.750951993041141</v>
      </c>
      <c r="K64" s="84">
        <f>'дод 2 '!L123</f>
        <v>0</v>
      </c>
      <c r="L64" s="84">
        <f>'дод 2 '!M123</f>
        <v>0</v>
      </c>
      <c r="M64" s="84">
        <f>'дод 2 '!N123</f>
        <v>0</v>
      </c>
      <c r="N64" s="84">
        <f>'дод 2 '!O123</f>
        <v>0</v>
      </c>
      <c r="O64" s="84">
        <f>'дод 2 '!P123</f>
        <v>0</v>
      </c>
      <c r="P64" s="84">
        <f>'дод 2 '!Q123</f>
        <v>0</v>
      </c>
      <c r="Q64" s="220">
        <f>'дод 2 '!R123</f>
        <v>0</v>
      </c>
      <c r="R64" s="220">
        <f>'дод 2 '!S123</f>
        <v>0</v>
      </c>
      <c r="S64" s="84">
        <f>'дод 2 '!T123</f>
        <v>0</v>
      </c>
      <c r="T64" s="84">
        <f>'дод 2 '!U123</f>
        <v>0</v>
      </c>
      <c r="U64" s="84">
        <f>'дод 2 '!V123</f>
        <v>0</v>
      </c>
      <c r="V64" s="84">
        <f>'дод 2 '!W123</f>
        <v>0</v>
      </c>
      <c r="W64" s="134"/>
      <c r="X64" s="84">
        <f t="shared" si="7"/>
        <v>92807957.379999995</v>
      </c>
      <c r="Y64" s="215"/>
    </row>
    <row r="65" spans="1:25" ht="64.5" customHeight="1" x14ac:dyDescent="0.25">
      <c r="A65" s="101" t="s">
        <v>430</v>
      </c>
      <c r="B65" s="106">
        <v>1030</v>
      </c>
      <c r="C65" s="7" t="s">
        <v>434</v>
      </c>
      <c r="D65" s="84">
        <f>'дод 2 '!E124</f>
        <v>60013</v>
      </c>
      <c r="E65" s="84">
        <f>'дод 2 '!F124</f>
        <v>0</v>
      </c>
      <c r="F65" s="84">
        <f>'дод 2 '!G124</f>
        <v>0</v>
      </c>
      <c r="G65" s="220">
        <f>'дод 2 '!H124</f>
        <v>4682.03</v>
      </c>
      <c r="H65" s="84">
        <f>'дод 2 '!I124</f>
        <v>0</v>
      </c>
      <c r="I65" s="84">
        <f>'дод 2 '!J124</f>
        <v>0</v>
      </c>
      <c r="J65" s="134">
        <f t="shared" si="5"/>
        <v>7.8016929665239196</v>
      </c>
      <c r="K65" s="84">
        <f>'дод 2 '!L124</f>
        <v>0</v>
      </c>
      <c r="L65" s="84">
        <f>'дод 2 '!M124</f>
        <v>0</v>
      </c>
      <c r="M65" s="84">
        <f>'дод 2 '!N124</f>
        <v>0</v>
      </c>
      <c r="N65" s="84">
        <f>'дод 2 '!O124</f>
        <v>0</v>
      </c>
      <c r="O65" s="84">
        <f>'дод 2 '!P124</f>
        <v>0</v>
      </c>
      <c r="P65" s="84">
        <f>'дод 2 '!Q124</f>
        <v>0</v>
      </c>
      <c r="Q65" s="220">
        <f>'дод 2 '!R124</f>
        <v>0</v>
      </c>
      <c r="R65" s="220">
        <f>'дод 2 '!S124</f>
        <v>0</v>
      </c>
      <c r="S65" s="84">
        <f>'дод 2 '!T124</f>
        <v>0</v>
      </c>
      <c r="T65" s="84">
        <f>'дод 2 '!U124</f>
        <v>0</v>
      </c>
      <c r="U65" s="84">
        <f>'дод 2 '!V124</f>
        <v>0</v>
      </c>
      <c r="V65" s="84">
        <f>'дод 2 '!W124</f>
        <v>0</v>
      </c>
      <c r="W65" s="134"/>
      <c r="X65" s="84">
        <f t="shared" si="7"/>
        <v>4682.03</v>
      </c>
      <c r="Y65" s="215"/>
    </row>
    <row r="66" spans="1:25" ht="21.75" customHeight="1" x14ac:dyDescent="0.25">
      <c r="A66" s="101"/>
      <c r="B66" s="107"/>
      <c r="C66" s="7" t="s">
        <v>344</v>
      </c>
      <c r="D66" s="84">
        <f>'дод 2 '!E125</f>
        <v>60013</v>
      </c>
      <c r="E66" s="84">
        <f>'дод 2 '!F125</f>
        <v>0</v>
      </c>
      <c r="F66" s="84">
        <f>'дод 2 '!G125</f>
        <v>0</v>
      </c>
      <c r="G66" s="220">
        <f>'дод 2 '!H125</f>
        <v>4682.03</v>
      </c>
      <c r="H66" s="84">
        <f>'дод 2 '!I125</f>
        <v>0</v>
      </c>
      <c r="I66" s="84">
        <f>'дод 2 '!J125</f>
        <v>0</v>
      </c>
      <c r="J66" s="134">
        <f t="shared" si="5"/>
        <v>7.8016929665239196</v>
      </c>
      <c r="K66" s="84">
        <f>'дод 2 '!L125</f>
        <v>0</v>
      </c>
      <c r="L66" s="84">
        <f>'дод 2 '!M125</f>
        <v>0</v>
      </c>
      <c r="M66" s="84">
        <f>'дод 2 '!N125</f>
        <v>0</v>
      </c>
      <c r="N66" s="84">
        <f>'дод 2 '!O125</f>
        <v>0</v>
      </c>
      <c r="O66" s="84">
        <f>'дод 2 '!P125</f>
        <v>0</v>
      </c>
      <c r="P66" s="84">
        <f>'дод 2 '!Q125</f>
        <v>0</v>
      </c>
      <c r="Q66" s="220">
        <f>'дод 2 '!R125</f>
        <v>0</v>
      </c>
      <c r="R66" s="220">
        <f>'дод 2 '!S125</f>
        <v>0</v>
      </c>
      <c r="S66" s="84">
        <f>'дод 2 '!T125</f>
        <v>0</v>
      </c>
      <c r="T66" s="84">
        <f>'дод 2 '!U125</f>
        <v>0</v>
      </c>
      <c r="U66" s="84">
        <f>'дод 2 '!V125</f>
        <v>0</v>
      </c>
      <c r="V66" s="84">
        <f>'дод 2 '!W125</f>
        <v>0</v>
      </c>
      <c r="W66" s="134"/>
      <c r="X66" s="84">
        <f t="shared" si="7"/>
        <v>4682.03</v>
      </c>
      <c r="Y66" s="215"/>
    </row>
    <row r="67" spans="1:25" ht="55.5" customHeight="1" x14ac:dyDescent="0.25">
      <c r="A67" s="101" t="s">
        <v>431</v>
      </c>
      <c r="B67" s="106">
        <v>1060</v>
      </c>
      <c r="C67" s="7" t="s">
        <v>435</v>
      </c>
      <c r="D67" s="84">
        <f>'дод 2 '!E126</f>
        <v>292387</v>
      </c>
      <c r="E67" s="84">
        <f>'дод 2 '!F126</f>
        <v>0</v>
      </c>
      <c r="F67" s="84">
        <f>'дод 2 '!G126</f>
        <v>0</v>
      </c>
      <c r="G67" s="220">
        <f>'дод 2 '!H126</f>
        <v>27246.94</v>
      </c>
      <c r="H67" s="84">
        <f>'дод 2 '!I126</f>
        <v>0</v>
      </c>
      <c r="I67" s="84">
        <f>'дод 2 '!J126</f>
        <v>0</v>
      </c>
      <c r="J67" s="134">
        <f t="shared" si="5"/>
        <v>9.3187932432016467</v>
      </c>
      <c r="K67" s="84">
        <f>'дод 2 '!L126</f>
        <v>0</v>
      </c>
      <c r="L67" s="84">
        <f>'дод 2 '!M126</f>
        <v>0</v>
      </c>
      <c r="M67" s="84">
        <f>'дод 2 '!N126</f>
        <v>0</v>
      </c>
      <c r="N67" s="84">
        <f>'дод 2 '!O126</f>
        <v>0</v>
      </c>
      <c r="O67" s="84">
        <f>'дод 2 '!P126</f>
        <v>0</v>
      </c>
      <c r="P67" s="84">
        <f>'дод 2 '!Q126</f>
        <v>0</v>
      </c>
      <c r="Q67" s="220">
        <f>'дод 2 '!R126</f>
        <v>0</v>
      </c>
      <c r="R67" s="220">
        <f>'дод 2 '!S126</f>
        <v>0</v>
      </c>
      <c r="S67" s="84">
        <f>'дод 2 '!T126</f>
        <v>0</v>
      </c>
      <c r="T67" s="84">
        <f>'дод 2 '!U126</f>
        <v>0</v>
      </c>
      <c r="U67" s="84">
        <f>'дод 2 '!V126</f>
        <v>0</v>
      </c>
      <c r="V67" s="84">
        <f>'дод 2 '!W126</f>
        <v>0</v>
      </c>
      <c r="W67" s="134"/>
      <c r="X67" s="84">
        <f t="shared" si="7"/>
        <v>27246.94</v>
      </c>
      <c r="Y67" s="215"/>
    </row>
    <row r="68" spans="1:25" ht="21.75" customHeight="1" x14ac:dyDescent="0.25">
      <c r="A68" s="101"/>
      <c r="B68" s="107"/>
      <c r="C68" s="7" t="s">
        <v>344</v>
      </c>
      <c r="D68" s="84">
        <f>'дод 2 '!E127</f>
        <v>292387</v>
      </c>
      <c r="E68" s="84">
        <f>'дод 2 '!F127</f>
        <v>0</v>
      </c>
      <c r="F68" s="84">
        <f>'дод 2 '!G127</f>
        <v>0</v>
      </c>
      <c r="G68" s="220">
        <f>'дод 2 '!H127</f>
        <v>27246.94</v>
      </c>
      <c r="H68" s="84">
        <f>'дод 2 '!I127</f>
        <v>0</v>
      </c>
      <c r="I68" s="84">
        <f>'дод 2 '!J127</f>
        <v>0</v>
      </c>
      <c r="J68" s="134">
        <f t="shared" si="5"/>
        <v>9.3187932432016467</v>
      </c>
      <c r="K68" s="84">
        <f>'дод 2 '!L127</f>
        <v>0</v>
      </c>
      <c r="L68" s="84">
        <f>'дод 2 '!M127</f>
        <v>0</v>
      </c>
      <c r="M68" s="84">
        <f>'дод 2 '!N127</f>
        <v>0</v>
      </c>
      <c r="N68" s="84">
        <f>'дод 2 '!O127</f>
        <v>0</v>
      </c>
      <c r="O68" s="84">
        <f>'дод 2 '!P127</f>
        <v>0</v>
      </c>
      <c r="P68" s="84">
        <f>'дод 2 '!Q127</f>
        <v>0</v>
      </c>
      <c r="Q68" s="220">
        <f>'дод 2 '!R127</f>
        <v>0</v>
      </c>
      <c r="R68" s="220">
        <f>'дод 2 '!S127</f>
        <v>0</v>
      </c>
      <c r="S68" s="84">
        <f>'дод 2 '!T127</f>
        <v>0</v>
      </c>
      <c r="T68" s="84">
        <f>'дод 2 '!U127</f>
        <v>0</v>
      </c>
      <c r="U68" s="84">
        <f>'дод 2 '!V127</f>
        <v>0</v>
      </c>
      <c r="V68" s="84">
        <f>'дод 2 '!W127</f>
        <v>0</v>
      </c>
      <c r="W68" s="134"/>
      <c r="X68" s="84">
        <f t="shared" si="7"/>
        <v>27246.94</v>
      </c>
      <c r="Y68" s="215"/>
    </row>
    <row r="69" spans="1:25" ht="45" customHeight="1" x14ac:dyDescent="0.25">
      <c r="A69" s="101" t="s">
        <v>131</v>
      </c>
      <c r="B69" s="101" t="s">
        <v>77</v>
      </c>
      <c r="C69" s="7" t="s">
        <v>166</v>
      </c>
      <c r="D69" s="84">
        <f>'дод 2 '!E128</f>
        <v>510136</v>
      </c>
      <c r="E69" s="84">
        <f>'дод 2 '!F128</f>
        <v>0</v>
      </c>
      <c r="F69" s="84">
        <f>'дод 2 '!G128</f>
        <v>0</v>
      </c>
      <c r="G69" s="220">
        <f>'дод 2 '!H128</f>
        <v>81569.070000000007</v>
      </c>
      <c r="H69" s="84">
        <f>'дод 2 '!I128</f>
        <v>0</v>
      </c>
      <c r="I69" s="84">
        <f>'дод 2 '!J128</f>
        <v>0</v>
      </c>
      <c r="J69" s="134">
        <f t="shared" si="5"/>
        <v>15.989671381749183</v>
      </c>
      <c r="K69" s="84">
        <f>'дод 2 '!L128</f>
        <v>232600</v>
      </c>
      <c r="L69" s="84">
        <f>'дод 2 '!M128</f>
        <v>232600</v>
      </c>
      <c r="M69" s="84">
        <f>'дод 2 '!N128</f>
        <v>0</v>
      </c>
      <c r="N69" s="84">
        <f>'дод 2 '!O128</f>
        <v>0</v>
      </c>
      <c r="O69" s="84">
        <f>'дод 2 '!P128</f>
        <v>0</v>
      </c>
      <c r="P69" s="84">
        <f>'дод 2 '!Q128</f>
        <v>232600</v>
      </c>
      <c r="Q69" s="220">
        <f>'дод 2 '!R128</f>
        <v>0</v>
      </c>
      <c r="R69" s="220">
        <f>'дод 2 '!S128</f>
        <v>0</v>
      </c>
      <c r="S69" s="84">
        <f>'дод 2 '!T128</f>
        <v>0</v>
      </c>
      <c r="T69" s="84">
        <f>'дод 2 '!U128</f>
        <v>0</v>
      </c>
      <c r="U69" s="84">
        <f>'дод 2 '!V128</f>
        <v>0</v>
      </c>
      <c r="V69" s="84">
        <f>'дод 2 '!W128</f>
        <v>0</v>
      </c>
      <c r="W69" s="134">
        <f t="shared" si="6"/>
        <v>0</v>
      </c>
      <c r="X69" s="84">
        <f t="shared" si="7"/>
        <v>81569.070000000007</v>
      </c>
      <c r="Y69" s="215"/>
    </row>
    <row r="70" spans="1:25" ht="32.25" customHeight="1" x14ac:dyDescent="0.25">
      <c r="A70" s="101" t="s">
        <v>168</v>
      </c>
      <c r="B70" s="101" t="s">
        <v>79</v>
      </c>
      <c r="C70" s="7" t="s">
        <v>167</v>
      </c>
      <c r="D70" s="84">
        <f>'дод 2 '!E129</f>
        <v>1436397</v>
      </c>
      <c r="E70" s="84">
        <f>'дод 2 '!F129</f>
        <v>0</v>
      </c>
      <c r="F70" s="84">
        <f>'дод 2 '!G129</f>
        <v>0</v>
      </c>
      <c r="G70" s="220">
        <f>'дод 2 '!H129</f>
        <v>356607.8</v>
      </c>
      <c r="H70" s="84">
        <f>'дод 2 '!I129</f>
        <v>0</v>
      </c>
      <c r="I70" s="84">
        <f>'дод 2 '!J129</f>
        <v>0</v>
      </c>
      <c r="J70" s="134">
        <f t="shared" si="5"/>
        <v>24.826548649154795</v>
      </c>
      <c r="K70" s="84">
        <f>'дод 2 '!L129</f>
        <v>0</v>
      </c>
      <c r="L70" s="84">
        <f>'дод 2 '!M129</f>
        <v>0</v>
      </c>
      <c r="M70" s="84">
        <f>'дод 2 '!N129</f>
        <v>0</v>
      </c>
      <c r="N70" s="84">
        <f>'дод 2 '!O129</f>
        <v>0</v>
      </c>
      <c r="O70" s="84">
        <f>'дод 2 '!P129</f>
        <v>0</v>
      </c>
      <c r="P70" s="84">
        <f>'дод 2 '!Q129</f>
        <v>0</v>
      </c>
      <c r="Q70" s="220">
        <f>'дод 2 '!R129</f>
        <v>0</v>
      </c>
      <c r="R70" s="220">
        <f>'дод 2 '!S129</f>
        <v>0</v>
      </c>
      <c r="S70" s="84">
        <f>'дод 2 '!T129</f>
        <v>0</v>
      </c>
      <c r="T70" s="84">
        <f>'дод 2 '!U129</f>
        <v>0</v>
      </c>
      <c r="U70" s="84">
        <f>'дод 2 '!V129</f>
        <v>0</v>
      </c>
      <c r="V70" s="84">
        <f>'дод 2 '!W129</f>
        <v>0</v>
      </c>
      <c r="W70" s="134"/>
      <c r="X70" s="84">
        <f t="shared" si="7"/>
        <v>356607.8</v>
      </c>
      <c r="Y70" s="215"/>
    </row>
    <row r="71" spans="1:25" ht="54.75" customHeight="1" x14ac:dyDescent="0.25">
      <c r="A71" s="101" t="s">
        <v>132</v>
      </c>
      <c r="B71" s="101" t="s">
        <v>79</v>
      </c>
      <c r="C71" s="7" t="s">
        <v>65</v>
      </c>
      <c r="D71" s="84">
        <f>'дод 2 '!E130+'дод 2 '!E19</f>
        <v>12541642.67</v>
      </c>
      <c r="E71" s="84">
        <f>'дод 2 '!F130+'дод 2 '!F19</f>
        <v>0</v>
      </c>
      <c r="F71" s="84">
        <f>'дод 2 '!G130+'дод 2 '!G19</f>
        <v>0</v>
      </c>
      <c r="G71" s="220">
        <f>'дод 2 '!H130+'дод 2 '!H19</f>
        <v>4635155.53</v>
      </c>
      <c r="H71" s="84">
        <f>'дод 2 '!I130+'дод 2 '!I19</f>
        <v>0</v>
      </c>
      <c r="I71" s="84">
        <f>'дод 2 '!J130+'дод 2 '!J19</f>
        <v>0</v>
      </c>
      <c r="J71" s="134">
        <f t="shared" si="5"/>
        <v>36.958121451565809</v>
      </c>
      <c r="K71" s="84">
        <f>'дод 2 '!L130+'дод 2 '!L19</f>
        <v>0</v>
      </c>
      <c r="L71" s="84">
        <f>'дод 2 '!M130+'дод 2 '!M19</f>
        <v>0</v>
      </c>
      <c r="M71" s="84">
        <f>'дод 2 '!N130+'дод 2 '!N19</f>
        <v>0</v>
      </c>
      <c r="N71" s="84">
        <f>'дод 2 '!O130+'дод 2 '!O19</f>
        <v>0</v>
      </c>
      <c r="O71" s="84">
        <f>'дод 2 '!P130+'дод 2 '!P19</f>
        <v>0</v>
      </c>
      <c r="P71" s="84">
        <f>'дод 2 '!Q130+'дод 2 '!Q19</f>
        <v>0</v>
      </c>
      <c r="Q71" s="220">
        <f>'дод 2 '!R130+'дод 2 '!R19</f>
        <v>0</v>
      </c>
      <c r="R71" s="220">
        <f>'дод 2 '!S130+'дод 2 '!S19</f>
        <v>0</v>
      </c>
      <c r="S71" s="84">
        <f>'дод 2 '!T130+'дод 2 '!T19</f>
        <v>0</v>
      </c>
      <c r="T71" s="84">
        <f>'дод 2 '!U130+'дод 2 '!U19</f>
        <v>0</v>
      </c>
      <c r="U71" s="84">
        <f>'дод 2 '!V130+'дод 2 '!V19</f>
        <v>0</v>
      </c>
      <c r="V71" s="84">
        <f>'дод 2 '!W130+'дод 2 '!W19</f>
        <v>0</v>
      </c>
      <c r="W71" s="134"/>
      <c r="X71" s="84">
        <f t="shared" si="7"/>
        <v>4635155.53</v>
      </c>
      <c r="Y71" s="215"/>
    </row>
    <row r="72" spans="1:25" ht="54.75" hidden="1" customHeight="1" x14ac:dyDescent="0.25">
      <c r="A72" s="101" t="s">
        <v>494</v>
      </c>
      <c r="B72" s="101" t="s">
        <v>79</v>
      </c>
      <c r="C72" s="7" t="s">
        <v>493</v>
      </c>
      <c r="D72" s="84">
        <f>'дод 2 '!E131</f>
        <v>0</v>
      </c>
      <c r="E72" s="84">
        <f>'дод 2 '!F131</f>
        <v>0</v>
      </c>
      <c r="F72" s="84">
        <f>'дод 2 '!G131</f>
        <v>0</v>
      </c>
      <c r="G72" s="220">
        <f>'дод 2 '!H131</f>
        <v>0</v>
      </c>
      <c r="H72" s="84">
        <f>'дод 2 '!I131</f>
        <v>0</v>
      </c>
      <c r="I72" s="84">
        <f>'дод 2 '!J131</f>
        <v>0</v>
      </c>
      <c r="J72" s="133" t="e">
        <f t="shared" si="5"/>
        <v>#DIV/0!</v>
      </c>
      <c r="K72" s="84">
        <f>'дод 2 '!L131</f>
        <v>0</v>
      </c>
      <c r="L72" s="84">
        <f>'дод 2 '!M131</f>
        <v>0</v>
      </c>
      <c r="M72" s="84">
        <f>'дод 2 '!N131</f>
        <v>0</v>
      </c>
      <c r="N72" s="84">
        <f>'дод 2 '!O131</f>
        <v>0</v>
      </c>
      <c r="O72" s="84">
        <f>'дод 2 '!P131</f>
        <v>0</v>
      </c>
      <c r="P72" s="84">
        <f>'дод 2 '!Q131</f>
        <v>0</v>
      </c>
      <c r="Q72" s="220">
        <f>'дод 2 '!R131</f>
        <v>0</v>
      </c>
      <c r="R72" s="220">
        <f>'дод 2 '!S131</f>
        <v>0</v>
      </c>
      <c r="S72" s="84">
        <f>'дод 2 '!T131</f>
        <v>0</v>
      </c>
      <c r="T72" s="84">
        <f>'дод 2 '!U131</f>
        <v>0</v>
      </c>
      <c r="U72" s="84">
        <f>'дод 2 '!V131</f>
        <v>0</v>
      </c>
      <c r="V72" s="84">
        <f>'дод 2 '!W131</f>
        <v>0</v>
      </c>
      <c r="W72" s="134"/>
      <c r="X72" s="84">
        <f t="shared" si="7"/>
        <v>0</v>
      </c>
      <c r="Y72" s="215"/>
    </row>
    <row r="73" spans="1:25" ht="45" customHeight="1" x14ac:dyDescent="0.25">
      <c r="A73" s="101" t="s">
        <v>169</v>
      </c>
      <c r="B73" s="101" t="s">
        <v>79</v>
      </c>
      <c r="C73" s="7" t="s">
        <v>32</v>
      </c>
      <c r="D73" s="84">
        <f>'дод 2 '!E132+'дод 2 '!E20</f>
        <v>22008680</v>
      </c>
      <c r="E73" s="84">
        <f>'дод 2 '!F132+'дод 2 '!F20</f>
        <v>0</v>
      </c>
      <c r="F73" s="84">
        <f>'дод 2 '!G132+'дод 2 '!G20</f>
        <v>0</v>
      </c>
      <c r="G73" s="220">
        <f>'дод 2 '!H132+'дод 2 '!H20</f>
        <v>7704104.5</v>
      </c>
      <c r="H73" s="84">
        <f>'дод 2 '!I132+'дод 2 '!I20</f>
        <v>0</v>
      </c>
      <c r="I73" s="84">
        <f>'дод 2 '!J132+'дод 2 '!J20</f>
        <v>0</v>
      </c>
      <c r="J73" s="134">
        <f t="shared" si="5"/>
        <v>35.004845815378296</v>
      </c>
      <c r="K73" s="84">
        <f>'дод 2 '!L132+'дод 2 '!L20</f>
        <v>0</v>
      </c>
      <c r="L73" s="84">
        <f>'дод 2 '!M132+'дод 2 '!M20</f>
        <v>0</v>
      </c>
      <c r="M73" s="84">
        <f>'дод 2 '!N132+'дод 2 '!N20</f>
        <v>0</v>
      </c>
      <c r="N73" s="84">
        <f>'дод 2 '!O132+'дод 2 '!O20</f>
        <v>0</v>
      </c>
      <c r="O73" s="84">
        <f>'дод 2 '!P132+'дод 2 '!P20</f>
        <v>0</v>
      </c>
      <c r="P73" s="84">
        <f>'дод 2 '!Q132+'дод 2 '!Q20</f>
        <v>0</v>
      </c>
      <c r="Q73" s="220">
        <f>'дод 2 '!R132+'дод 2 '!R20</f>
        <v>0</v>
      </c>
      <c r="R73" s="220">
        <f>'дод 2 '!S132+'дод 2 '!S20</f>
        <v>0</v>
      </c>
      <c r="S73" s="84">
        <f>'дод 2 '!T132+'дод 2 '!T20</f>
        <v>0</v>
      </c>
      <c r="T73" s="84">
        <f>'дод 2 '!U132+'дод 2 '!U20</f>
        <v>0</v>
      </c>
      <c r="U73" s="84">
        <f>'дод 2 '!V132+'дод 2 '!V20</f>
        <v>0</v>
      </c>
      <c r="V73" s="84">
        <f>'дод 2 '!W132+'дод 2 '!W20</f>
        <v>0</v>
      </c>
      <c r="W73" s="134"/>
      <c r="X73" s="84">
        <f t="shared" si="7"/>
        <v>7704104.5</v>
      </c>
      <c r="Y73" s="215"/>
    </row>
    <row r="74" spans="1:25" ht="27" customHeight="1" x14ac:dyDescent="0.25">
      <c r="A74" s="101" t="s">
        <v>440</v>
      </c>
      <c r="B74" s="101" t="s">
        <v>133</v>
      </c>
      <c r="C74" s="7" t="s">
        <v>447</v>
      </c>
      <c r="D74" s="84">
        <f>'дод 2 '!E133</f>
        <v>3180550</v>
      </c>
      <c r="E74" s="84">
        <f>'дод 2 '!F133</f>
        <v>0</v>
      </c>
      <c r="F74" s="84">
        <f>'дод 2 '!G133</f>
        <v>0</v>
      </c>
      <c r="G74" s="220">
        <f>'дод 2 '!H133</f>
        <v>439825.85</v>
      </c>
      <c r="H74" s="84">
        <f>'дод 2 '!I133</f>
        <v>0</v>
      </c>
      <c r="I74" s="84">
        <f>'дод 2 '!J133</f>
        <v>0</v>
      </c>
      <c r="J74" s="134">
        <f t="shared" si="5"/>
        <v>13.828609831632892</v>
      </c>
      <c r="K74" s="84">
        <f>'дод 2 '!L133</f>
        <v>0</v>
      </c>
      <c r="L74" s="84">
        <f>'дод 2 '!M133</f>
        <v>0</v>
      </c>
      <c r="M74" s="84">
        <f>'дод 2 '!N133</f>
        <v>0</v>
      </c>
      <c r="N74" s="84">
        <f>'дод 2 '!O133</f>
        <v>0</v>
      </c>
      <c r="O74" s="84">
        <f>'дод 2 '!P133</f>
        <v>0</v>
      </c>
      <c r="P74" s="84">
        <f>'дод 2 '!Q133</f>
        <v>0</v>
      </c>
      <c r="Q74" s="220">
        <f>'дод 2 '!R133</f>
        <v>0</v>
      </c>
      <c r="R74" s="220">
        <f>'дод 2 '!S133</f>
        <v>0</v>
      </c>
      <c r="S74" s="84">
        <f>'дод 2 '!T133</f>
        <v>0</v>
      </c>
      <c r="T74" s="84">
        <f>'дод 2 '!U133</f>
        <v>0</v>
      </c>
      <c r="U74" s="84">
        <f>'дод 2 '!V133</f>
        <v>0</v>
      </c>
      <c r="V74" s="84">
        <f>'дод 2 '!W133</f>
        <v>0</v>
      </c>
      <c r="W74" s="134"/>
      <c r="X74" s="84">
        <f t="shared" si="7"/>
        <v>439825.85</v>
      </c>
      <c r="Y74" s="215"/>
    </row>
    <row r="75" spans="1:25" ht="21.75" customHeight="1" x14ac:dyDescent="0.25">
      <c r="A75" s="101"/>
      <c r="B75" s="101"/>
      <c r="C75" s="7" t="s">
        <v>344</v>
      </c>
      <c r="D75" s="84">
        <f>'дод 2 '!E134</f>
        <v>3180550</v>
      </c>
      <c r="E75" s="84">
        <f>'дод 2 '!F134</f>
        <v>0</v>
      </c>
      <c r="F75" s="84">
        <f>'дод 2 '!G134</f>
        <v>0</v>
      </c>
      <c r="G75" s="220">
        <f>'дод 2 '!H134</f>
        <v>439825.85</v>
      </c>
      <c r="H75" s="84">
        <f>'дод 2 '!I134</f>
        <v>0</v>
      </c>
      <c r="I75" s="84">
        <f>'дод 2 '!J134</f>
        <v>0</v>
      </c>
      <c r="J75" s="134">
        <f t="shared" si="5"/>
        <v>13.828609831632892</v>
      </c>
      <c r="K75" s="84">
        <f>'дод 2 '!L134</f>
        <v>0</v>
      </c>
      <c r="L75" s="84">
        <f>'дод 2 '!M134</f>
        <v>0</v>
      </c>
      <c r="M75" s="84">
        <f>'дод 2 '!N134</f>
        <v>0</v>
      </c>
      <c r="N75" s="84">
        <f>'дод 2 '!O134</f>
        <v>0</v>
      </c>
      <c r="O75" s="84">
        <f>'дод 2 '!P134</f>
        <v>0</v>
      </c>
      <c r="P75" s="84">
        <f>'дод 2 '!Q134</f>
        <v>0</v>
      </c>
      <c r="Q75" s="220">
        <f>'дод 2 '!R134</f>
        <v>0</v>
      </c>
      <c r="R75" s="220">
        <f>'дод 2 '!S134</f>
        <v>0</v>
      </c>
      <c r="S75" s="84">
        <f>'дод 2 '!T134</f>
        <v>0</v>
      </c>
      <c r="T75" s="84">
        <f>'дод 2 '!U134</f>
        <v>0</v>
      </c>
      <c r="U75" s="84">
        <f>'дод 2 '!V134</f>
        <v>0</v>
      </c>
      <c r="V75" s="84">
        <f>'дод 2 '!W134</f>
        <v>0</v>
      </c>
      <c r="W75" s="134"/>
      <c r="X75" s="84">
        <f t="shared" si="7"/>
        <v>439825.85</v>
      </c>
      <c r="Y75" s="215"/>
    </row>
    <row r="76" spans="1:25" ht="27" customHeight="1" x14ac:dyDescent="0.25">
      <c r="A76" s="101" t="s">
        <v>441</v>
      </c>
      <c r="B76" s="101" t="s">
        <v>133</v>
      </c>
      <c r="C76" s="7" t="s">
        <v>448</v>
      </c>
      <c r="D76" s="84">
        <f>'дод 2 '!E135</f>
        <v>516000</v>
      </c>
      <c r="E76" s="84">
        <f>'дод 2 '!F135</f>
        <v>0</v>
      </c>
      <c r="F76" s="84">
        <f>'дод 2 '!G135</f>
        <v>0</v>
      </c>
      <c r="G76" s="220">
        <f>'дод 2 '!H135</f>
        <v>104920</v>
      </c>
      <c r="H76" s="84">
        <f>'дод 2 '!I135</f>
        <v>0</v>
      </c>
      <c r="I76" s="84">
        <f>'дод 2 '!J135</f>
        <v>0</v>
      </c>
      <c r="J76" s="134">
        <f t="shared" si="5"/>
        <v>20.333333333333332</v>
      </c>
      <c r="K76" s="84">
        <f>'дод 2 '!L135</f>
        <v>0</v>
      </c>
      <c r="L76" s="84">
        <f>'дод 2 '!M135</f>
        <v>0</v>
      </c>
      <c r="M76" s="84">
        <f>'дод 2 '!N135</f>
        <v>0</v>
      </c>
      <c r="N76" s="84">
        <f>'дод 2 '!O135</f>
        <v>0</v>
      </c>
      <c r="O76" s="84">
        <f>'дод 2 '!P135</f>
        <v>0</v>
      </c>
      <c r="P76" s="84">
        <f>'дод 2 '!Q135</f>
        <v>0</v>
      </c>
      <c r="Q76" s="220">
        <f>'дод 2 '!R135</f>
        <v>0</v>
      </c>
      <c r="R76" s="220">
        <f>'дод 2 '!S135</f>
        <v>0</v>
      </c>
      <c r="S76" s="84">
        <f>'дод 2 '!T135</f>
        <v>0</v>
      </c>
      <c r="T76" s="84">
        <f>'дод 2 '!U135</f>
        <v>0</v>
      </c>
      <c r="U76" s="84">
        <f>'дод 2 '!V135</f>
        <v>0</v>
      </c>
      <c r="V76" s="84">
        <f>'дод 2 '!W135</f>
        <v>0</v>
      </c>
      <c r="W76" s="134"/>
      <c r="X76" s="84">
        <f t="shared" si="7"/>
        <v>104920</v>
      </c>
      <c r="Y76" s="215"/>
    </row>
    <row r="77" spans="1:25" ht="25.5" customHeight="1" x14ac:dyDescent="0.25">
      <c r="A77" s="101"/>
      <c r="B77" s="101"/>
      <c r="C77" s="7" t="s">
        <v>344</v>
      </c>
      <c r="D77" s="84">
        <f>'дод 2 '!E136</f>
        <v>516000</v>
      </c>
      <c r="E77" s="84">
        <f>'дод 2 '!F136</f>
        <v>0</v>
      </c>
      <c r="F77" s="84">
        <f>'дод 2 '!G136</f>
        <v>0</v>
      </c>
      <c r="G77" s="220">
        <f>'дод 2 '!H136</f>
        <v>104920</v>
      </c>
      <c r="H77" s="84">
        <f>'дод 2 '!I136</f>
        <v>0</v>
      </c>
      <c r="I77" s="84">
        <f>'дод 2 '!J136</f>
        <v>0</v>
      </c>
      <c r="J77" s="134">
        <f t="shared" si="5"/>
        <v>20.333333333333332</v>
      </c>
      <c r="K77" s="84">
        <f>'дод 2 '!L136</f>
        <v>0</v>
      </c>
      <c r="L77" s="84">
        <f>'дод 2 '!M136</f>
        <v>0</v>
      </c>
      <c r="M77" s="84">
        <f>'дод 2 '!N136</f>
        <v>0</v>
      </c>
      <c r="N77" s="84">
        <f>'дод 2 '!O136</f>
        <v>0</v>
      </c>
      <c r="O77" s="84">
        <f>'дод 2 '!P136</f>
        <v>0</v>
      </c>
      <c r="P77" s="84">
        <f>'дод 2 '!Q136</f>
        <v>0</v>
      </c>
      <c r="Q77" s="220">
        <f>'дод 2 '!R136</f>
        <v>0</v>
      </c>
      <c r="R77" s="220">
        <f>'дод 2 '!S136</f>
        <v>0</v>
      </c>
      <c r="S77" s="84">
        <f>'дод 2 '!T136</f>
        <v>0</v>
      </c>
      <c r="T77" s="84">
        <f>'дод 2 '!U136</f>
        <v>0</v>
      </c>
      <c r="U77" s="84">
        <f>'дод 2 '!V136</f>
        <v>0</v>
      </c>
      <c r="V77" s="84">
        <f>'дод 2 '!W136</f>
        <v>0</v>
      </c>
      <c r="W77" s="134"/>
      <c r="X77" s="84">
        <f t="shared" si="7"/>
        <v>104920</v>
      </c>
      <c r="Y77" s="215"/>
    </row>
    <row r="78" spans="1:25" ht="27" customHeight="1" x14ac:dyDescent="0.25">
      <c r="A78" s="101" t="s">
        <v>442</v>
      </c>
      <c r="B78" s="101" t="s">
        <v>133</v>
      </c>
      <c r="C78" s="7" t="s">
        <v>449</v>
      </c>
      <c r="D78" s="84">
        <f>'дод 2 '!E137</f>
        <v>126211100</v>
      </c>
      <c r="E78" s="84">
        <f>'дод 2 '!F137</f>
        <v>0</v>
      </c>
      <c r="F78" s="84">
        <f>'дод 2 '!G137</f>
        <v>0</v>
      </c>
      <c r="G78" s="220">
        <f>'дод 2 '!H137</f>
        <v>26415213.190000001</v>
      </c>
      <c r="H78" s="84">
        <f>'дод 2 '!I137</f>
        <v>0</v>
      </c>
      <c r="I78" s="84">
        <f>'дод 2 '!J137</f>
        <v>0</v>
      </c>
      <c r="J78" s="134">
        <f t="shared" si="5"/>
        <v>20.92938987933708</v>
      </c>
      <c r="K78" s="84">
        <f>'дод 2 '!L137</f>
        <v>0</v>
      </c>
      <c r="L78" s="84">
        <f>'дод 2 '!M137</f>
        <v>0</v>
      </c>
      <c r="M78" s="84">
        <f>'дод 2 '!N137</f>
        <v>0</v>
      </c>
      <c r="N78" s="84">
        <f>'дод 2 '!O137</f>
        <v>0</v>
      </c>
      <c r="O78" s="84">
        <f>'дод 2 '!P137</f>
        <v>0</v>
      </c>
      <c r="P78" s="84">
        <f>'дод 2 '!Q137</f>
        <v>0</v>
      </c>
      <c r="Q78" s="220">
        <f>'дод 2 '!R137</f>
        <v>0</v>
      </c>
      <c r="R78" s="220">
        <f>'дод 2 '!S137</f>
        <v>0</v>
      </c>
      <c r="S78" s="84">
        <f>'дод 2 '!T137</f>
        <v>0</v>
      </c>
      <c r="T78" s="84">
        <f>'дод 2 '!U137</f>
        <v>0</v>
      </c>
      <c r="U78" s="84">
        <f>'дод 2 '!V137</f>
        <v>0</v>
      </c>
      <c r="V78" s="84">
        <f>'дод 2 '!W137</f>
        <v>0</v>
      </c>
      <c r="W78" s="134"/>
      <c r="X78" s="84">
        <f t="shared" si="7"/>
        <v>26415213.190000001</v>
      </c>
      <c r="Y78" s="215"/>
    </row>
    <row r="79" spans="1:25" ht="19.5" customHeight="1" x14ac:dyDescent="0.25">
      <c r="A79" s="101"/>
      <c r="B79" s="101"/>
      <c r="C79" s="7" t="s">
        <v>344</v>
      </c>
      <c r="D79" s="84">
        <f>'дод 2 '!E138</f>
        <v>126211100</v>
      </c>
      <c r="E79" s="84">
        <f>'дод 2 '!F138</f>
        <v>0</v>
      </c>
      <c r="F79" s="84">
        <f>'дод 2 '!G138</f>
        <v>0</v>
      </c>
      <c r="G79" s="220">
        <f>'дод 2 '!H138</f>
        <v>26415213.190000001</v>
      </c>
      <c r="H79" s="84">
        <f>'дод 2 '!I138</f>
        <v>0</v>
      </c>
      <c r="I79" s="84">
        <f>'дод 2 '!J138</f>
        <v>0</v>
      </c>
      <c r="J79" s="134">
        <f t="shared" si="5"/>
        <v>20.92938987933708</v>
      </c>
      <c r="K79" s="84">
        <f>'дод 2 '!L138</f>
        <v>0</v>
      </c>
      <c r="L79" s="84">
        <f>'дод 2 '!M138</f>
        <v>0</v>
      </c>
      <c r="M79" s="84">
        <f>'дод 2 '!N138</f>
        <v>0</v>
      </c>
      <c r="N79" s="84">
        <f>'дод 2 '!O138</f>
        <v>0</v>
      </c>
      <c r="O79" s="84">
        <f>'дод 2 '!P138</f>
        <v>0</v>
      </c>
      <c r="P79" s="84">
        <f>'дод 2 '!Q138</f>
        <v>0</v>
      </c>
      <c r="Q79" s="220">
        <f>'дод 2 '!R138</f>
        <v>0</v>
      </c>
      <c r="R79" s="220">
        <f>'дод 2 '!S138</f>
        <v>0</v>
      </c>
      <c r="S79" s="84">
        <f>'дод 2 '!T138</f>
        <v>0</v>
      </c>
      <c r="T79" s="84">
        <f>'дод 2 '!U138</f>
        <v>0</v>
      </c>
      <c r="U79" s="84">
        <f>'дод 2 '!V138</f>
        <v>0</v>
      </c>
      <c r="V79" s="84">
        <f>'дод 2 '!W138</f>
        <v>0</v>
      </c>
      <c r="W79" s="134"/>
      <c r="X79" s="84">
        <f t="shared" si="7"/>
        <v>26415213.190000001</v>
      </c>
      <c r="Y79" s="215"/>
    </row>
    <row r="80" spans="1:25" ht="36" customHeight="1" x14ac:dyDescent="0.25">
      <c r="A80" s="101" t="s">
        <v>443</v>
      </c>
      <c r="B80" s="101" t="s">
        <v>133</v>
      </c>
      <c r="C80" s="7" t="s">
        <v>450</v>
      </c>
      <c r="D80" s="84">
        <f>'дод 2 '!E139</f>
        <v>11189800</v>
      </c>
      <c r="E80" s="84">
        <f>'дод 2 '!F139</f>
        <v>0</v>
      </c>
      <c r="F80" s="84">
        <f>'дод 2 '!G139</f>
        <v>0</v>
      </c>
      <c r="G80" s="220">
        <f>'дод 2 '!H139</f>
        <v>2017546.82</v>
      </c>
      <c r="H80" s="84">
        <f>'дод 2 '!I139</f>
        <v>0</v>
      </c>
      <c r="I80" s="84">
        <f>'дод 2 '!J139</f>
        <v>0</v>
      </c>
      <c r="J80" s="134">
        <f t="shared" ref="J80:J143" si="38">SUM(G80/D80)*100</f>
        <v>18.030231282060448</v>
      </c>
      <c r="K80" s="84">
        <f>'дод 2 '!L139</f>
        <v>0</v>
      </c>
      <c r="L80" s="84">
        <f>'дод 2 '!M139</f>
        <v>0</v>
      </c>
      <c r="M80" s="84">
        <f>'дод 2 '!N139</f>
        <v>0</v>
      </c>
      <c r="N80" s="84">
        <f>'дод 2 '!O139</f>
        <v>0</v>
      </c>
      <c r="O80" s="84">
        <f>'дод 2 '!P139</f>
        <v>0</v>
      </c>
      <c r="P80" s="84">
        <f>'дод 2 '!Q139</f>
        <v>0</v>
      </c>
      <c r="Q80" s="220">
        <f>'дод 2 '!R139</f>
        <v>0</v>
      </c>
      <c r="R80" s="220">
        <f>'дод 2 '!S139</f>
        <v>0</v>
      </c>
      <c r="S80" s="84">
        <f>'дод 2 '!T139</f>
        <v>0</v>
      </c>
      <c r="T80" s="84">
        <f>'дод 2 '!U139</f>
        <v>0</v>
      </c>
      <c r="U80" s="84">
        <f>'дод 2 '!V139</f>
        <v>0</v>
      </c>
      <c r="V80" s="84">
        <f>'дод 2 '!W139</f>
        <v>0</v>
      </c>
      <c r="W80" s="134"/>
      <c r="X80" s="84">
        <f t="shared" ref="X80:X143" si="39">SUM(Q80+G80)</f>
        <v>2017546.82</v>
      </c>
      <c r="Y80" s="215"/>
    </row>
    <row r="81" spans="1:25" x14ac:dyDescent="0.25">
      <c r="A81" s="101"/>
      <c r="B81" s="101"/>
      <c r="C81" s="7" t="s">
        <v>344</v>
      </c>
      <c r="D81" s="84">
        <f>'дод 2 '!E140</f>
        <v>11189800</v>
      </c>
      <c r="E81" s="84">
        <f>'дод 2 '!F140</f>
        <v>0</v>
      </c>
      <c r="F81" s="84">
        <f>'дод 2 '!G140</f>
        <v>0</v>
      </c>
      <c r="G81" s="220">
        <f>'дод 2 '!H140</f>
        <v>2017546.82</v>
      </c>
      <c r="H81" s="84">
        <f>'дод 2 '!I140</f>
        <v>0</v>
      </c>
      <c r="I81" s="84">
        <f>'дод 2 '!J140</f>
        <v>0</v>
      </c>
      <c r="J81" s="134">
        <f t="shared" si="38"/>
        <v>18.030231282060448</v>
      </c>
      <c r="K81" s="84">
        <f>'дод 2 '!L140</f>
        <v>0</v>
      </c>
      <c r="L81" s="84">
        <f>'дод 2 '!M140</f>
        <v>0</v>
      </c>
      <c r="M81" s="84">
        <f>'дод 2 '!N140</f>
        <v>0</v>
      </c>
      <c r="N81" s="84">
        <f>'дод 2 '!O140</f>
        <v>0</v>
      </c>
      <c r="O81" s="84">
        <f>'дод 2 '!P140</f>
        <v>0</v>
      </c>
      <c r="P81" s="84">
        <f>'дод 2 '!Q140</f>
        <v>0</v>
      </c>
      <c r="Q81" s="220">
        <f>'дод 2 '!R140</f>
        <v>0</v>
      </c>
      <c r="R81" s="220">
        <f>'дод 2 '!S140</f>
        <v>0</v>
      </c>
      <c r="S81" s="84">
        <f>'дод 2 '!T140</f>
        <v>0</v>
      </c>
      <c r="T81" s="84">
        <f>'дод 2 '!U140</f>
        <v>0</v>
      </c>
      <c r="U81" s="84">
        <f>'дод 2 '!V140</f>
        <v>0</v>
      </c>
      <c r="V81" s="84">
        <f>'дод 2 '!W140</f>
        <v>0</v>
      </c>
      <c r="W81" s="134"/>
      <c r="X81" s="84">
        <f t="shared" si="39"/>
        <v>2017546.82</v>
      </c>
      <c r="Y81" s="215"/>
    </row>
    <row r="82" spans="1:25" ht="27" customHeight="1" x14ac:dyDescent="0.25">
      <c r="A82" s="101" t="s">
        <v>444</v>
      </c>
      <c r="B82" s="101" t="s">
        <v>133</v>
      </c>
      <c r="C82" s="7" t="s">
        <v>451</v>
      </c>
      <c r="D82" s="84">
        <f>'дод 2 '!E141</f>
        <v>50396740</v>
      </c>
      <c r="E82" s="84">
        <f>'дод 2 '!F141</f>
        <v>0</v>
      </c>
      <c r="F82" s="84">
        <f>'дод 2 '!G141</f>
        <v>0</v>
      </c>
      <c r="G82" s="220">
        <f>'дод 2 '!H141</f>
        <v>8933510.3699999992</v>
      </c>
      <c r="H82" s="84">
        <f>'дод 2 '!I141</f>
        <v>0</v>
      </c>
      <c r="I82" s="84">
        <f>'дод 2 '!J141</f>
        <v>0</v>
      </c>
      <c r="J82" s="134">
        <f t="shared" si="38"/>
        <v>17.726365574439932</v>
      </c>
      <c r="K82" s="84">
        <f>'дод 2 '!L141</f>
        <v>0</v>
      </c>
      <c r="L82" s="84">
        <f>'дод 2 '!M141</f>
        <v>0</v>
      </c>
      <c r="M82" s="84">
        <f>'дод 2 '!N141</f>
        <v>0</v>
      </c>
      <c r="N82" s="84">
        <f>'дод 2 '!O141</f>
        <v>0</v>
      </c>
      <c r="O82" s="84">
        <f>'дод 2 '!P141</f>
        <v>0</v>
      </c>
      <c r="P82" s="84">
        <f>'дод 2 '!Q141</f>
        <v>0</v>
      </c>
      <c r="Q82" s="220">
        <f>'дод 2 '!R141</f>
        <v>0</v>
      </c>
      <c r="R82" s="220">
        <f>'дод 2 '!S141</f>
        <v>0</v>
      </c>
      <c r="S82" s="84">
        <f>'дод 2 '!T141</f>
        <v>0</v>
      </c>
      <c r="T82" s="84">
        <f>'дод 2 '!U141</f>
        <v>0</v>
      </c>
      <c r="U82" s="84">
        <f>'дод 2 '!V141</f>
        <v>0</v>
      </c>
      <c r="V82" s="84">
        <f>'дод 2 '!W141</f>
        <v>0</v>
      </c>
      <c r="W82" s="134"/>
      <c r="X82" s="84">
        <f t="shared" si="39"/>
        <v>8933510.3699999992</v>
      </c>
      <c r="Y82" s="215"/>
    </row>
    <row r="83" spans="1:25" ht="17.25" customHeight="1" x14ac:dyDescent="0.25">
      <c r="A83" s="101"/>
      <c r="B83" s="101"/>
      <c r="C83" s="7" t="s">
        <v>344</v>
      </c>
      <c r="D83" s="84">
        <f>'дод 2 '!E142</f>
        <v>50396740</v>
      </c>
      <c r="E83" s="84">
        <f>'дод 2 '!F142</f>
        <v>0</v>
      </c>
      <c r="F83" s="84">
        <f>'дод 2 '!G142</f>
        <v>0</v>
      </c>
      <c r="G83" s="220">
        <f>'дод 2 '!H142</f>
        <v>8933510.3699999992</v>
      </c>
      <c r="H83" s="84">
        <f>'дод 2 '!I142</f>
        <v>0</v>
      </c>
      <c r="I83" s="84">
        <f>'дод 2 '!J142</f>
        <v>0</v>
      </c>
      <c r="J83" s="134">
        <f t="shared" si="38"/>
        <v>17.726365574439932</v>
      </c>
      <c r="K83" s="84">
        <f>'дод 2 '!L142</f>
        <v>0</v>
      </c>
      <c r="L83" s="84">
        <f>'дод 2 '!M142</f>
        <v>0</v>
      </c>
      <c r="M83" s="84">
        <f>'дод 2 '!N142</f>
        <v>0</v>
      </c>
      <c r="N83" s="84">
        <f>'дод 2 '!O142</f>
        <v>0</v>
      </c>
      <c r="O83" s="84">
        <f>'дод 2 '!P142</f>
        <v>0</v>
      </c>
      <c r="P83" s="84">
        <f>'дод 2 '!Q142</f>
        <v>0</v>
      </c>
      <c r="Q83" s="220">
        <f>'дод 2 '!R142</f>
        <v>0</v>
      </c>
      <c r="R83" s="220">
        <f>'дод 2 '!S142</f>
        <v>0</v>
      </c>
      <c r="S83" s="84">
        <f>'дод 2 '!T142</f>
        <v>0</v>
      </c>
      <c r="T83" s="84">
        <f>'дод 2 '!U142</f>
        <v>0</v>
      </c>
      <c r="U83" s="84">
        <f>'дод 2 '!V142</f>
        <v>0</v>
      </c>
      <c r="V83" s="84">
        <f>'дод 2 '!W142</f>
        <v>0</v>
      </c>
      <c r="W83" s="134"/>
      <c r="X83" s="84">
        <f t="shared" si="39"/>
        <v>8933510.3699999992</v>
      </c>
      <c r="Y83" s="215"/>
    </row>
    <row r="84" spans="1:25" ht="27" customHeight="1" x14ac:dyDescent="0.25">
      <c r="A84" s="101" t="s">
        <v>445</v>
      </c>
      <c r="B84" s="101" t="s">
        <v>133</v>
      </c>
      <c r="C84" s="7" t="s">
        <v>452</v>
      </c>
      <c r="D84" s="84">
        <f>'дод 2 '!E143</f>
        <v>1473500</v>
      </c>
      <c r="E84" s="84">
        <f>'дод 2 '!F143</f>
        <v>0</v>
      </c>
      <c r="F84" s="84">
        <f>'дод 2 '!G143</f>
        <v>0</v>
      </c>
      <c r="G84" s="220">
        <f>'дод 2 '!H143</f>
        <v>131270.6</v>
      </c>
      <c r="H84" s="84">
        <f>'дод 2 '!I143</f>
        <v>0</v>
      </c>
      <c r="I84" s="84">
        <f>'дод 2 '!J143</f>
        <v>0</v>
      </c>
      <c r="J84" s="134">
        <f t="shared" si="38"/>
        <v>8.9087614523243985</v>
      </c>
      <c r="K84" s="84">
        <f>'дод 2 '!L143</f>
        <v>0</v>
      </c>
      <c r="L84" s="84">
        <f>'дод 2 '!M143</f>
        <v>0</v>
      </c>
      <c r="M84" s="84">
        <f>'дод 2 '!N143</f>
        <v>0</v>
      </c>
      <c r="N84" s="84">
        <f>'дод 2 '!O143</f>
        <v>0</v>
      </c>
      <c r="O84" s="84">
        <f>'дод 2 '!P143</f>
        <v>0</v>
      </c>
      <c r="P84" s="84">
        <f>'дод 2 '!Q143</f>
        <v>0</v>
      </c>
      <c r="Q84" s="220">
        <f>'дод 2 '!R143</f>
        <v>0</v>
      </c>
      <c r="R84" s="220">
        <f>'дод 2 '!S143</f>
        <v>0</v>
      </c>
      <c r="S84" s="84">
        <f>'дод 2 '!T143</f>
        <v>0</v>
      </c>
      <c r="T84" s="84">
        <f>'дод 2 '!U143</f>
        <v>0</v>
      </c>
      <c r="U84" s="84">
        <f>'дод 2 '!V143</f>
        <v>0</v>
      </c>
      <c r="V84" s="84">
        <f>'дод 2 '!W143</f>
        <v>0</v>
      </c>
      <c r="W84" s="134"/>
      <c r="X84" s="84">
        <f t="shared" si="39"/>
        <v>131270.6</v>
      </c>
      <c r="Y84" s="215"/>
    </row>
    <row r="85" spans="1:25" ht="24.75" customHeight="1" x14ac:dyDescent="0.25">
      <c r="A85" s="101"/>
      <c r="B85" s="101"/>
      <c r="C85" s="7" t="s">
        <v>344</v>
      </c>
      <c r="D85" s="84">
        <f>'дод 2 '!E144</f>
        <v>1473500</v>
      </c>
      <c r="E85" s="84">
        <f>'дод 2 '!F144</f>
        <v>0</v>
      </c>
      <c r="F85" s="84">
        <f>'дод 2 '!G144</f>
        <v>0</v>
      </c>
      <c r="G85" s="220">
        <f>'дод 2 '!H144</f>
        <v>131270.6</v>
      </c>
      <c r="H85" s="84">
        <f>'дод 2 '!I144</f>
        <v>0</v>
      </c>
      <c r="I85" s="84">
        <f>'дод 2 '!J144</f>
        <v>0</v>
      </c>
      <c r="J85" s="134">
        <f t="shared" si="38"/>
        <v>8.9087614523243985</v>
      </c>
      <c r="K85" s="84">
        <f>'дод 2 '!L144</f>
        <v>0</v>
      </c>
      <c r="L85" s="84">
        <f>'дод 2 '!M144</f>
        <v>0</v>
      </c>
      <c r="M85" s="84">
        <f>'дод 2 '!N144</f>
        <v>0</v>
      </c>
      <c r="N85" s="84">
        <f>'дод 2 '!O144</f>
        <v>0</v>
      </c>
      <c r="O85" s="84">
        <f>'дод 2 '!P144</f>
        <v>0</v>
      </c>
      <c r="P85" s="84">
        <f>'дод 2 '!Q144</f>
        <v>0</v>
      </c>
      <c r="Q85" s="220">
        <f>'дод 2 '!R144</f>
        <v>0</v>
      </c>
      <c r="R85" s="220">
        <f>'дод 2 '!S144</f>
        <v>0</v>
      </c>
      <c r="S85" s="84">
        <f>'дод 2 '!T144</f>
        <v>0</v>
      </c>
      <c r="T85" s="84">
        <f>'дод 2 '!U144</f>
        <v>0</v>
      </c>
      <c r="U85" s="84">
        <f>'дод 2 '!V144</f>
        <v>0</v>
      </c>
      <c r="V85" s="84">
        <f>'дод 2 '!W144</f>
        <v>0</v>
      </c>
      <c r="W85" s="134"/>
      <c r="X85" s="84">
        <f t="shared" si="39"/>
        <v>131270.6</v>
      </c>
      <c r="Y85" s="215"/>
    </row>
    <row r="86" spans="1:25" ht="32.25" customHeight="1" x14ac:dyDescent="0.25">
      <c r="A86" s="101" t="s">
        <v>446</v>
      </c>
      <c r="B86" s="101" t="s">
        <v>133</v>
      </c>
      <c r="C86" s="7" t="s">
        <v>453</v>
      </c>
      <c r="D86" s="84">
        <f>'дод 2 '!E145</f>
        <v>48594925</v>
      </c>
      <c r="E86" s="84">
        <f>'дод 2 '!F145</f>
        <v>0</v>
      </c>
      <c r="F86" s="84">
        <f>'дод 2 '!G145</f>
        <v>0</v>
      </c>
      <c r="G86" s="220">
        <f>'дод 2 '!H145</f>
        <v>10147163.77</v>
      </c>
      <c r="H86" s="84">
        <f>'дод 2 '!I145</f>
        <v>0</v>
      </c>
      <c r="I86" s="84">
        <f>'дод 2 '!J145</f>
        <v>0</v>
      </c>
      <c r="J86" s="134">
        <f t="shared" si="38"/>
        <v>20.881118285499976</v>
      </c>
      <c r="K86" s="84">
        <f>'дод 2 '!L145</f>
        <v>0</v>
      </c>
      <c r="L86" s="84">
        <f>'дод 2 '!M145</f>
        <v>0</v>
      </c>
      <c r="M86" s="84">
        <f>'дод 2 '!N145</f>
        <v>0</v>
      </c>
      <c r="N86" s="84">
        <f>'дод 2 '!O145</f>
        <v>0</v>
      </c>
      <c r="O86" s="84">
        <f>'дод 2 '!P145</f>
        <v>0</v>
      </c>
      <c r="P86" s="84">
        <f>'дод 2 '!Q145</f>
        <v>0</v>
      </c>
      <c r="Q86" s="220">
        <f>'дод 2 '!R145</f>
        <v>0</v>
      </c>
      <c r="R86" s="220">
        <f>'дод 2 '!S145</f>
        <v>0</v>
      </c>
      <c r="S86" s="84">
        <f>'дод 2 '!T145</f>
        <v>0</v>
      </c>
      <c r="T86" s="84">
        <f>'дод 2 '!U145</f>
        <v>0</v>
      </c>
      <c r="U86" s="84">
        <f>'дод 2 '!V145</f>
        <v>0</v>
      </c>
      <c r="V86" s="84">
        <f>'дод 2 '!W145</f>
        <v>0</v>
      </c>
      <c r="W86" s="134"/>
      <c r="X86" s="84">
        <f t="shared" si="39"/>
        <v>10147163.77</v>
      </c>
      <c r="Y86" s="215"/>
    </row>
    <row r="87" spans="1:25" ht="22.5" customHeight="1" x14ac:dyDescent="0.25">
      <c r="A87" s="101"/>
      <c r="B87" s="101"/>
      <c r="C87" s="7" t="s">
        <v>344</v>
      </c>
      <c r="D87" s="84">
        <f>'дод 2 '!E146</f>
        <v>48594925</v>
      </c>
      <c r="E87" s="84">
        <f>'дод 2 '!F146</f>
        <v>0</v>
      </c>
      <c r="F87" s="84">
        <f>'дод 2 '!G146</f>
        <v>0</v>
      </c>
      <c r="G87" s="220">
        <f>'дод 2 '!H146</f>
        <v>10147163.77</v>
      </c>
      <c r="H87" s="84">
        <f>'дод 2 '!I146</f>
        <v>0</v>
      </c>
      <c r="I87" s="84">
        <f>'дод 2 '!J146</f>
        <v>0</v>
      </c>
      <c r="J87" s="134">
        <f t="shared" si="38"/>
        <v>20.881118285499976</v>
      </c>
      <c r="K87" s="84">
        <f>'дод 2 '!L146</f>
        <v>0</v>
      </c>
      <c r="L87" s="84">
        <f>'дод 2 '!M146</f>
        <v>0</v>
      </c>
      <c r="M87" s="84">
        <f>'дод 2 '!N146</f>
        <v>0</v>
      </c>
      <c r="N87" s="84">
        <f>'дод 2 '!O146</f>
        <v>0</v>
      </c>
      <c r="O87" s="84">
        <f>'дод 2 '!P146</f>
        <v>0</v>
      </c>
      <c r="P87" s="84">
        <f>'дод 2 '!Q146</f>
        <v>0</v>
      </c>
      <c r="Q87" s="220">
        <f>'дод 2 '!R146</f>
        <v>0</v>
      </c>
      <c r="R87" s="220">
        <f>'дод 2 '!S146</f>
        <v>0</v>
      </c>
      <c r="S87" s="84">
        <f>'дод 2 '!T146</f>
        <v>0</v>
      </c>
      <c r="T87" s="84">
        <f>'дод 2 '!U146</f>
        <v>0</v>
      </c>
      <c r="U87" s="84">
        <f>'дод 2 '!V146</f>
        <v>0</v>
      </c>
      <c r="V87" s="84">
        <f>'дод 2 '!W146</f>
        <v>0</v>
      </c>
      <c r="W87" s="134"/>
      <c r="X87" s="84">
        <f t="shared" si="39"/>
        <v>10147163.77</v>
      </c>
      <c r="Y87" s="215"/>
    </row>
    <row r="88" spans="1:25" ht="30" x14ac:dyDescent="0.25">
      <c r="A88" s="101" t="s">
        <v>582</v>
      </c>
      <c r="B88" s="101" t="s">
        <v>133</v>
      </c>
      <c r="C88" s="42" t="s">
        <v>584</v>
      </c>
      <c r="D88" s="84">
        <f>SUM('дод 2 '!E147)</f>
        <v>834585</v>
      </c>
      <c r="E88" s="84">
        <f>SUM('дод 2 '!F147)</f>
        <v>0</v>
      </c>
      <c r="F88" s="84">
        <f>SUM('дод 2 '!G147)</f>
        <v>0</v>
      </c>
      <c r="G88" s="220">
        <f>SUM('дод 2 '!H147)</f>
        <v>0</v>
      </c>
      <c r="H88" s="84">
        <f>SUM('дод 2 '!I147)</f>
        <v>0</v>
      </c>
      <c r="I88" s="84">
        <f>SUM('дод 2 '!J147)</f>
        <v>0</v>
      </c>
      <c r="J88" s="134">
        <f t="shared" si="38"/>
        <v>0</v>
      </c>
      <c r="K88" s="84">
        <f>SUM('дод 2 '!L147)</f>
        <v>0</v>
      </c>
      <c r="L88" s="84">
        <f>SUM('дод 2 '!M147)</f>
        <v>0</v>
      </c>
      <c r="M88" s="84">
        <f>SUM('дод 2 '!N147)</f>
        <v>0</v>
      </c>
      <c r="N88" s="84">
        <f>SUM('дод 2 '!O147)</f>
        <v>0</v>
      </c>
      <c r="O88" s="84">
        <f>SUM('дод 2 '!P147)</f>
        <v>0</v>
      </c>
      <c r="P88" s="84">
        <f>SUM('дод 2 '!Q147)</f>
        <v>0</v>
      </c>
      <c r="Q88" s="220">
        <f>SUM('дод 2 '!R147)</f>
        <v>0</v>
      </c>
      <c r="R88" s="220">
        <f>SUM('дод 2 '!S147)</f>
        <v>0</v>
      </c>
      <c r="S88" s="84">
        <f>SUM('дод 2 '!T147)</f>
        <v>0</v>
      </c>
      <c r="T88" s="84">
        <f>SUM('дод 2 '!U147)</f>
        <v>0</v>
      </c>
      <c r="U88" s="84">
        <f>SUM('дод 2 '!V147)</f>
        <v>0</v>
      </c>
      <c r="V88" s="84">
        <f>SUM('дод 2 '!W147)</f>
        <v>0</v>
      </c>
      <c r="W88" s="134"/>
      <c r="X88" s="84">
        <f t="shared" si="39"/>
        <v>0</v>
      </c>
      <c r="Y88" s="215"/>
    </row>
    <row r="89" spans="1:25" ht="22.5" customHeight="1" x14ac:dyDescent="0.25">
      <c r="A89" s="101"/>
      <c r="B89" s="101"/>
      <c r="C89" s="7" t="s">
        <v>344</v>
      </c>
      <c r="D89" s="84">
        <f>SUM('дод 2 '!E148)</f>
        <v>834585</v>
      </c>
      <c r="E89" s="84">
        <f>SUM('дод 2 '!F148)</f>
        <v>0</v>
      </c>
      <c r="F89" s="84">
        <f>SUM('дод 2 '!G148)</f>
        <v>0</v>
      </c>
      <c r="G89" s="220">
        <f>SUM('дод 2 '!H148)</f>
        <v>0</v>
      </c>
      <c r="H89" s="84">
        <f>SUM('дод 2 '!I148)</f>
        <v>0</v>
      </c>
      <c r="I89" s="84">
        <f>SUM('дод 2 '!J148)</f>
        <v>0</v>
      </c>
      <c r="J89" s="134">
        <f t="shared" si="38"/>
        <v>0</v>
      </c>
      <c r="K89" s="84">
        <f>SUM('дод 2 '!L148)</f>
        <v>0</v>
      </c>
      <c r="L89" s="84">
        <f>SUM('дод 2 '!M148)</f>
        <v>0</v>
      </c>
      <c r="M89" s="84">
        <f>SUM('дод 2 '!N148)</f>
        <v>0</v>
      </c>
      <c r="N89" s="84">
        <f>SUM('дод 2 '!O148)</f>
        <v>0</v>
      </c>
      <c r="O89" s="84">
        <f>SUM('дод 2 '!P148)</f>
        <v>0</v>
      </c>
      <c r="P89" s="84">
        <f>SUM('дод 2 '!Q148)</f>
        <v>0</v>
      </c>
      <c r="Q89" s="220">
        <f>SUM('дод 2 '!R148)</f>
        <v>0</v>
      </c>
      <c r="R89" s="220">
        <f>SUM('дод 2 '!S148)</f>
        <v>0</v>
      </c>
      <c r="S89" s="84">
        <f>SUM('дод 2 '!T148)</f>
        <v>0</v>
      </c>
      <c r="T89" s="84">
        <f>SUM('дод 2 '!U148)</f>
        <v>0</v>
      </c>
      <c r="U89" s="84">
        <f>SUM('дод 2 '!V148)</f>
        <v>0</v>
      </c>
      <c r="V89" s="84">
        <f>SUM('дод 2 '!W148)</f>
        <v>0</v>
      </c>
      <c r="W89" s="134"/>
      <c r="X89" s="84">
        <f t="shared" si="39"/>
        <v>0</v>
      </c>
      <c r="Y89" s="215"/>
    </row>
    <row r="90" spans="1:25" ht="40.5" customHeight="1" x14ac:dyDescent="0.25">
      <c r="A90" s="101" t="s">
        <v>134</v>
      </c>
      <c r="B90" s="101" t="s">
        <v>79</v>
      </c>
      <c r="C90" s="7" t="s">
        <v>49</v>
      </c>
      <c r="D90" s="84">
        <f>'дод 2 '!E149</f>
        <v>686000</v>
      </c>
      <c r="E90" s="84">
        <f>'дод 2 '!F149</f>
        <v>0</v>
      </c>
      <c r="F90" s="84">
        <f>'дод 2 '!G149</f>
        <v>0</v>
      </c>
      <c r="G90" s="220">
        <f>'дод 2 '!H149</f>
        <v>82212.61</v>
      </c>
      <c r="H90" s="84">
        <f>'дод 2 '!I149</f>
        <v>0</v>
      </c>
      <c r="I90" s="84">
        <f>'дод 2 '!J149</f>
        <v>0</v>
      </c>
      <c r="J90" s="134">
        <f t="shared" si="38"/>
        <v>11.984345481049562</v>
      </c>
      <c r="K90" s="84">
        <f>'дод 2 '!L149</f>
        <v>0</v>
      </c>
      <c r="L90" s="84">
        <f>'дод 2 '!M149</f>
        <v>0</v>
      </c>
      <c r="M90" s="84">
        <f>'дод 2 '!N149</f>
        <v>0</v>
      </c>
      <c r="N90" s="84">
        <f>'дод 2 '!O149</f>
        <v>0</v>
      </c>
      <c r="O90" s="84">
        <f>'дод 2 '!P149</f>
        <v>0</v>
      </c>
      <c r="P90" s="84">
        <f>'дод 2 '!Q149</f>
        <v>0</v>
      </c>
      <c r="Q90" s="220">
        <f>'дод 2 '!R149</f>
        <v>0</v>
      </c>
      <c r="R90" s="220">
        <f>'дод 2 '!S149</f>
        <v>0</v>
      </c>
      <c r="S90" s="84">
        <f>'дод 2 '!T149</f>
        <v>0</v>
      </c>
      <c r="T90" s="84">
        <f>'дод 2 '!U149</f>
        <v>0</v>
      </c>
      <c r="U90" s="84">
        <f>'дод 2 '!V149</f>
        <v>0</v>
      </c>
      <c r="V90" s="84">
        <f>'дод 2 '!W149</f>
        <v>0</v>
      </c>
      <c r="W90" s="134"/>
      <c r="X90" s="84">
        <f t="shared" si="39"/>
        <v>82212.61</v>
      </c>
      <c r="Y90" s="215"/>
    </row>
    <row r="91" spans="1:25" ht="40.5" customHeight="1" x14ac:dyDescent="0.25">
      <c r="A91" s="101" t="s">
        <v>461</v>
      </c>
      <c r="B91" s="101" t="s">
        <v>73</v>
      </c>
      <c r="C91" s="7" t="s">
        <v>467</v>
      </c>
      <c r="D91" s="84">
        <f>'дод 2 '!E150</f>
        <v>70995980</v>
      </c>
      <c r="E91" s="84">
        <f>'дод 2 '!F150</f>
        <v>0</v>
      </c>
      <c r="F91" s="84">
        <f>'дод 2 '!G150</f>
        <v>0</v>
      </c>
      <c r="G91" s="220">
        <f>'дод 2 '!H150</f>
        <v>15177113.26</v>
      </c>
      <c r="H91" s="84">
        <f>'дод 2 '!I150</f>
        <v>0</v>
      </c>
      <c r="I91" s="84">
        <f>'дод 2 '!J150</f>
        <v>0</v>
      </c>
      <c r="J91" s="134">
        <f t="shared" si="38"/>
        <v>21.377426243006997</v>
      </c>
      <c r="K91" s="84">
        <f>'дод 2 '!L150</f>
        <v>0</v>
      </c>
      <c r="L91" s="84">
        <f>'дод 2 '!M150</f>
        <v>0</v>
      </c>
      <c r="M91" s="84">
        <f>'дод 2 '!N150</f>
        <v>0</v>
      </c>
      <c r="N91" s="84">
        <f>'дод 2 '!O150</f>
        <v>0</v>
      </c>
      <c r="O91" s="84">
        <f>'дод 2 '!P150</f>
        <v>0</v>
      </c>
      <c r="P91" s="84">
        <f>'дод 2 '!Q150</f>
        <v>0</v>
      </c>
      <c r="Q91" s="220">
        <f>'дод 2 '!R150</f>
        <v>0</v>
      </c>
      <c r="R91" s="220">
        <f>'дод 2 '!S150</f>
        <v>0</v>
      </c>
      <c r="S91" s="84">
        <f>'дод 2 '!T150</f>
        <v>0</v>
      </c>
      <c r="T91" s="84">
        <f>'дод 2 '!U150</f>
        <v>0</v>
      </c>
      <c r="U91" s="84">
        <f>'дод 2 '!V150</f>
        <v>0</v>
      </c>
      <c r="V91" s="84">
        <f>'дод 2 '!W150</f>
        <v>0</v>
      </c>
      <c r="W91" s="134"/>
      <c r="X91" s="84">
        <f t="shared" si="39"/>
        <v>15177113.26</v>
      </c>
      <c r="Y91" s="215"/>
    </row>
    <row r="92" spans="1:25" ht="27" customHeight="1" x14ac:dyDescent="0.25">
      <c r="A92" s="101"/>
      <c r="B92" s="101"/>
      <c r="C92" s="7" t="s">
        <v>344</v>
      </c>
      <c r="D92" s="84">
        <f>'дод 2 '!E151</f>
        <v>70995980</v>
      </c>
      <c r="E92" s="84">
        <f>'дод 2 '!F151</f>
        <v>0</v>
      </c>
      <c r="F92" s="84">
        <f>'дод 2 '!G151</f>
        <v>0</v>
      </c>
      <c r="G92" s="220">
        <f>'дод 2 '!H151</f>
        <v>15177113.26</v>
      </c>
      <c r="H92" s="84">
        <f>'дод 2 '!I151</f>
        <v>0</v>
      </c>
      <c r="I92" s="84">
        <f>'дод 2 '!J151</f>
        <v>0</v>
      </c>
      <c r="J92" s="134">
        <f t="shared" si="38"/>
        <v>21.377426243006997</v>
      </c>
      <c r="K92" s="84">
        <f>'дод 2 '!L151</f>
        <v>0</v>
      </c>
      <c r="L92" s="84">
        <f>'дод 2 '!M151</f>
        <v>0</v>
      </c>
      <c r="M92" s="84">
        <f>'дод 2 '!N151</f>
        <v>0</v>
      </c>
      <c r="N92" s="84">
        <f>'дод 2 '!O151</f>
        <v>0</v>
      </c>
      <c r="O92" s="84">
        <f>'дод 2 '!P151</f>
        <v>0</v>
      </c>
      <c r="P92" s="84">
        <f>'дод 2 '!Q151</f>
        <v>0</v>
      </c>
      <c r="Q92" s="220">
        <f>'дод 2 '!R151</f>
        <v>0</v>
      </c>
      <c r="R92" s="220">
        <f>'дод 2 '!S151</f>
        <v>0</v>
      </c>
      <c r="S92" s="84">
        <f>'дод 2 '!T151</f>
        <v>0</v>
      </c>
      <c r="T92" s="84">
        <f>'дод 2 '!U151</f>
        <v>0</v>
      </c>
      <c r="U92" s="84">
        <f>'дод 2 '!V151</f>
        <v>0</v>
      </c>
      <c r="V92" s="84">
        <f>'дод 2 '!W151</f>
        <v>0</v>
      </c>
      <c r="W92" s="134"/>
      <c r="X92" s="84">
        <f t="shared" si="39"/>
        <v>15177113.26</v>
      </c>
      <c r="Y92" s="215"/>
    </row>
    <row r="93" spans="1:25" ht="51.75" customHeight="1" x14ac:dyDescent="0.25">
      <c r="A93" s="101" t="s">
        <v>462</v>
      </c>
      <c r="B93" s="101" t="s">
        <v>73</v>
      </c>
      <c r="C93" s="7" t="s">
        <v>468</v>
      </c>
      <c r="D93" s="84">
        <f>'дод 2 '!E152</f>
        <v>10842650</v>
      </c>
      <c r="E93" s="84">
        <f>'дод 2 '!F152</f>
        <v>0</v>
      </c>
      <c r="F93" s="84">
        <f>'дод 2 '!G152</f>
        <v>0</v>
      </c>
      <c r="G93" s="220">
        <f>'дод 2 '!H152</f>
        <v>2579261.2599999998</v>
      </c>
      <c r="H93" s="84">
        <f>'дод 2 '!I152</f>
        <v>0</v>
      </c>
      <c r="I93" s="84">
        <f>'дод 2 '!J152</f>
        <v>0</v>
      </c>
      <c r="J93" s="134">
        <f t="shared" si="38"/>
        <v>23.788107704297378</v>
      </c>
      <c r="K93" s="84">
        <f>'дод 2 '!L152</f>
        <v>0</v>
      </c>
      <c r="L93" s="84">
        <f>'дод 2 '!M152</f>
        <v>0</v>
      </c>
      <c r="M93" s="84">
        <f>'дод 2 '!N152</f>
        <v>0</v>
      </c>
      <c r="N93" s="84">
        <f>'дод 2 '!O152</f>
        <v>0</v>
      </c>
      <c r="O93" s="84">
        <f>'дод 2 '!P152</f>
        <v>0</v>
      </c>
      <c r="P93" s="84">
        <f>'дод 2 '!Q152</f>
        <v>0</v>
      </c>
      <c r="Q93" s="220">
        <f>'дод 2 '!R152</f>
        <v>0</v>
      </c>
      <c r="R93" s="220">
        <f>'дод 2 '!S152</f>
        <v>0</v>
      </c>
      <c r="S93" s="84">
        <f>'дод 2 '!T152</f>
        <v>0</v>
      </c>
      <c r="T93" s="84">
        <f>'дод 2 '!U152</f>
        <v>0</v>
      </c>
      <c r="U93" s="84">
        <f>'дод 2 '!V152</f>
        <v>0</v>
      </c>
      <c r="V93" s="84">
        <f>'дод 2 '!W152</f>
        <v>0</v>
      </c>
      <c r="W93" s="134"/>
      <c r="X93" s="84">
        <f t="shared" si="39"/>
        <v>2579261.2599999998</v>
      </c>
      <c r="Y93" s="215"/>
    </row>
    <row r="94" spans="1:25" ht="27" customHeight="1" x14ac:dyDescent="0.25">
      <c r="A94" s="101"/>
      <c r="B94" s="101"/>
      <c r="C94" s="7" t="s">
        <v>344</v>
      </c>
      <c r="D94" s="84">
        <f>'дод 2 '!E153</f>
        <v>10842650</v>
      </c>
      <c r="E94" s="84">
        <f>'дод 2 '!F153</f>
        <v>0</v>
      </c>
      <c r="F94" s="84">
        <f>'дод 2 '!G153</f>
        <v>0</v>
      </c>
      <c r="G94" s="220">
        <f>'дод 2 '!H153</f>
        <v>2579261.2599999998</v>
      </c>
      <c r="H94" s="84">
        <f>'дод 2 '!I153</f>
        <v>0</v>
      </c>
      <c r="I94" s="84">
        <f>'дод 2 '!J153</f>
        <v>0</v>
      </c>
      <c r="J94" s="134">
        <f t="shared" si="38"/>
        <v>23.788107704297378</v>
      </c>
      <c r="K94" s="84">
        <f>'дод 2 '!L153</f>
        <v>0</v>
      </c>
      <c r="L94" s="84">
        <f>'дод 2 '!M153</f>
        <v>0</v>
      </c>
      <c r="M94" s="84">
        <f>'дод 2 '!N153</f>
        <v>0</v>
      </c>
      <c r="N94" s="84">
        <f>'дод 2 '!O153</f>
        <v>0</v>
      </c>
      <c r="O94" s="84">
        <f>'дод 2 '!P153</f>
        <v>0</v>
      </c>
      <c r="P94" s="84">
        <f>'дод 2 '!Q153</f>
        <v>0</v>
      </c>
      <c r="Q94" s="220">
        <f>'дод 2 '!R153</f>
        <v>0</v>
      </c>
      <c r="R94" s="220">
        <f>'дод 2 '!S153</f>
        <v>0</v>
      </c>
      <c r="S94" s="84">
        <f>'дод 2 '!T153</f>
        <v>0</v>
      </c>
      <c r="T94" s="84">
        <f>'дод 2 '!U153</f>
        <v>0</v>
      </c>
      <c r="U94" s="84">
        <f>'дод 2 '!V153</f>
        <v>0</v>
      </c>
      <c r="V94" s="84">
        <f>'дод 2 '!W153</f>
        <v>0</v>
      </c>
      <c r="W94" s="134"/>
      <c r="X94" s="84">
        <f t="shared" si="39"/>
        <v>2579261.2599999998</v>
      </c>
      <c r="Y94" s="215"/>
    </row>
    <row r="95" spans="1:25" ht="37.5" customHeight="1" x14ac:dyDescent="0.25">
      <c r="A95" s="101" t="s">
        <v>463</v>
      </c>
      <c r="B95" s="101" t="s">
        <v>73</v>
      </c>
      <c r="C95" s="7" t="s">
        <v>469</v>
      </c>
      <c r="D95" s="84">
        <f>'дод 2 '!E154</f>
        <v>12553970</v>
      </c>
      <c r="E95" s="84">
        <f>'дод 2 '!F154</f>
        <v>0</v>
      </c>
      <c r="F95" s="84">
        <f>'дод 2 '!G154</f>
        <v>0</v>
      </c>
      <c r="G95" s="220">
        <f>'дод 2 '!H154</f>
        <v>2579552.15</v>
      </c>
      <c r="H95" s="84">
        <f>'дод 2 '!I154</f>
        <v>0</v>
      </c>
      <c r="I95" s="84">
        <f>'дод 2 '!J154</f>
        <v>0</v>
      </c>
      <c r="J95" s="134">
        <f t="shared" si="38"/>
        <v>20.547700448543367</v>
      </c>
      <c r="K95" s="84">
        <f>'дод 2 '!L154</f>
        <v>0</v>
      </c>
      <c r="L95" s="84">
        <f>'дод 2 '!M154</f>
        <v>0</v>
      </c>
      <c r="M95" s="84">
        <f>'дод 2 '!N154</f>
        <v>0</v>
      </c>
      <c r="N95" s="84">
        <f>'дод 2 '!O154</f>
        <v>0</v>
      </c>
      <c r="O95" s="84">
        <f>'дод 2 '!P154</f>
        <v>0</v>
      </c>
      <c r="P95" s="84">
        <f>'дод 2 '!Q154</f>
        <v>0</v>
      </c>
      <c r="Q95" s="220">
        <f>'дод 2 '!R154</f>
        <v>0</v>
      </c>
      <c r="R95" s="220">
        <f>'дод 2 '!S154</f>
        <v>0</v>
      </c>
      <c r="S95" s="84">
        <f>'дод 2 '!T154</f>
        <v>0</v>
      </c>
      <c r="T95" s="84">
        <f>'дод 2 '!U154</f>
        <v>0</v>
      </c>
      <c r="U95" s="84">
        <f>'дод 2 '!V154</f>
        <v>0</v>
      </c>
      <c r="V95" s="84">
        <f>'дод 2 '!W154</f>
        <v>0</v>
      </c>
      <c r="W95" s="134"/>
      <c r="X95" s="84">
        <f t="shared" si="39"/>
        <v>2579552.15</v>
      </c>
      <c r="Y95" s="215"/>
    </row>
    <row r="96" spans="1:25" ht="27" customHeight="1" x14ac:dyDescent="0.25">
      <c r="A96" s="101"/>
      <c r="B96" s="101"/>
      <c r="C96" s="7" t="s">
        <v>344</v>
      </c>
      <c r="D96" s="84">
        <f>'дод 2 '!E155</f>
        <v>12553970</v>
      </c>
      <c r="E96" s="84">
        <f>'дод 2 '!F155</f>
        <v>0</v>
      </c>
      <c r="F96" s="84">
        <f>'дод 2 '!G155</f>
        <v>0</v>
      </c>
      <c r="G96" s="220">
        <f>'дод 2 '!H155</f>
        <v>2579552.15</v>
      </c>
      <c r="H96" s="84">
        <f>'дод 2 '!I155</f>
        <v>0</v>
      </c>
      <c r="I96" s="84">
        <f>'дод 2 '!J155</f>
        <v>0</v>
      </c>
      <c r="J96" s="134">
        <f t="shared" si="38"/>
        <v>20.547700448543367</v>
      </c>
      <c r="K96" s="84">
        <f>'дод 2 '!L155</f>
        <v>0</v>
      </c>
      <c r="L96" s="84">
        <f>'дод 2 '!M155</f>
        <v>0</v>
      </c>
      <c r="M96" s="84">
        <f>'дод 2 '!N155</f>
        <v>0</v>
      </c>
      <c r="N96" s="84">
        <f>'дод 2 '!O155</f>
        <v>0</v>
      </c>
      <c r="O96" s="84">
        <f>'дод 2 '!P155</f>
        <v>0</v>
      </c>
      <c r="P96" s="84">
        <f>'дод 2 '!Q155</f>
        <v>0</v>
      </c>
      <c r="Q96" s="220">
        <f>'дод 2 '!R155</f>
        <v>0</v>
      </c>
      <c r="R96" s="220">
        <f>'дод 2 '!S155</f>
        <v>0</v>
      </c>
      <c r="S96" s="84">
        <f>'дод 2 '!T155</f>
        <v>0</v>
      </c>
      <c r="T96" s="84">
        <f>'дод 2 '!U155</f>
        <v>0</v>
      </c>
      <c r="U96" s="84">
        <f>'дод 2 '!V155</f>
        <v>0</v>
      </c>
      <c r="V96" s="84">
        <f>'дод 2 '!W155</f>
        <v>0</v>
      </c>
      <c r="W96" s="134"/>
      <c r="X96" s="84">
        <f t="shared" si="39"/>
        <v>2579552.15</v>
      </c>
      <c r="Y96" s="215"/>
    </row>
    <row r="97" spans="1:25" ht="57.75" customHeight="1" x14ac:dyDescent="0.25">
      <c r="A97" s="101" t="s">
        <v>464</v>
      </c>
      <c r="B97" s="101" t="s">
        <v>133</v>
      </c>
      <c r="C97" s="7" t="s">
        <v>470</v>
      </c>
      <c r="D97" s="84">
        <f>'дод 2 '!E156</f>
        <v>1859870</v>
      </c>
      <c r="E97" s="84">
        <f>'дод 2 '!F156</f>
        <v>0</v>
      </c>
      <c r="F97" s="84">
        <f>'дод 2 '!G156</f>
        <v>0</v>
      </c>
      <c r="G97" s="220">
        <f>'дод 2 '!H156</f>
        <v>159338.76999999999</v>
      </c>
      <c r="H97" s="84">
        <f>'дод 2 '!I156</f>
        <v>0</v>
      </c>
      <c r="I97" s="84">
        <f>'дод 2 '!J156</f>
        <v>0</v>
      </c>
      <c r="J97" s="134">
        <f t="shared" si="38"/>
        <v>8.5671993203826062</v>
      </c>
      <c r="K97" s="84">
        <f>'дод 2 '!L156</f>
        <v>0</v>
      </c>
      <c r="L97" s="84">
        <f>'дод 2 '!M156</f>
        <v>0</v>
      </c>
      <c r="M97" s="84">
        <f>'дод 2 '!N156</f>
        <v>0</v>
      </c>
      <c r="N97" s="84">
        <f>'дод 2 '!O156</f>
        <v>0</v>
      </c>
      <c r="O97" s="84">
        <f>'дод 2 '!P156</f>
        <v>0</v>
      </c>
      <c r="P97" s="84">
        <f>'дод 2 '!Q156</f>
        <v>0</v>
      </c>
      <c r="Q97" s="220">
        <f>'дод 2 '!R156</f>
        <v>0</v>
      </c>
      <c r="R97" s="220">
        <f>'дод 2 '!S156</f>
        <v>0</v>
      </c>
      <c r="S97" s="84">
        <f>'дод 2 '!T156</f>
        <v>0</v>
      </c>
      <c r="T97" s="84">
        <f>'дод 2 '!U156</f>
        <v>0</v>
      </c>
      <c r="U97" s="84">
        <f>'дод 2 '!V156</f>
        <v>0</v>
      </c>
      <c r="V97" s="84">
        <f>'дод 2 '!W156</f>
        <v>0</v>
      </c>
      <c r="W97" s="134"/>
      <c r="X97" s="84">
        <f t="shared" si="39"/>
        <v>159338.76999999999</v>
      </c>
      <c r="Y97" s="215"/>
    </row>
    <row r="98" spans="1:25" ht="27" customHeight="1" x14ac:dyDescent="0.25">
      <c r="A98" s="101"/>
      <c r="B98" s="101"/>
      <c r="C98" s="7" t="s">
        <v>344</v>
      </c>
      <c r="D98" s="84">
        <f>'дод 2 '!E157</f>
        <v>1859870</v>
      </c>
      <c r="E98" s="84">
        <f>'дод 2 '!F157</f>
        <v>0</v>
      </c>
      <c r="F98" s="84">
        <f>'дод 2 '!G157</f>
        <v>0</v>
      </c>
      <c r="G98" s="220">
        <f>'дод 2 '!H157</f>
        <v>159338.76999999999</v>
      </c>
      <c r="H98" s="84">
        <f>'дод 2 '!I157</f>
        <v>0</v>
      </c>
      <c r="I98" s="84">
        <f>'дод 2 '!J157</f>
        <v>0</v>
      </c>
      <c r="J98" s="134">
        <f t="shared" si="38"/>
        <v>8.5671993203826062</v>
      </c>
      <c r="K98" s="84">
        <f>'дод 2 '!L157</f>
        <v>0</v>
      </c>
      <c r="L98" s="84">
        <f>'дод 2 '!M157</f>
        <v>0</v>
      </c>
      <c r="M98" s="84">
        <f>'дод 2 '!N157</f>
        <v>0</v>
      </c>
      <c r="N98" s="84">
        <f>'дод 2 '!O157</f>
        <v>0</v>
      </c>
      <c r="O98" s="84">
        <f>'дод 2 '!P157</f>
        <v>0</v>
      </c>
      <c r="P98" s="84">
        <f>'дод 2 '!Q157</f>
        <v>0</v>
      </c>
      <c r="Q98" s="220">
        <f>'дод 2 '!R157</f>
        <v>0</v>
      </c>
      <c r="R98" s="220">
        <f>'дод 2 '!S157</f>
        <v>0</v>
      </c>
      <c r="S98" s="84">
        <f>'дод 2 '!T157</f>
        <v>0</v>
      </c>
      <c r="T98" s="84">
        <f>'дод 2 '!U157</f>
        <v>0</v>
      </c>
      <c r="U98" s="84">
        <f>'дод 2 '!V157</f>
        <v>0</v>
      </c>
      <c r="V98" s="84">
        <f>'дод 2 '!W157</f>
        <v>0</v>
      </c>
      <c r="W98" s="134"/>
      <c r="X98" s="84">
        <f t="shared" si="39"/>
        <v>159338.76999999999</v>
      </c>
      <c r="Y98" s="215"/>
    </row>
    <row r="99" spans="1:25" ht="64.5" customHeight="1" x14ac:dyDescent="0.25">
      <c r="A99" s="101" t="s">
        <v>465</v>
      </c>
      <c r="B99" s="101" t="s">
        <v>73</v>
      </c>
      <c r="C99" s="7" t="s">
        <v>471</v>
      </c>
      <c r="D99" s="84">
        <f>'дод 2 '!E158</f>
        <v>190380</v>
      </c>
      <c r="E99" s="84">
        <f>'дод 2 '!F158</f>
        <v>0</v>
      </c>
      <c r="F99" s="84">
        <f>'дод 2 '!G158</f>
        <v>0</v>
      </c>
      <c r="G99" s="220">
        <f>'дод 2 '!H158</f>
        <v>47063.54</v>
      </c>
      <c r="H99" s="84">
        <f>'дод 2 '!I158</f>
        <v>0</v>
      </c>
      <c r="I99" s="84">
        <f>'дод 2 '!J158</f>
        <v>0</v>
      </c>
      <c r="J99" s="134">
        <f t="shared" si="38"/>
        <v>24.720842525475366</v>
      </c>
      <c r="K99" s="84">
        <f>'дод 2 '!L158</f>
        <v>0</v>
      </c>
      <c r="L99" s="84">
        <f>'дод 2 '!M158</f>
        <v>0</v>
      </c>
      <c r="M99" s="84">
        <f>'дод 2 '!N158</f>
        <v>0</v>
      </c>
      <c r="N99" s="84">
        <f>'дод 2 '!O158</f>
        <v>0</v>
      </c>
      <c r="O99" s="84">
        <f>'дод 2 '!P158</f>
        <v>0</v>
      </c>
      <c r="P99" s="84">
        <f>'дод 2 '!Q158</f>
        <v>0</v>
      </c>
      <c r="Q99" s="220">
        <f>'дод 2 '!R158</f>
        <v>0</v>
      </c>
      <c r="R99" s="220">
        <f>'дод 2 '!S158</f>
        <v>0</v>
      </c>
      <c r="S99" s="84">
        <f>'дод 2 '!T158</f>
        <v>0</v>
      </c>
      <c r="T99" s="84">
        <f>'дод 2 '!U158</f>
        <v>0</v>
      </c>
      <c r="U99" s="84">
        <f>'дод 2 '!V158</f>
        <v>0</v>
      </c>
      <c r="V99" s="84">
        <f>'дод 2 '!W158</f>
        <v>0</v>
      </c>
      <c r="W99" s="134"/>
      <c r="X99" s="84">
        <f t="shared" si="39"/>
        <v>47063.54</v>
      </c>
      <c r="Y99" s="215"/>
    </row>
    <row r="100" spans="1:25" ht="27" customHeight="1" x14ac:dyDescent="0.25">
      <c r="A100" s="101"/>
      <c r="B100" s="101"/>
      <c r="C100" s="7" t="s">
        <v>344</v>
      </c>
      <c r="D100" s="84">
        <f>'дод 2 '!E159</f>
        <v>190380</v>
      </c>
      <c r="E100" s="84">
        <f>'дод 2 '!F159</f>
        <v>0</v>
      </c>
      <c r="F100" s="84">
        <f>'дод 2 '!G159</f>
        <v>0</v>
      </c>
      <c r="G100" s="220">
        <f>'дод 2 '!H159</f>
        <v>47063.54</v>
      </c>
      <c r="H100" s="84">
        <f>'дод 2 '!I159</f>
        <v>0</v>
      </c>
      <c r="I100" s="84">
        <f>'дод 2 '!J159</f>
        <v>0</v>
      </c>
      <c r="J100" s="134">
        <f t="shared" si="38"/>
        <v>24.720842525475366</v>
      </c>
      <c r="K100" s="84">
        <f>'дод 2 '!L159</f>
        <v>0</v>
      </c>
      <c r="L100" s="84">
        <f>'дод 2 '!M159</f>
        <v>0</v>
      </c>
      <c r="M100" s="84">
        <f>'дод 2 '!N159</f>
        <v>0</v>
      </c>
      <c r="N100" s="84">
        <f>'дод 2 '!O159</f>
        <v>0</v>
      </c>
      <c r="O100" s="84">
        <f>'дод 2 '!P159</f>
        <v>0</v>
      </c>
      <c r="P100" s="84">
        <f>'дод 2 '!Q159</f>
        <v>0</v>
      </c>
      <c r="Q100" s="220">
        <f>'дод 2 '!R159</f>
        <v>0</v>
      </c>
      <c r="R100" s="220">
        <f>'дод 2 '!S159</f>
        <v>0</v>
      </c>
      <c r="S100" s="84">
        <f>'дод 2 '!T159</f>
        <v>0</v>
      </c>
      <c r="T100" s="84">
        <f>'дод 2 '!U159</f>
        <v>0</v>
      </c>
      <c r="U100" s="84">
        <f>'дод 2 '!V159</f>
        <v>0</v>
      </c>
      <c r="V100" s="84">
        <f>'дод 2 '!W159</f>
        <v>0</v>
      </c>
      <c r="W100" s="134"/>
      <c r="X100" s="84">
        <f t="shared" si="39"/>
        <v>47063.54</v>
      </c>
      <c r="Y100" s="215"/>
    </row>
    <row r="101" spans="1:25" ht="157.5" x14ac:dyDescent="0.25">
      <c r="A101" s="101" t="s">
        <v>580</v>
      </c>
      <c r="B101" s="101" t="s">
        <v>133</v>
      </c>
      <c r="C101" s="88" t="s">
        <v>585</v>
      </c>
      <c r="D101" s="84">
        <f>SUM('дод 2 '!E160)</f>
        <v>253550</v>
      </c>
      <c r="E101" s="84">
        <f>SUM('дод 2 '!F160)</f>
        <v>0</v>
      </c>
      <c r="F101" s="84">
        <f>SUM('дод 2 '!G160)</f>
        <v>0</v>
      </c>
      <c r="G101" s="220">
        <f>SUM('дод 2 '!H160)</f>
        <v>3902.89</v>
      </c>
      <c r="H101" s="84">
        <f>SUM('дод 2 '!I160)</f>
        <v>0</v>
      </c>
      <c r="I101" s="84">
        <f>SUM('дод 2 '!J160)</f>
        <v>0</v>
      </c>
      <c r="J101" s="134">
        <f t="shared" si="38"/>
        <v>1.5392979688424373</v>
      </c>
      <c r="K101" s="84">
        <f>SUM('дод 2 '!L160)</f>
        <v>0</v>
      </c>
      <c r="L101" s="84">
        <f>SUM('дод 2 '!M160)</f>
        <v>0</v>
      </c>
      <c r="M101" s="84">
        <f>SUM('дод 2 '!N160)</f>
        <v>0</v>
      </c>
      <c r="N101" s="84">
        <f>SUM('дод 2 '!O160)</f>
        <v>0</v>
      </c>
      <c r="O101" s="84">
        <f>SUM('дод 2 '!P160)</f>
        <v>0</v>
      </c>
      <c r="P101" s="84">
        <f>SUM('дод 2 '!Q160)</f>
        <v>0</v>
      </c>
      <c r="Q101" s="220">
        <f>SUM('дод 2 '!R160)</f>
        <v>0</v>
      </c>
      <c r="R101" s="220">
        <f>SUM('дод 2 '!S160)</f>
        <v>0</v>
      </c>
      <c r="S101" s="84">
        <f>SUM('дод 2 '!T160)</f>
        <v>0</v>
      </c>
      <c r="T101" s="84">
        <f>SUM('дод 2 '!U160)</f>
        <v>0</v>
      </c>
      <c r="U101" s="84">
        <f>SUM('дод 2 '!V160)</f>
        <v>0</v>
      </c>
      <c r="V101" s="84">
        <f>SUM('дод 2 '!W160)</f>
        <v>0</v>
      </c>
      <c r="W101" s="134"/>
      <c r="X101" s="84">
        <f t="shared" si="39"/>
        <v>3902.89</v>
      </c>
      <c r="Y101" s="215"/>
    </row>
    <row r="102" spans="1:25" ht="27" customHeight="1" x14ac:dyDescent="0.25">
      <c r="A102" s="101"/>
      <c r="B102" s="101"/>
      <c r="C102" s="7" t="s">
        <v>344</v>
      </c>
      <c r="D102" s="84">
        <f>SUM('дод 2 '!E161)</f>
        <v>253550</v>
      </c>
      <c r="E102" s="84">
        <f>SUM('дод 2 '!F161)</f>
        <v>0</v>
      </c>
      <c r="F102" s="84">
        <f>SUM('дод 2 '!G161)</f>
        <v>0</v>
      </c>
      <c r="G102" s="220">
        <f>SUM('дод 2 '!H161)</f>
        <v>3902.89</v>
      </c>
      <c r="H102" s="84">
        <f>SUM('дод 2 '!I161)</f>
        <v>0</v>
      </c>
      <c r="I102" s="84">
        <f>SUM('дод 2 '!J161)</f>
        <v>0</v>
      </c>
      <c r="J102" s="134">
        <f t="shared" si="38"/>
        <v>1.5392979688424373</v>
      </c>
      <c r="K102" s="84">
        <f>SUM('дод 2 '!L161)</f>
        <v>0</v>
      </c>
      <c r="L102" s="84">
        <f>SUM('дод 2 '!M161)</f>
        <v>0</v>
      </c>
      <c r="M102" s="84">
        <f>SUM('дод 2 '!N161)</f>
        <v>0</v>
      </c>
      <c r="N102" s="84">
        <f>SUM('дод 2 '!O161)</f>
        <v>0</v>
      </c>
      <c r="O102" s="84">
        <f>SUM('дод 2 '!P161)</f>
        <v>0</v>
      </c>
      <c r="P102" s="84">
        <f>SUM('дод 2 '!Q161)</f>
        <v>0</v>
      </c>
      <c r="Q102" s="220">
        <f>SUM('дод 2 '!R161)</f>
        <v>0</v>
      </c>
      <c r="R102" s="220">
        <f>SUM('дод 2 '!S161)</f>
        <v>0</v>
      </c>
      <c r="S102" s="84">
        <f>SUM('дод 2 '!T161)</f>
        <v>0</v>
      </c>
      <c r="T102" s="84">
        <f>SUM('дод 2 '!U161)</f>
        <v>0</v>
      </c>
      <c r="U102" s="84">
        <f>SUM('дод 2 '!V161)</f>
        <v>0</v>
      </c>
      <c r="V102" s="84">
        <f>SUM('дод 2 '!W161)</f>
        <v>0</v>
      </c>
      <c r="W102" s="134"/>
      <c r="X102" s="84">
        <f t="shared" si="39"/>
        <v>3902.89</v>
      </c>
      <c r="Y102" s="215"/>
    </row>
    <row r="103" spans="1:25" ht="40.5" customHeight="1" x14ac:dyDescent="0.25">
      <c r="A103" s="101" t="s">
        <v>418</v>
      </c>
      <c r="B103" s="101" t="s">
        <v>77</v>
      </c>
      <c r="C103" s="7" t="s">
        <v>419</v>
      </c>
      <c r="D103" s="84">
        <f>'дод 2 '!E162</f>
        <v>215500</v>
      </c>
      <c r="E103" s="84">
        <f>'дод 2 '!F162</f>
        <v>0</v>
      </c>
      <c r="F103" s="84">
        <f>'дод 2 '!G162</f>
        <v>0</v>
      </c>
      <c r="G103" s="220">
        <f>'дод 2 '!H162</f>
        <v>49240.77</v>
      </c>
      <c r="H103" s="84">
        <f>'дод 2 '!I162</f>
        <v>0</v>
      </c>
      <c r="I103" s="84">
        <f>'дод 2 '!J162</f>
        <v>0</v>
      </c>
      <c r="J103" s="134">
        <f t="shared" si="38"/>
        <v>22.849545243619488</v>
      </c>
      <c r="K103" s="84">
        <f>'дод 2 '!L162</f>
        <v>0</v>
      </c>
      <c r="L103" s="84">
        <f>'дод 2 '!M162</f>
        <v>0</v>
      </c>
      <c r="M103" s="84">
        <f>'дод 2 '!N162</f>
        <v>0</v>
      </c>
      <c r="N103" s="84">
        <f>'дод 2 '!O162</f>
        <v>0</v>
      </c>
      <c r="O103" s="84">
        <f>'дод 2 '!P162</f>
        <v>0</v>
      </c>
      <c r="P103" s="84">
        <f>'дод 2 '!Q162</f>
        <v>0</v>
      </c>
      <c r="Q103" s="220">
        <f>'дод 2 '!R162</f>
        <v>0</v>
      </c>
      <c r="R103" s="220">
        <f>'дод 2 '!S162</f>
        <v>0</v>
      </c>
      <c r="S103" s="84">
        <f>'дод 2 '!T162</f>
        <v>0</v>
      </c>
      <c r="T103" s="84">
        <f>'дод 2 '!U162</f>
        <v>0</v>
      </c>
      <c r="U103" s="84">
        <f>'дод 2 '!V162</f>
        <v>0</v>
      </c>
      <c r="V103" s="84">
        <f>'дод 2 '!W162</f>
        <v>0</v>
      </c>
      <c r="W103" s="134"/>
      <c r="X103" s="84">
        <f t="shared" si="39"/>
        <v>49240.77</v>
      </c>
      <c r="Y103" s="215"/>
    </row>
    <row r="104" spans="1:25" ht="74.25" customHeight="1" x14ac:dyDescent="0.25">
      <c r="A104" s="101" t="s">
        <v>135</v>
      </c>
      <c r="B104" s="101" t="s">
        <v>75</v>
      </c>
      <c r="C104" s="7" t="s">
        <v>50</v>
      </c>
      <c r="D104" s="84">
        <f>'дод 2 '!E163</f>
        <v>11556600</v>
      </c>
      <c r="E104" s="84">
        <f>'дод 2 '!F163</f>
        <v>8737044</v>
      </c>
      <c r="F104" s="84">
        <f>'дод 2 '!G163</f>
        <v>254614</v>
      </c>
      <c r="G104" s="220">
        <f>'дод 2 '!H163</f>
        <v>2662798.94</v>
      </c>
      <c r="H104" s="84">
        <f>'дод 2 '!I163</f>
        <v>2021258.92</v>
      </c>
      <c r="I104" s="84">
        <f>'дод 2 '!J163</f>
        <v>91273.8</v>
      </c>
      <c r="J104" s="134">
        <f t="shared" si="38"/>
        <v>23.041369780039112</v>
      </c>
      <c r="K104" s="84">
        <f>'дод 2 '!L163</f>
        <v>105530</v>
      </c>
      <c r="L104" s="84">
        <f>'дод 2 '!M163</f>
        <v>10000</v>
      </c>
      <c r="M104" s="84">
        <f>'дод 2 '!N163</f>
        <v>95530</v>
      </c>
      <c r="N104" s="84">
        <f>'дод 2 '!O163</f>
        <v>75100</v>
      </c>
      <c r="O104" s="84">
        <f>'дод 2 '!P163</f>
        <v>0</v>
      </c>
      <c r="P104" s="84">
        <f>'дод 2 '!Q163</f>
        <v>10000</v>
      </c>
      <c r="Q104" s="220">
        <f>'дод 2 '!R163</f>
        <v>23030.27</v>
      </c>
      <c r="R104" s="220">
        <f>'дод 2 '!S163</f>
        <v>0</v>
      </c>
      <c r="S104" s="84">
        <f>'дод 2 '!T163</f>
        <v>23030.27</v>
      </c>
      <c r="T104" s="84">
        <f>'дод 2 '!U163</f>
        <v>14501.36</v>
      </c>
      <c r="U104" s="84">
        <f>'дод 2 '!V163</f>
        <v>0</v>
      </c>
      <c r="V104" s="84">
        <f>'дод 2 '!W163</f>
        <v>0</v>
      </c>
      <c r="W104" s="134">
        <f t="shared" ref="W104:W142" si="40">SUM(Q104/K104)*100</f>
        <v>21.823434094570267</v>
      </c>
      <c r="X104" s="84">
        <f t="shared" si="39"/>
        <v>2685829.21</v>
      </c>
      <c r="Y104" s="215"/>
    </row>
    <row r="105" spans="1:25" ht="69.75" customHeight="1" x14ac:dyDescent="0.25">
      <c r="A105" s="101" t="s">
        <v>577</v>
      </c>
      <c r="B105" s="101" t="s">
        <v>133</v>
      </c>
      <c r="C105" s="86" t="s">
        <v>586</v>
      </c>
      <c r="D105" s="84">
        <f>SUM('дод 2 '!E191)</f>
        <v>88440</v>
      </c>
      <c r="E105" s="84">
        <f>SUM('дод 2 '!F191)</f>
        <v>0</v>
      </c>
      <c r="F105" s="84">
        <f>SUM('дод 2 '!G191)</f>
        <v>0</v>
      </c>
      <c r="G105" s="220">
        <f>SUM('дод 2 '!H191)</f>
        <v>0</v>
      </c>
      <c r="H105" s="84">
        <f>SUM('дод 2 '!I191)</f>
        <v>0</v>
      </c>
      <c r="I105" s="84">
        <f>SUM('дод 2 '!J191)</f>
        <v>0</v>
      </c>
      <c r="J105" s="134">
        <f t="shared" si="38"/>
        <v>0</v>
      </c>
      <c r="K105" s="84">
        <f>SUM('дод 2 '!L191)</f>
        <v>40300</v>
      </c>
      <c r="L105" s="84">
        <f>SUM('дод 2 '!M191)</f>
        <v>40300</v>
      </c>
      <c r="M105" s="84">
        <f>SUM('дод 2 '!N191)</f>
        <v>0</v>
      </c>
      <c r="N105" s="84">
        <f>SUM('дод 2 '!O191)</f>
        <v>0</v>
      </c>
      <c r="O105" s="84">
        <f>SUM('дод 2 '!P191)</f>
        <v>0</v>
      </c>
      <c r="P105" s="84">
        <f>SUM('дод 2 '!Q191)</f>
        <v>40300</v>
      </c>
      <c r="Q105" s="220">
        <f>SUM('дод 2 '!R191)</f>
        <v>0</v>
      </c>
      <c r="R105" s="220">
        <f>SUM('дод 2 '!S191)</f>
        <v>0</v>
      </c>
      <c r="S105" s="84">
        <f>SUM('дод 2 '!T191)</f>
        <v>0</v>
      </c>
      <c r="T105" s="84">
        <f>SUM('дод 2 '!U191)</f>
        <v>0</v>
      </c>
      <c r="U105" s="84">
        <f>SUM('дод 2 '!V191)</f>
        <v>0</v>
      </c>
      <c r="V105" s="84">
        <f>SUM('дод 2 '!W191)</f>
        <v>0</v>
      </c>
      <c r="W105" s="134">
        <f t="shared" si="40"/>
        <v>0</v>
      </c>
      <c r="X105" s="84">
        <f t="shared" si="39"/>
        <v>0</v>
      </c>
      <c r="Y105" s="215"/>
    </row>
    <row r="106" spans="1:25" s="5" customFormat="1" ht="43.5" customHeight="1" x14ac:dyDescent="0.25">
      <c r="A106" s="101" t="s">
        <v>136</v>
      </c>
      <c r="B106" s="101" t="s">
        <v>133</v>
      </c>
      <c r="C106" s="7" t="s">
        <v>52</v>
      </c>
      <c r="D106" s="84">
        <f>'дод 2 '!E192</f>
        <v>100000</v>
      </c>
      <c r="E106" s="84">
        <f>'дод 2 '!F192</f>
        <v>0</v>
      </c>
      <c r="F106" s="84">
        <f>'дод 2 '!G192</f>
        <v>0</v>
      </c>
      <c r="G106" s="220">
        <f>'дод 2 '!H192</f>
        <v>2549.9</v>
      </c>
      <c r="H106" s="84">
        <f>'дод 2 '!I192</f>
        <v>0</v>
      </c>
      <c r="I106" s="84">
        <f>'дод 2 '!J192</f>
        <v>0</v>
      </c>
      <c r="J106" s="134">
        <f t="shared" si="38"/>
        <v>2.5499000000000001</v>
      </c>
      <c r="K106" s="84">
        <f>'дод 2 '!L192</f>
        <v>0</v>
      </c>
      <c r="L106" s="84">
        <f>'дод 2 '!M192</f>
        <v>0</v>
      </c>
      <c r="M106" s="84">
        <f>'дод 2 '!N192</f>
        <v>0</v>
      </c>
      <c r="N106" s="84">
        <f>'дод 2 '!O192</f>
        <v>0</v>
      </c>
      <c r="O106" s="84">
        <f>'дод 2 '!P192</f>
        <v>0</v>
      </c>
      <c r="P106" s="84">
        <f>'дод 2 '!Q192</f>
        <v>0</v>
      </c>
      <c r="Q106" s="220">
        <f>'дод 2 '!R192</f>
        <v>0</v>
      </c>
      <c r="R106" s="220">
        <f>'дод 2 '!S192</f>
        <v>0</v>
      </c>
      <c r="S106" s="84">
        <f>'дод 2 '!T192</f>
        <v>0</v>
      </c>
      <c r="T106" s="84">
        <f>'дод 2 '!U192</f>
        <v>0</v>
      </c>
      <c r="U106" s="84">
        <f>'дод 2 '!V192</f>
        <v>0</v>
      </c>
      <c r="V106" s="84">
        <f>'дод 2 '!W192</f>
        <v>0</v>
      </c>
      <c r="W106" s="134"/>
      <c r="X106" s="84">
        <f t="shared" si="39"/>
        <v>2549.9</v>
      </c>
      <c r="Y106" s="215"/>
    </row>
    <row r="107" spans="1:25" s="5" customFormat="1" ht="42.75" customHeight="1" x14ac:dyDescent="0.25">
      <c r="A107" s="101" t="s">
        <v>170</v>
      </c>
      <c r="B107" s="101" t="s">
        <v>133</v>
      </c>
      <c r="C107" s="7" t="s">
        <v>171</v>
      </c>
      <c r="D107" s="84">
        <f>'дод 2 '!E21</f>
        <v>2260500</v>
      </c>
      <c r="E107" s="84">
        <f>'дод 2 '!F21</f>
        <v>1724250</v>
      </c>
      <c r="F107" s="84">
        <f>'дод 2 '!G21</f>
        <v>53714</v>
      </c>
      <c r="G107" s="220">
        <f>'дод 2 '!H21</f>
        <v>496439.32</v>
      </c>
      <c r="H107" s="84">
        <f>'дод 2 '!I21</f>
        <v>387783.81</v>
      </c>
      <c r="I107" s="84">
        <f>'дод 2 '!J21</f>
        <v>17696.650000000001</v>
      </c>
      <c r="J107" s="134">
        <f t="shared" si="38"/>
        <v>21.961482857774829</v>
      </c>
      <c r="K107" s="84">
        <f>'дод 2 '!L21</f>
        <v>0</v>
      </c>
      <c r="L107" s="84">
        <f>'дод 2 '!M21</f>
        <v>0</v>
      </c>
      <c r="M107" s="84">
        <f>'дод 2 '!N21</f>
        <v>0</v>
      </c>
      <c r="N107" s="84">
        <f>'дод 2 '!O21</f>
        <v>0</v>
      </c>
      <c r="O107" s="84">
        <f>'дод 2 '!P21</f>
        <v>0</v>
      </c>
      <c r="P107" s="84">
        <f>'дод 2 '!Q21</f>
        <v>0</v>
      </c>
      <c r="Q107" s="220">
        <f>'дод 2 '!R21</f>
        <v>0</v>
      </c>
      <c r="R107" s="220">
        <f>'дод 2 '!S21</f>
        <v>0</v>
      </c>
      <c r="S107" s="84">
        <f>'дод 2 '!T21</f>
        <v>0</v>
      </c>
      <c r="T107" s="84">
        <f>'дод 2 '!U21</f>
        <v>0</v>
      </c>
      <c r="U107" s="84">
        <f>'дод 2 '!V21</f>
        <v>0</v>
      </c>
      <c r="V107" s="84">
        <f>'дод 2 '!W21</f>
        <v>0</v>
      </c>
      <c r="W107" s="134"/>
      <c r="X107" s="84">
        <f t="shared" si="39"/>
        <v>496439.32</v>
      </c>
      <c r="Y107" s="215"/>
    </row>
    <row r="108" spans="1:25" s="5" customFormat="1" ht="58.5" customHeight="1" x14ac:dyDescent="0.25">
      <c r="A108" s="104" t="s">
        <v>140</v>
      </c>
      <c r="B108" s="104" t="s">
        <v>133</v>
      </c>
      <c r="C108" s="7" t="s">
        <v>191</v>
      </c>
      <c r="D108" s="84">
        <f>'дод 2 '!E22</f>
        <v>800000</v>
      </c>
      <c r="E108" s="84">
        <f>'дод 2 '!F22</f>
        <v>0</v>
      </c>
      <c r="F108" s="84">
        <f>'дод 2 '!G22</f>
        <v>0</v>
      </c>
      <c r="G108" s="220">
        <f>'дод 2 '!H22</f>
        <v>34716.93</v>
      </c>
      <c r="H108" s="84">
        <f>'дод 2 '!I22</f>
        <v>0</v>
      </c>
      <c r="I108" s="84">
        <f>'дод 2 '!J22</f>
        <v>0</v>
      </c>
      <c r="J108" s="134">
        <f t="shared" si="38"/>
        <v>4.3396162500000006</v>
      </c>
      <c r="K108" s="84">
        <f>'дод 2 '!L22</f>
        <v>0</v>
      </c>
      <c r="L108" s="84">
        <f>'дод 2 '!M22</f>
        <v>0</v>
      </c>
      <c r="M108" s="84">
        <f>'дод 2 '!N22</f>
        <v>0</v>
      </c>
      <c r="N108" s="84">
        <f>'дод 2 '!O22</f>
        <v>0</v>
      </c>
      <c r="O108" s="84">
        <f>'дод 2 '!P22</f>
        <v>0</v>
      </c>
      <c r="P108" s="84">
        <f>'дод 2 '!Q22</f>
        <v>0</v>
      </c>
      <c r="Q108" s="220">
        <f>'дод 2 '!R22</f>
        <v>0</v>
      </c>
      <c r="R108" s="220">
        <f>'дод 2 '!S22</f>
        <v>0</v>
      </c>
      <c r="S108" s="84">
        <f>'дод 2 '!T22</f>
        <v>0</v>
      </c>
      <c r="T108" s="84">
        <f>'дод 2 '!U22</f>
        <v>0</v>
      </c>
      <c r="U108" s="84">
        <f>'дод 2 '!V22</f>
        <v>0</v>
      </c>
      <c r="V108" s="84">
        <f>'дод 2 '!W22</f>
        <v>0</v>
      </c>
      <c r="W108" s="134"/>
      <c r="X108" s="84">
        <f t="shared" si="39"/>
        <v>34716.93</v>
      </c>
      <c r="Y108" s="215"/>
    </row>
    <row r="109" spans="1:25" ht="75" customHeight="1" x14ac:dyDescent="0.25">
      <c r="A109" s="101" t="s">
        <v>141</v>
      </c>
      <c r="B109" s="101" t="s">
        <v>133</v>
      </c>
      <c r="C109" s="10" t="s">
        <v>35</v>
      </c>
      <c r="D109" s="84">
        <f>'дод 2 '!E74+'дод 2 '!E23</f>
        <v>10377854</v>
      </c>
      <c r="E109" s="84">
        <f>'дод 2 '!F74+'дод 2 '!F23</f>
        <v>0</v>
      </c>
      <c r="F109" s="84">
        <f>'дод 2 '!G74+'дод 2 '!G23</f>
        <v>0</v>
      </c>
      <c r="G109" s="220">
        <f>'дод 2 '!H74+'дод 2 '!H23</f>
        <v>0</v>
      </c>
      <c r="H109" s="84">
        <f>'дод 2 '!I74+'дод 2 '!I23</f>
        <v>0</v>
      </c>
      <c r="I109" s="84">
        <f>'дод 2 '!J74+'дод 2 '!J23</f>
        <v>0</v>
      </c>
      <c r="J109" s="134">
        <f t="shared" si="38"/>
        <v>0</v>
      </c>
      <c r="K109" s="84">
        <f>'дод 2 '!L74+'дод 2 '!L23</f>
        <v>0</v>
      </c>
      <c r="L109" s="84">
        <f>'дод 2 '!M74+'дод 2 '!M23</f>
        <v>0</v>
      </c>
      <c r="M109" s="84">
        <f>'дод 2 '!N74+'дод 2 '!N23</f>
        <v>0</v>
      </c>
      <c r="N109" s="84">
        <f>'дод 2 '!O74+'дод 2 '!O23</f>
        <v>0</v>
      </c>
      <c r="O109" s="84">
        <f>'дод 2 '!P74+'дод 2 '!P23</f>
        <v>0</v>
      </c>
      <c r="P109" s="84">
        <f>'дод 2 '!Q74+'дод 2 '!Q23</f>
        <v>0</v>
      </c>
      <c r="Q109" s="220">
        <f>'дод 2 '!R74+'дод 2 '!R23</f>
        <v>0</v>
      </c>
      <c r="R109" s="220">
        <f>'дод 2 '!S74+'дод 2 '!S23</f>
        <v>0</v>
      </c>
      <c r="S109" s="84">
        <f>'дод 2 '!T74+'дод 2 '!T23</f>
        <v>0</v>
      </c>
      <c r="T109" s="84">
        <f>'дод 2 '!U74+'дод 2 '!U23</f>
        <v>0</v>
      </c>
      <c r="U109" s="84">
        <f>'дод 2 '!V74+'дод 2 '!V23</f>
        <v>0</v>
      </c>
      <c r="V109" s="84">
        <f>'дод 2 '!W74+'дод 2 '!W23</f>
        <v>0</v>
      </c>
      <c r="W109" s="134"/>
      <c r="X109" s="84">
        <f t="shared" si="39"/>
        <v>0</v>
      </c>
      <c r="Y109" s="215"/>
    </row>
    <row r="110" spans="1:25" ht="92.25" customHeight="1" x14ac:dyDescent="0.25">
      <c r="A110" s="101" t="s">
        <v>142</v>
      </c>
      <c r="B110" s="101">
        <v>1010</v>
      </c>
      <c r="C110" s="7" t="s">
        <v>376</v>
      </c>
      <c r="D110" s="84">
        <f>'дод 2 '!E164</f>
        <v>1812956</v>
      </c>
      <c r="E110" s="84">
        <f>'дод 2 '!F164</f>
        <v>0</v>
      </c>
      <c r="F110" s="84">
        <f>'дод 2 '!G164</f>
        <v>0</v>
      </c>
      <c r="G110" s="220">
        <f>'дод 2 '!H164</f>
        <v>281083.59999999998</v>
      </c>
      <c r="H110" s="84">
        <f>'дод 2 '!I164</f>
        <v>0</v>
      </c>
      <c r="I110" s="84">
        <f>'дод 2 '!J164</f>
        <v>0</v>
      </c>
      <c r="J110" s="134">
        <f t="shared" si="38"/>
        <v>15.504160056835357</v>
      </c>
      <c r="K110" s="84">
        <f>'дод 2 '!L164</f>
        <v>0</v>
      </c>
      <c r="L110" s="84">
        <f>'дод 2 '!M164</f>
        <v>0</v>
      </c>
      <c r="M110" s="84">
        <f>'дод 2 '!N164</f>
        <v>0</v>
      </c>
      <c r="N110" s="84">
        <f>'дод 2 '!O164</f>
        <v>0</v>
      </c>
      <c r="O110" s="84">
        <f>'дод 2 '!P164</f>
        <v>0</v>
      </c>
      <c r="P110" s="84">
        <f>'дод 2 '!Q164</f>
        <v>0</v>
      </c>
      <c r="Q110" s="220">
        <f>'дод 2 '!R164</f>
        <v>0</v>
      </c>
      <c r="R110" s="220">
        <f>'дод 2 '!S164</f>
        <v>0</v>
      </c>
      <c r="S110" s="84">
        <f>'дод 2 '!T164</f>
        <v>0</v>
      </c>
      <c r="T110" s="84">
        <f>'дод 2 '!U164</f>
        <v>0</v>
      </c>
      <c r="U110" s="84">
        <f>'дод 2 '!V164</f>
        <v>0</v>
      </c>
      <c r="V110" s="84">
        <f>'дод 2 '!W164</f>
        <v>0</v>
      </c>
      <c r="W110" s="134"/>
      <c r="X110" s="84">
        <f t="shared" si="39"/>
        <v>281083.59999999998</v>
      </c>
      <c r="Y110" s="215"/>
    </row>
    <row r="111" spans="1:25" s="5" customFormat="1" ht="53.25" customHeight="1" x14ac:dyDescent="0.25">
      <c r="A111" s="101" t="s">
        <v>420</v>
      </c>
      <c r="B111" s="101">
        <v>1010</v>
      </c>
      <c r="C111" s="7" t="s">
        <v>422</v>
      </c>
      <c r="D111" s="84">
        <f>'дод 2 '!E165</f>
        <v>205040</v>
      </c>
      <c r="E111" s="84">
        <f>'дод 2 '!F165</f>
        <v>0</v>
      </c>
      <c r="F111" s="84">
        <f>'дод 2 '!G165</f>
        <v>0</v>
      </c>
      <c r="G111" s="220">
        <f>'дод 2 '!H165</f>
        <v>77285.77</v>
      </c>
      <c r="H111" s="84">
        <f>'дод 2 '!I165</f>
        <v>0</v>
      </c>
      <c r="I111" s="84">
        <f>'дод 2 '!J165</f>
        <v>0</v>
      </c>
      <c r="J111" s="134">
        <f t="shared" si="38"/>
        <v>37.693020873975811</v>
      </c>
      <c r="K111" s="84">
        <f>'дод 2 '!L165</f>
        <v>0</v>
      </c>
      <c r="L111" s="84">
        <f>'дод 2 '!M165</f>
        <v>0</v>
      </c>
      <c r="M111" s="84">
        <f>'дод 2 '!N165</f>
        <v>0</v>
      </c>
      <c r="N111" s="84">
        <f>'дод 2 '!O165</f>
        <v>0</v>
      </c>
      <c r="O111" s="84">
        <f>'дод 2 '!P165</f>
        <v>0</v>
      </c>
      <c r="P111" s="84">
        <f>'дод 2 '!Q165</f>
        <v>0</v>
      </c>
      <c r="Q111" s="220">
        <f>'дод 2 '!R165</f>
        <v>0</v>
      </c>
      <c r="R111" s="220">
        <f>'дод 2 '!S165</f>
        <v>0</v>
      </c>
      <c r="S111" s="84">
        <f>'дод 2 '!T165</f>
        <v>0</v>
      </c>
      <c r="T111" s="84">
        <f>'дод 2 '!U165</f>
        <v>0</v>
      </c>
      <c r="U111" s="84">
        <f>'дод 2 '!V165</f>
        <v>0</v>
      </c>
      <c r="V111" s="84">
        <f>'дод 2 '!W165</f>
        <v>0</v>
      </c>
      <c r="W111" s="134"/>
      <c r="X111" s="84">
        <f t="shared" si="39"/>
        <v>77285.77</v>
      </c>
      <c r="Y111" s="215"/>
    </row>
    <row r="112" spans="1:25" s="5" customFormat="1" ht="26.25" customHeight="1" x14ac:dyDescent="0.25">
      <c r="A112" s="101" t="s">
        <v>421</v>
      </c>
      <c r="B112" s="101">
        <v>1010</v>
      </c>
      <c r="C112" s="7" t="s">
        <v>423</v>
      </c>
      <c r="D112" s="84">
        <f>'дод 2 '!E166</f>
        <v>680</v>
      </c>
      <c r="E112" s="84">
        <f>'дод 2 '!F166</f>
        <v>0</v>
      </c>
      <c r="F112" s="84">
        <f>'дод 2 '!G166</f>
        <v>0</v>
      </c>
      <c r="G112" s="220">
        <f>'дод 2 '!H166</f>
        <v>0</v>
      </c>
      <c r="H112" s="84">
        <f>'дод 2 '!I166</f>
        <v>0</v>
      </c>
      <c r="I112" s="84">
        <f>'дод 2 '!J166</f>
        <v>0</v>
      </c>
      <c r="J112" s="134">
        <f t="shared" si="38"/>
        <v>0</v>
      </c>
      <c r="K112" s="84">
        <f>'дод 2 '!L166</f>
        <v>0</v>
      </c>
      <c r="L112" s="84">
        <f>'дод 2 '!M166</f>
        <v>0</v>
      </c>
      <c r="M112" s="84">
        <f>'дод 2 '!N166</f>
        <v>0</v>
      </c>
      <c r="N112" s="84">
        <f>'дод 2 '!O166</f>
        <v>0</v>
      </c>
      <c r="O112" s="84">
        <f>'дод 2 '!P166</f>
        <v>0</v>
      </c>
      <c r="P112" s="84">
        <f>'дод 2 '!Q166</f>
        <v>0</v>
      </c>
      <c r="Q112" s="220">
        <f>'дод 2 '!R166</f>
        <v>0</v>
      </c>
      <c r="R112" s="220">
        <f>'дод 2 '!S166</f>
        <v>0</v>
      </c>
      <c r="S112" s="84">
        <f>'дод 2 '!T166</f>
        <v>0</v>
      </c>
      <c r="T112" s="84">
        <f>'дод 2 '!U166</f>
        <v>0</v>
      </c>
      <c r="U112" s="84">
        <f>'дод 2 '!V166</f>
        <v>0</v>
      </c>
      <c r="V112" s="84">
        <f>'дод 2 '!W166</f>
        <v>0</v>
      </c>
      <c r="W112" s="134"/>
      <c r="X112" s="84">
        <f t="shared" si="39"/>
        <v>0</v>
      </c>
      <c r="Y112" s="215"/>
    </row>
    <row r="113" spans="1:25" ht="85.5" customHeight="1" x14ac:dyDescent="0.25">
      <c r="A113" s="101" t="s">
        <v>137</v>
      </c>
      <c r="B113" s="101" t="s">
        <v>78</v>
      </c>
      <c r="C113" s="7" t="s">
        <v>564</v>
      </c>
      <c r="D113" s="84">
        <f>'дод 2 '!E167</f>
        <v>1866099</v>
      </c>
      <c r="E113" s="84">
        <f>'дод 2 '!F167</f>
        <v>0</v>
      </c>
      <c r="F113" s="84">
        <f>'дод 2 '!G167</f>
        <v>0</v>
      </c>
      <c r="G113" s="220">
        <f>'дод 2 '!H167</f>
        <v>540954.93000000005</v>
      </c>
      <c r="H113" s="84">
        <f>'дод 2 '!I167</f>
        <v>0</v>
      </c>
      <c r="I113" s="84">
        <f>'дод 2 '!J167</f>
        <v>0</v>
      </c>
      <c r="J113" s="134">
        <f t="shared" si="38"/>
        <v>28.98854401615349</v>
      </c>
      <c r="K113" s="84">
        <f>'дод 2 '!L167</f>
        <v>0</v>
      </c>
      <c r="L113" s="84">
        <f>'дод 2 '!M167</f>
        <v>0</v>
      </c>
      <c r="M113" s="84">
        <f>'дод 2 '!N167</f>
        <v>0</v>
      </c>
      <c r="N113" s="84">
        <f>'дод 2 '!O167</f>
        <v>0</v>
      </c>
      <c r="O113" s="84">
        <f>'дод 2 '!P167</f>
        <v>0</v>
      </c>
      <c r="P113" s="84">
        <f>'дод 2 '!Q167</f>
        <v>0</v>
      </c>
      <c r="Q113" s="220">
        <f>'дод 2 '!R167</f>
        <v>0</v>
      </c>
      <c r="R113" s="220">
        <f>'дод 2 '!S167</f>
        <v>0</v>
      </c>
      <c r="S113" s="84">
        <f>'дод 2 '!T167</f>
        <v>0</v>
      </c>
      <c r="T113" s="84">
        <f>'дод 2 '!U167</f>
        <v>0</v>
      </c>
      <c r="U113" s="84">
        <f>'дод 2 '!V167</f>
        <v>0</v>
      </c>
      <c r="V113" s="84">
        <f>'дод 2 '!W167</f>
        <v>0</v>
      </c>
      <c r="W113" s="134"/>
      <c r="X113" s="84">
        <f t="shared" si="39"/>
        <v>540954.93000000005</v>
      </c>
      <c r="Y113" s="215"/>
    </row>
    <row r="114" spans="1:25" s="5" customFormat="1" ht="33.75" customHeight="1" x14ac:dyDescent="0.25">
      <c r="A114" s="101" t="s">
        <v>377</v>
      </c>
      <c r="B114" s="101" t="s">
        <v>77</v>
      </c>
      <c r="C114" s="7" t="s">
        <v>31</v>
      </c>
      <c r="D114" s="84">
        <f>'дод 2 '!E168</f>
        <v>2385619</v>
      </c>
      <c r="E114" s="84">
        <f>'дод 2 '!F168</f>
        <v>0</v>
      </c>
      <c r="F114" s="84">
        <f>'дод 2 '!G168</f>
        <v>0</v>
      </c>
      <c r="G114" s="220">
        <f>'дод 2 '!H168</f>
        <v>531955.79</v>
      </c>
      <c r="H114" s="84">
        <f>'дод 2 '!I168</f>
        <v>0</v>
      </c>
      <c r="I114" s="84">
        <f>'дод 2 '!J168</f>
        <v>0</v>
      </c>
      <c r="J114" s="134">
        <f t="shared" si="38"/>
        <v>22.298438686143935</v>
      </c>
      <c r="K114" s="84">
        <f>'дод 2 '!L168</f>
        <v>0</v>
      </c>
      <c r="L114" s="84">
        <f>'дод 2 '!M168</f>
        <v>0</v>
      </c>
      <c r="M114" s="84">
        <f>'дод 2 '!N168</f>
        <v>0</v>
      </c>
      <c r="N114" s="84">
        <f>'дод 2 '!O168</f>
        <v>0</v>
      </c>
      <c r="O114" s="84">
        <f>'дод 2 '!P168</f>
        <v>0</v>
      </c>
      <c r="P114" s="84">
        <f>'дод 2 '!Q168</f>
        <v>0</v>
      </c>
      <c r="Q114" s="220">
        <f>'дод 2 '!R168</f>
        <v>0</v>
      </c>
      <c r="R114" s="220">
        <f>'дод 2 '!S168</f>
        <v>0</v>
      </c>
      <c r="S114" s="84">
        <f>'дод 2 '!T168</f>
        <v>0</v>
      </c>
      <c r="T114" s="84">
        <f>'дод 2 '!U168</f>
        <v>0</v>
      </c>
      <c r="U114" s="84">
        <f>'дод 2 '!V168</f>
        <v>0</v>
      </c>
      <c r="V114" s="84">
        <f>'дод 2 '!W168</f>
        <v>0</v>
      </c>
      <c r="W114" s="134"/>
      <c r="X114" s="84">
        <f t="shared" si="39"/>
        <v>531955.79</v>
      </c>
      <c r="Y114" s="215"/>
    </row>
    <row r="115" spans="1:25" s="5" customFormat="1" ht="55.5" customHeight="1" x14ac:dyDescent="0.25">
      <c r="A115" s="101" t="s">
        <v>378</v>
      </c>
      <c r="B115" s="101" t="s">
        <v>77</v>
      </c>
      <c r="C115" s="7" t="s">
        <v>414</v>
      </c>
      <c r="D115" s="84">
        <f>'дод 2 '!E169</f>
        <v>1385920</v>
      </c>
      <c r="E115" s="84">
        <f>'дод 2 '!F169</f>
        <v>0</v>
      </c>
      <c r="F115" s="84">
        <f>'дод 2 '!G169</f>
        <v>0</v>
      </c>
      <c r="G115" s="220">
        <f>'дод 2 '!H169</f>
        <v>268158.8</v>
      </c>
      <c r="H115" s="84">
        <f>'дод 2 '!I169</f>
        <v>0</v>
      </c>
      <c r="I115" s="84">
        <f>'дод 2 '!J169</f>
        <v>0</v>
      </c>
      <c r="J115" s="134">
        <f t="shared" si="38"/>
        <v>19.348793581159086</v>
      </c>
      <c r="K115" s="84">
        <f>'дод 2 '!L169</f>
        <v>0</v>
      </c>
      <c r="L115" s="84">
        <f>'дод 2 '!M169</f>
        <v>0</v>
      </c>
      <c r="M115" s="84">
        <f>'дод 2 '!N169</f>
        <v>0</v>
      </c>
      <c r="N115" s="84">
        <f>'дод 2 '!O169</f>
        <v>0</v>
      </c>
      <c r="O115" s="84">
        <f>'дод 2 '!P169</f>
        <v>0</v>
      </c>
      <c r="P115" s="84">
        <f>'дод 2 '!Q169</f>
        <v>0</v>
      </c>
      <c r="Q115" s="220">
        <f>'дод 2 '!R169</f>
        <v>0</v>
      </c>
      <c r="R115" s="220">
        <f>'дод 2 '!S169</f>
        <v>0</v>
      </c>
      <c r="S115" s="84">
        <f>'дод 2 '!T169</f>
        <v>0</v>
      </c>
      <c r="T115" s="84">
        <f>'дод 2 '!U169</f>
        <v>0</v>
      </c>
      <c r="U115" s="84">
        <f>'дод 2 '!V169</f>
        <v>0</v>
      </c>
      <c r="V115" s="84">
        <f>'дод 2 '!W169</f>
        <v>0</v>
      </c>
      <c r="W115" s="134"/>
      <c r="X115" s="84">
        <f t="shared" si="39"/>
        <v>268158.8</v>
      </c>
      <c r="Y115" s="215"/>
    </row>
    <row r="116" spans="1:25" ht="43.5" customHeight="1" x14ac:dyDescent="0.25">
      <c r="A116" s="101" t="s">
        <v>138</v>
      </c>
      <c r="B116" s="101" t="s">
        <v>81</v>
      </c>
      <c r="C116" s="7" t="s">
        <v>192</v>
      </c>
      <c r="D116" s="84">
        <f>'дод 2 '!E170</f>
        <v>81525</v>
      </c>
      <c r="E116" s="84">
        <f>'дод 2 '!F170</f>
        <v>0</v>
      </c>
      <c r="F116" s="84">
        <f>'дод 2 '!G170</f>
        <v>0</v>
      </c>
      <c r="G116" s="220">
        <f>'дод 2 '!H170</f>
        <v>10000</v>
      </c>
      <c r="H116" s="84">
        <f>'дод 2 '!I170</f>
        <v>0</v>
      </c>
      <c r="I116" s="84">
        <f>'дод 2 '!J170</f>
        <v>0</v>
      </c>
      <c r="J116" s="134">
        <f t="shared" si="38"/>
        <v>12.266176019625881</v>
      </c>
      <c r="K116" s="84">
        <f>'дод 2 '!L170</f>
        <v>0</v>
      </c>
      <c r="L116" s="84">
        <f>'дод 2 '!M170</f>
        <v>0</v>
      </c>
      <c r="M116" s="84">
        <f>'дод 2 '!N170</f>
        <v>0</v>
      </c>
      <c r="N116" s="84">
        <f>'дод 2 '!O170</f>
        <v>0</v>
      </c>
      <c r="O116" s="84">
        <f>'дод 2 '!P170</f>
        <v>0</v>
      </c>
      <c r="P116" s="84">
        <f>'дод 2 '!Q170</f>
        <v>0</v>
      </c>
      <c r="Q116" s="220">
        <f>'дод 2 '!R170</f>
        <v>0</v>
      </c>
      <c r="R116" s="220">
        <f>'дод 2 '!S170</f>
        <v>0</v>
      </c>
      <c r="S116" s="84">
        <f>'дод 2 '!T170</f>
        <v>0</v>
      </c>
      <c r="T116" s="84">
        <f>'дод 2 '!U170</f>
        <v>0</v>
      </c>
      <c r="U116" s="84">
        <f>'дод 2 '!V170</f>
        <v>0</v>
      </c>
      <c r="V116" s="84">
        <f>'дод 2 '!W170</f>
        <v>0</v>
      </c>
      <c r="W116" s="134"/>
      <c r="X116" s="84">
        <f t="shared" si="39"/>
        <v>10000</v>
      </c>
      <c r="Y116" s="215"/>
    </row>
    <row r="117" spans="1:25" ht="27.75" customHeight="1" x14ac:dyDescent="0.25">
      <c r="A117" s="101" t="s">
        <v>379</v>
      </c>
      <c r="B117" s="101" t="s">
        <v>139</v>
      </c>
      <c r="C117" s="7" t="s">
        <v>60</v>
      </c>
      <c r="D117" s="84">
        <f>'дод 2 '!E171+'дод 2 '!E210</f>
        <v>680000</v>
      </c>
      <c r="E117" s="84">
        <f>'дод 2 '!F171+'дод 2 '!F210</f>
        <v>245900</v>
      </c>
      <c r="F117" s="84">
        <f>'дод 2 '!G171+'дод 2 '!G210</f>
        <v>0</v>
      </c>
      <c r="G117" s="220">
        <f>'дод 2 '!H171+'дод 2 '!H210</f>
        <v>112386.44</v>
      </c>
      <c r="H117" s="84">
        <f>'дод 2 '!I171+'дод 2 '!I210</f>
        <v>65206.73</v>
      </c>
      <c r="I117" s="84">
        <f>'дод 2 '!J171+'дод 2 '!J210</f>
        <v>0</v>
      </c>
      <c r="J117" s="134">
        <f t="shared" si="38"/>
        <v>16.527417647058822</v>
      </c>
      <c r="K117" s="84">
        <f>'дод 2 '!L171+'дод 2 '!L210</f>
        <v>0</v>
      </c>
      <c r="L117" s="84">
        <f>'дод 2 '!M171+'дод 2 '!M210</f>
        <v>0</v>
      </c>
      <c r="M117" s="84">
        <f>'дод 2 '!N171+'дод 2 '!N210</f>
        <v>0</v>
      </c>
      <c r="N117" s="84">
        <f>'дод 2 '!O171+'дод 2 '!O210</f>
        <v>0</v>
      </c>
      <c r="O117" s="84">
        <f>'дод 2 '!P171+'дод 2 '!P210</f>
        <v>0</v>
      </c>
      <c r="P117" s="84">
        <f>'дод 2 '!Q171+'дод 2 '!Q210</f>
        <v>0</v>
      </c>
      <c r="Q117" s="220">
        <f>'дод 2 '!R171+'дод 2 '!R210</f>
        <v>0</v>
      </c>
      <c r="R117" s="220">
        <f>'дод 2 '!S171+'дод 2 '!S210</f>
        <v>0</v>
      </c>
      <c r="S117" s="84">
        <f>'дод 2 '!T171+'дод 2 '!T210</f>
        <v>0</v>
      </c>
      <c r="T117" s="84">
        <f>'дод 2 '!U171+'дод 2 '!U210</f>
        <v>0</v>
      </c>
      <c r="U117" s="84">
        <f>'дод 2 '!V171+'дод 2 '!V210</f>
        <v>0</v>
      </c>
      <c r="V117" s="84">
        <f>'дод 2 '!W171+'дод 2 '!W210</f>
        <v>0</v>
      </c>
      <c r="W117" s="134"/>
      <c r="X117" s="84">
        <f t="shared" si="39"/>
        <v>112386.44</v>
      </c>
      <c r="Y117" s="215"/>
    </row>
    <row r="118" spans="1:25" ht="183" hidden="1" customHeight="1" x14ac:dyDescent="0.25">
      <c r="A118" s="101" t="s">
        <v>537</v>
      </c>
      <c r="B118" s="101" t="s">
        <v>78</v>
      </c>
      <c r="C118" s="126" t="s">
        <v>538</v>
      </c>
      <c r="D118" s="84">
        <f>'дод 2 '!E172</f>
        <v>0</v>
      </c>
      <c r="E118" s="84">
        <f>'дод 2 '!F172</f>
        <v>0</v>
      </c>
      <c r="F118" s="84">
        <f>'дод 2 '!G172</f>
        <v>0</v>
      </c>
      <c r="G118" s="220">
        <f>'дод 2 '!H172</f>
        <v>0</v>
      </c>
      <c r="H118" s="84">
        <f>'дод 2 '!I172</f>
        <v>0</v>
      </c>
      <c r="I118" s="84">
        <f>'дод 2 '!J172</f>
        <v>0</v>
      </c>
      <c r="J118" s="133" t="e">
        <f t="shared" si="38"/>
        <v>#DIV/0!</v>
      </c>
      <c r="K118" s="84">
        <f>'дод 2 '!L172</f>
        <v>0</v>
      </c>
      <c r="L118" s="84">
        <f>'дод 2 '!M172</f>
        <v>0</v>
      </c>
      <c r="M118" s="84">
        <f>'дод 2 '!N172</f>
        <v>0</v>
      </c>
      <c r="N118" s="84">
        <f>'дод 2 '!O172</f>
        <v>0</v>
      </c>
      <c r="O118" s="84">
        <f>'дод 2 '!P172</f>
        <v>0</v>
      </c>
      <c r="P118" s="84">
        <f>'дод 2 '!Q172</f>
        <v>0</v>
      </c>
      <c r="Q118" s="220">
        <f>'дод 2 '!R172</f>
        <v>0</v>
      </c>
      <c r="R118" s="220">
        <f>'дод 2 '!S172</f>
        <v>0</v>
      </c>
      <c r="S118" s="84">
        <f>'дод 2 '!T172</f>
        <v>0</v>
      </c>
      <c r="T118" s="84">
        <f>'дод 2 '!U172</f>
        <v>0</v>
      </c>
      <c r="U118" s="84">
        <f>'дод 2 '!V172</f>
        <v>0</v>
      </c>
      <c r="V118" s="84">
        <f>'дод 2 '!W172</f>
        <v>0</v>
      </c>
      <c r="W118" s="134" t="e">
        <f t="shared" si="40"/>
        <v>#DIV/0!</v>
      </c>
      <c r="X118" s="84">
        <f t="shared" si="39"/>
        <v>0</v>
      </c>
      <c r="Y118" s="215"/>
    </row>
    <row r="119" spans="1:25" s="5" customFormat="1" ht="27.75" hidden="1" customHeight="1" x14ac:dyDescent="0.25">
      <c r="A119" s="101"/>
      <c r="B119" s="101"/>
      <c r="C119" s="7" t="s">
        <v>344</v>
      </c>
      <c r="D119" s="84">
        <f>'дод 2 '!E173</f>
        <v>0</v>
      </c>
      <c r="E119" s="84">
        <f>'дод 2 '!F173</f>
        <v>0</v>
      </c>
      <c r="F119" s="84">
        <f>'дод 2 '!G173</f>
        <v>0</v>
      </c>
      <c r="G119" s="220">
        <f>'дод 2 '!H173</f>
        <v>0</v>
      </c>
      <c r="H119" s="84">
        <f>'дод 2 '!I173</f>
        <v>0</v>
      </c>
      <c r="I119" s="84">
        <f>'дод 2 '!J173</f>
        <v>0</v>
      </c>
      <c r="J119" s="133" t="e">
        <f t="shared" si="38"/>
        <v>#DIV/0!</v>
      </c>
      <c r="K119" s="84">
        <f>'дод 2 '!L173</f>
        <v>0</v>
      </c>
      <c r="L119" s="84">
        <f>'дод 2 '!M173</f>
        <v>0</v>
      </c>
      <c r="M119" s="84">
        <f>'дод 2 '!N173</f>
        <v>0</v>
      </c>
      <c r="N119" s="84">
        <f>'дод 2 '!O173</f>
        <v>0</v>
      </c>
      <c r="O119" s="84">
        <f>'дод 2 '!P173</f>
        <v>0</v>
      </c>
      <c r="P119" s="84">
        <f>'дод 2 '!Q173</f>
        <v>0</v>
      </c>
      <c r="Q119" s="220">
        <f>'дод 2 '!R173</f>
        <v>0</v>
      </c>
      <c r="R119" s="220">
        <f>'дод 2 '!S173</f>
        <v>0</v>
      </c>
      <c r="S119" s="84">
        <f>'дод 2 '!T173</f>
        <v>0</v>
      </c>
      <c r="T119" s="84">
        <f>'дод 2 '!U173</f>
        <v>0</v>
      </c>
      <c r="U119" s="84">
        <f>'дод 2 '!V173</f>
        <v>0</v>
      </c>
      <c r="V119" s="84">
        <f>'дод 2 '!W173</f>
        <v>0</v>
      </c>
      <c r="W119" s="134" t="e">
        <f t="shared" si="40"/>
        <v>#DIV/0!</v>
      </c>
      <c r="X119" s="84">
        <f t="shared" si="39"/>
        <v>0</v>
      </c>
      <c r="Y119" s="215"/>
    </row>
    <row r="120" spans="1:25" s="5" customFormat="1" ht="211.5" hidden="1" customHeight="1" x14ac:dyDescent="0.25">
      <c r="A120" s="101" t="s">
        <v>544</v>
      </c>
      <c r="B120" s="101" t="s">
        <v>78</v>
      </c>
      <c r="C120" s="126" t="s">
        <v>543</v>
      </c>
      <c r="D120" s="84">
        <f>'дод 2 '!E174</f>
        <v>0</v>
      </c>
      <c r="E120" s="84">
        <f>'дод 2 '!F174</f>
        <v>0</v>
      </c>
      <c r="F120" s="84">
        <f>'дод 2 '!G174</f>
        <v>0</v>
      </c>
      <c r="G120" s="220">
        <f>'дод 2 '!H174</f>
        <v>0</v>
      </c>
      <c r="H120" s="84">
        <f>'дод 2 '!I174</f>
        <v>0</v>
      </c>
      <c r="I120" s="84">
        <f>'дод 2 '!J174</f>
        <v>0</v>
      </c>
      <c r="J120" s="133" t="e">
        <f t="shared" si="38"/>
        <v>#DIV/0!</v>
      </c>
      <c r="K120" s="84">
        <f>'дод 2 '!L174</f>
        <v>0</v>
      </c>
      <c r="L120" s="84">
        <f>'дод 2 '!M174</f>
        <v>0</v>
      </c>
      <c r="M120" s="84">
        <f>'дод 2 '!N174</f>
        <v>0</v>
      </c>
      <c r="N120" s="84">
        <f>'дод 2 '!O174</f>
        <v>0</v>
      </c>
      <c r="O120" s="84">
        <f>'дод 2 '!P174</f>
        <v>0</v>
      </c>
      <c r="P120" s="84">
        <f>'дод 2 '!Q174</f>
        <v>0</v>
      </c>
      <c r="Q120" s="220">
        <f>'дод 2 '!R174</f>
        <v>0</v>
      </c>
      <c r="R120" s="220">
        <f>'дод 2 '!S174</f>
        <v>0</v>
      </c>
      <c r="S120" s="84">
        <f>'дод 2 '!T174</f>
        <v>0</v>
      </c>
      <c r="T120" s="84">
        <f>'дод 2 '!U174</f>
        <v>0</v>
      </c>
      <c r="U120" s="84">
        <f>'дод 2 '!V174</f>
        <v>0</v>
      </c>
      <c r="V120" s="84">
        <f>'дод 2 '!W174</f>
        <v>0</v>
      </c>
      <c r="W120" s="134" t="e">
        <f t="shared" si="40"/>
        <v>#DIV/0!</v>
      </c>
      <c r="X120" s="84">
        <f t="shared" si="39"/>
        <v>0</v>
      </c>
      <c r="Y120" s="215"/>
    </row>
    <row r="121" spans="1:25" s="5" customFormat="1" ht="27.75" hidden="1" customHeight="1" x14ac:dyDescent="0.25">
      <c r="A121" s="101"/>
      <c r="B121" s="101"/>
      <c r="C121" s="7" t="s">
        <v>344</v>
      </c>
      <c r="D121" s="84">
        <f>'дод 2 '!E175</f>
        <v>0</v>
      </c>
      <c r="E121" s="84">
        <f>'дод 2 '!F175</f>
        <v>0</v>
      </c>
      <c r="F121" s="84">
        <f>'дод 2 '!G175</f>
        <v>0</v>
      </c>
      <c r="G121" s="220">
        <f>'дод 2 '!H175</f>
        <v>0</v>
      </c>
      <c r="H121" s="84">
        <f>'дод 2 '!I175</f>
        <v>0</v>
      </c>
      <c r="I121" s="84">
        <f>'дод 2 '!J175</f>
        <v>0</v>
      </c>
      <c r="J121" s="133" t="e">
        <f t="shared" si="38"/>
        <v>#DIV/0!</v>
      </c>
      <c r="K121" s="84">
        <f>'дод 2 '!L175</f>
        <v>0</v>
      </c>
      <c r="L121" s="84">
        <f>'дод 2 '!M175</f>
        <v>0</v>
      </c>
      <c r="M121" s="84">
        <f>'дод 2 '!N175</f>
        <v>0</v>
      </c>
      <c r="N121" s="84">
        <f>'дод 2 '!O175</f>
        <v>0</v>
      </c>
      <c r="O121" s="84">
        <f>'дод 2 '!P175</f>
        <v>0</v>
      </c>
      <c r="P121" s="84">
        <f>'дод 2 '!Q175</f>
        <v>0</v>
      </c>
      <c r="Q121" s="220">
        <f>'дод 2 '!R175</f>
        <v>0</v>
      </c>
      <c r="R121" s="220">
        <f>'дод 2 '!S175</f>
        <v>0</v>
      </c>
      <c r="S121" s="84">
        <f>'дод 2 '!T175</f>
        <v>0</v>
      </c>
      <c r="T121" s="84">
        <f>'дод 2 '!U175</f>
        <v>0</v>
      </c>
      <c r="U121" s="84">
        <f>'дод 2 '!V175</f>
        <v>0</v>
      </c>
      <c r="V121" s="84">
        <f>'дод 2 '!W175</f>
        <v>0</v>
      </c>
      <c r="W121" s="134" t="e">
        <f t="shared" si="40"/>
        <v>#DIV/0!</v>
      </c>
      <c r="X121" s="84">
        <f t="shared" si="39"/>
        <v>0</v>
      </c>
      <c r="Y121" s="215"/>
    </row>
    <row r="122" spans="1:25" s="5" customFormat="1" ht="180.75" hidden="1" customHeight="1" x14ac:dyDescent="0.25">
      <c r="A122" s="101" t="s">
        <v>546</v>
      </c>
      <c r="B122" s="101" t="s">
        <v>78</v>
      </c>
      <c r="C122" s="126" t="s">
        <v>545</v>
      </c>
      <c r="D122" s="84">
        <f>'дод 2 '!E176</f>
        <v>0</v>
      </c>
      <c r="E122" s="84">
        <f>'дод 2 '!F176</f>
        <v>0</v>
      </c>
      <c r="F122" s="84">
        <f>'дод 2 '!G176</f>
        <v>0</v>
      </c>
      <c r="G122" s="220">
        <f>'дод 2 '!H176</f>
        <v>0</v>
      </c>
      <c r="H122" s="84">
        <f>'дод 2 '!I176</f>
        <v>0</v>
      </c>
      <c r="I122" s="84">
        <f>'дод 2 '!J176</f>
        <v>0</v>
      </c>
      <c r="J122" s="133" t="e">
        <f t="shared" si="38"/>
        <v>#DIV/0!</v>
      </c>
      <c r="K122" s="84">
        <f>'дод 2 '!L176</f>
        <v>0</v>
      </c>
      <c r="L122" s="84">
        <f>'дод 2 '!M176</f>
        <v>0</v>
      </c>
      <c r="M122" s="84">
        <f>'дод 2 '!N176</f>
        <v>0</v>
      </c>
      <c r="N122" s="84">
        <f>'дод 2 '!O176</f>
        <v>0</v>
      </c>
      <c r="O122" s="84">
        <f>'дод 2 '!P176</f>
        <v>0</v>
      </c>
      <c r="P122" s="84">
        <f>'дод 2 '!Q176</f>
        <v>0</v>
      </c>
      <c r="Q122" s="220">
        <f>'дод 2 '!R176</f>
        <v>0</v>
      </c>
      <c r="R122" s="220">
        <f>'дод 2 '!S176</f>
        <v>0</v>
      </c>
      <c r="S122" s="84">
        <f>'дод 2 '!T176</f>
        <v>0</v>
      </c>
      <c r="T122" s="84">
        <f>'дод 2 '!U176</f>
        <v>0</v>
      </c>
      <c r="U122" s="84">
        <f>'дод 2 '!V176</f>
        <v>0</v>
      </c>
      <c r="V122" s="84">
        <f>'дод 2 '!W176</f>
        <v>0</v>
      </c>
      <c r="W122" s="134" t="e">
        <f t="shared" si="40"/>
        <v>#DIV/0!</v>
      </c>
      <c r="X122" s="84">
        <f t="shared" si="39"/>
        <v>0</v>
      </c>
      <c r="Y122" s="215"/>
    </row>
    <row r="123" spans="1:25" s="5" customFormat="1" ht="27.75" hidden="1" customHeight="1" x14ac:dyDescent="0.25">
      <c r="A123" s="101"/>
      <c r="B123" s="101"/>
      <c r="C123" s="7" t="s">
        <v>344</v>
      </c>
      <c r="D123" s="84">
        <f>'дод 2 '!E177</f>
        <v>0</v>
      </c>
      <c r="E123" s="84">
        <f>'дод 2 '!F177</f>
        <v>0</v>
      </c>
      <c r="F123" s="84">
        <f>'дод 2 '!G177</f>
        <v>0</v>
      </c>
      <c r="G123" s="220">
        <f>'дод 2 '!H177</f>
        <v>0</v>
      </c>
      <c r="H123" s="84">
        <f>'дод 2 '!I177</f>
        <v>0</v>
      </c>
      <c r="I123" s="84">
        <f>'дод 2 '!J177</f>
        <v>0</v>
      </c>
      <c r="J123" s="133" t="e">
        <f t="shared" si="38"/>
        <v>#DIV/0!</v>
      </c>
      <c r="K123" s="84">
        <f>'дод 2 '!L177</f>
        <v>0</v>
      </c>
      <c r="L123" s="84">
        <f>'дод 2 '!M177</f>
        <v>0</v>
      </c>
      <c r="M123" s="84">
        <f>'дод 2 '!N177</f>
        <v>0</v>
      </c>
      <c r="N123" s="84">
        <f>'дод 2 '!O177</f>
        <v>0</v>
      </c>
      <c r="O123" s="84">
        <f>'дод 2 '!P177</f>
        <v>0</v>
      </c>
      <c r="P123" s="84">
        <f>'дод 2 '!Q177</f>
        <v>0</v>
      </c>
      <c r="Q123" s="220">
        <f>'дод 2 '!R177</f>
        <v>0</v>
      </c>
      <c r="R123" s="220">
        <f>'дод 2 '!S177</f>
        <v>0</v>
      </c>
      <c r="S123" s="84">
        <f>'дод 2 '!T177</f>
        <v>0</v>
      </c>
      <c r="T123" s="84">
        <f>'дод 2 '!U177</f>
        <v>0</v>
      </c>
      <c r="U123" s="84">
        <f>'дод 2 '!V177</f>
        <v>0</v>
      </c>
      <c r="V123" s="84">
        <f>'дод 2 '!W177</f>
        <v>0</v>
      </c>
      <c r="W123" s="134" t="e">
        <f t="shared" si="40"/>
        <v>#DIV/0!</v>
      </c>
      <c r="X123" s="84">
        <f t="shared" si="39"/>
        <v>0</v>
      </c>
      <c r="Y123" s="215"/>
    </row>
    <row r="124" spans="1:25" ht="180" customHeight="1" x14ac:dyDescent="0.25">
      <c r="A124" s="101" t="s">
        <v>466</v>
      </c>
      <c r="B124" s="101" t="s">
        <v>133</v>
      </c>
      <c r="C124" s="7" t="s">
        <v>568</v>
      </c>
      <c r="D124" s="84">
        <f>'дод 2 '!E178</f>
        <v>3600900</v>
      </c>
      <c r="E124" s="84">
        <f>'дод 2 '!F178</f>
        <v>0</v>
      </c>
      <c r="F124" s="84">
        <f>'дод 2 '!G178</f>
        <v>0</v>
      </c>
      <c r="G124" s="220">
        <f>'дод 2 '!H178</f>
        <v>651134.02</v>
      </c>
      <c r="H124" s="84">
        <f>'дод 2 '!I178</f>
        <v>0</v>
      </c>
      <c r="I124" s="84">
        <f>'дод 2 '!J178</f>
        <v>0</v>
      </c>
      <c r="J124" s="134">
        <f t="shared" si="38"/>
        <v>18.082535477241802</v>
      </c>
      <c r="K124" s="84">
        <f>'дод 2 '!L178</f>
        <v>0</v>
      </c>
      <c r="L124" s="84">
        <f>'дод 2 '!M178</f>
        <v>0</v>
      </c>
      <c r="M124" s="84">
        <f>'дод 2 '!N178</f>
        <v>0</v>
      </c>
      <c r="N124" s="84">
        <f>'дод 2 '!O178</f>
        <v>0</v>
      </c>
      <c r="O124" s="84">
        <f>'дод 2 '!P178</f>
        <v>0</v>
      </c>
      <c r="P124" s="84">
        <f>'дод 2 '!Q178</f>
        <v>0</v>
      </c>
      <c r="Q124" s="220">
        <f>'дод 2 '!R178</f>
        <v>0</v>
      </c>
      <c r="R124" s="220">
        <f>'дод 2 '!S178</f>
        <v>0</v>
      </c>
      <c r="S124" s="84">
        <f>'дод 2 '!T178</f>
        <v>0</v>
      </c>
      <c r="T124" s="84">
        <f>'дод 2 '!U178</f>
        <v>0</v>
      </c>
      <c r="U124" s="84">
        <f>'дод 2 '!V178</f>
        <v>0</v>
      </c>
      <c r="V124" s="84">
        <f>'дод 2 '!W178</f>
        <v>0</v>
      </c>
      <c r="W124" s="134"/>
      <c r="X124" s="84">
        <f t="shared" si="39"/>
        <v>651134.02</v>
      </c>
      <c r="Y124" s="215"/>
    </row>
    <row r="125" spans="1:25" ht="27.75" customHeight="1" x14ac:dyDescent="0.25">
      <c r="A125" s="101"/>
      <c r="B125" s="101"/>
      <c r="C125" s="7" t="s">
        <v>344</v>
      </c>
      <c r="D125" s="84">
        <f>'дод 2 '!E179</f>
        <v>3600900</v>
      </c>
      <c r="E125" s="84">
        <f>'дод 2 '!F179</f>
        <v>0</v>
      </c>
      <c r="F125" s="84">
        <f>'дод 2 '!G179</f>
        <v>0</v>
      </c>
      <c r="G125" s="220">
        <f>'дод 2 '!H179</f>
        <v>651134.02</v>
      </c>
      <c r="H125" s="84">
        <f>'дод 2 '!I179</f>
        <v>0</v>
      </c>
      <c r="I125" s="84">
        <f>'дод 2 '!J179</f>
        <v>0</v>
      </c>
      <c r="J125" s="134">
        <f t="shared" si="38"/>
        <v>18.082535477241802</v>
      </c>
      <c r="K125" s="84">
        <f>'дод 2 '!L179</f>
        <v>0</v>
      </c>
      <c r="L125" s="84">
        <f>'дод 2 '!M179</f>
        <v>0</v>
      </c>
      <c r="M125" s="84">
        <f>'дод 2 '!N179</f>
        <v>0</v>
      </c>
      <c r="N125" s="84">
        <f>'дод 2 '!O179</f>
        <v>0</v>
      </c>
      <c r="O125" s="84">
        <f>'дод 2 '!P179</f>
        <v>0</v>
      </c>
      <c r="P125" s="84">
        <f>'дод 2 '!Q179</f>
        <v>0</v>
      </c>
      <c r="Q125" s="220">
        <f>'дод 2 '!R179</f>
        <v>0</v>
      </c>
      <c r="R125" s="220">
        <f>'дод 2 '!S179</f>
        <v>0</v>
      </c>
      <c r="S125" s="84">
        <f>'дод 2 '!T179</f>
        <v>0</v>
      </c>
      <c r="T125" s="84">
        <f>'дод 2 '!U179</f>
        <v>0</v>
      </c>
      <c r="U125" s="84">
        <f>'дод 2 '!V179</f>
        <v>0</v>
      </c>
      <c r="V125" s="84">
        <f>'дод 2 '!W179</f>
        <v>0</v>
      </c>
      <c r="W125" s="134"/>
      <c r="X125" s="84">
        <f t="shared" si="39"/>
        <v>651134.02</v>
      </c>
      <c r="Y125" s="215"/>
    </row>
    <row r="126" spans="1:25" s="5" customFormat="1" ht="32.25" customHeight="1" x14ac:dyDescent="0.25">
      <c r="A126" s="101" t="s">
        <v>380</v>
      </c>
      <c r="B126" s="101" t="s">
        <v>81</v>
      </c>
      <c r="C126" s="7" t="s">
        <v>382</v>
      </c>
      <c r="D126" s="84">
        <f>'дод 2 '!E180+'дод 2 '!E24</f>
        <v>5916811</v>
      </c>
      <c r="E126" s="84">
        <f>'дод 2 '!F180+'дод 2 '!F24</f>
        <v>3605770</v>
      </c>
      <c r="F126" s="84">
        <f>'дод 2 '!G180+'дод 2 '!G24</f>
        <v>660624</v>
      </c>
      <c r="G126" s="220">
        <f>'дод 2 '!H180+'дод 2 '!H24</f>
        <v>1324253.93</v>
      </c>
      <c r="H126" s="84">
        <f>'дод 2 '!I180+'дод 2 '!I24</f>
        <v>850678.64</v>
      </c>
      <c r="I126" s="84">
        <f>'дод 2 '!J180+'дод 2 '!J24</f>
        <v>200070.85</v>
      </c>
      <c r="J126" s="134">
        <f t="shared" si="38"/>
        <v>22.381210587933261</v>
      </c>
      <c r="K126" s="84">
        <f>'дод 2 '!L180+'дод 2 '!L24</f>
        <v>910000</v>
      </c>
      <c r="L126" s="84">
        <f>'дод 2 '!M180+'дод 2 '!M24</f>
        <v>910000</v>
      </c>
      <c r="M126" s="84">
        <f>'дод 2 '!N180+'дод 2 '!N24</f>
        <v>0</v>
      </c>
      <c r="N126" s="84">
        <f>'дод 2 '!O180+'дод 2 '!O24</f>
        <v>0</v>
      </c>
      <c r="O126" s="84">
        <f>'дод 2 '!P180+'дод 2 '!P24</f>
        <v>0</v>
      </c>
      <c r="P126" s="84">
        <f>'дод 2 '!Q180+'дод 2 '!Q24</f>
        <v>910000</v>
      </c>
      <c r="Q126" s="220">
        <f>'дод 2 '!R180+'дод 2 '!R24</f>
        <v>7619.2</v>
      </c>
      <c r="R126" s="220">
        <f>'дод 2 '!S180+'дод 2 '!S24</f>
        <v>0</v>
      </c>
      <c r="S126" s="84">
        <f>'дод 2 '!T180+'дод 2 '!T24</f>
        <v>7619.2</v>
      </c>
      <c r="T126" s="84">
        <f>'дод 2 '!U180+'дод 2 '!U24</f>
        <v>0</v>
      </c>
      <c r="U126" s="84">
        <f>'дод 2 '!V180+'дод 2 '!V24</f>
        <v>0</v>
      </c>
      <c r="V126" s="84">
        <f>'дод 2 '!W180+'дод 2 '!W24</f>
        <v>0</v>
      </c>
      <c r="W126" s="134">
        <f t="shared" si="40"/>
        <v>0.83727472527472513</v>
      </c>
      <c r="X126" s="84">
        <f t="shared" si="39"/>
        <v>1331873.1299999999</v>
      </c>
      <c r="Y126" s="215"/>
    </row>
    <row r="127" spans="1:25" s="5" customFormat="1" ht="41.25" customHeight="1" x14ac:dyDescent="0.25">
      <c r="A127" s="101" t="s">
        <v>381</v>
      </c>
      <c r="B127" s="101" t="s">
        <v>81</v>
      </c>
      <c r="C127" s="7" t="s">
        <v>383</v>
      </c>
      <c r="D127" s="84">
        <f>'дод 2 '!E75+'дод 2 '!E181+'дод 2 '!E25</f>
        <v>34358334</v>
      </c>
      <c r="E127" s="84">
        <f>'дод 2 '!F75+'дод 2 '!F181+'дод 2 '!F25</f>
        <v>0</v>
      </c>
      <c r="F127" s="84">
        <f>'дод 2 '!G75+'дод 2 '!G181+'дод 2 '!G25</f>
        <v>0</v>
      </c>
      <c r="G127" s="220">
        <f>'дод 2 '!H75+'дод 2 '!H181+'дод 2 '!H25</f>
        <v>5397933.71</v>
      </c>
      <c r="H127" s="84">
        <f>'дод 2 '!I75+'дод 2 '!I181+'дод 2 '!I25</f>
        <v>0</v>
      </c>
      <c r="I127" s="84">
        <f>'дод 2 '!J75+'дод 2 '!J181+'дод 2 '!J25</f>
        <v>0</v>
      </c>
      <c r="J127" s="134">
        <f t="shared" si="38"/>
        <v>15.710696886525405</v>
      </c>
      <c r="K127" s="84">
        <f>'дод 2 '!L75+'дод 2 '!L181+'дод 2 '!L25</f>
        <v>0</v>
      </c>
      <c r="L127" s="84">
        <f>'дод 2 '!M75+'дод 2 '!M181+'дод 2 '!M25</f>
        <v>0</v>
      </c>
      <c r="M127" s="84">
        <f>'дод 2 '!N75+'дод 2 '!N181+'дод 2 '!N25</f>
        <v>0</v>
      </c>
      <c r="N127" s="84">
        <f>'дод 2 '!O75+'дод 2 '!O181+'дод 2 '!O25</f>
        <v>0</v>
      </c>
      <c r="O127" s="84">
        <f>'дод 2 '!P75+'дод 2 '!P181+'дод 2 '!P25</f>
        <v>0</v>
      </c>
      <c r="P127" s="84">
        <f>'дод 2 '!Q75+'дод 2 '!Q181+'дод 2 '!Q25</f>
        <v>0</v>
      </c>
      <c r="Q127" s="220">
        <f>'дод 2 '!R75+'дод 2 '!R181+'дод 2 '!R25</f>
        <v>0</v>
      </c>
      <c r="R127" s="220">
        <f>'дод 2 '!S75+'дод 2 '!S181+'дод 2 '!S25</f>
        <v>0</v>
      </c>
      <c r="S127" s="84">
        <f>'дод 2 '!T75+'дод 2 '!T181+'дод 2 '!T25</f>
        <v>0</v>
      </c>
      <c r="T127" s="84">
        <f>'дод 2 '!U75+'дод 2 '!U181+'дод 2 '!U25</f>
        <v>0</v>
      </c>
      <c r="U127" s="84">
        <f>'дод 2 '!V75+'дод 2 '!V181+'дод 2 '!V25</f>
        <v>0</v>
      </c>
      <c r="V127" s="84">
        <f>'дод 2 '!W75+'дод 2 '!W181+'дод 2 '!W25</f>
        <v>0</v>
      </c>
      <c r="W127" s="134"/>
      <c r="X127" s="84">
        <f t="shared" si="39"/>
        <v>5397933.71</v>
      </c>
      <c r="Y127" s="215"/>
    </row>
    <row r="128" spans="1:25" s="11" customFormat="1" ht="19.5" customHeight="1" x14ac:dyDescent="0.25">
      <c r="A128" s="102" t="s">
        <v>101</v>
      </c>
      <c r="B128" s="105"/>
      <c r="C128" s="6" t="s">
        <v>102</v>
      </c>
      <c r="D128" s="83">
        <f>D129+D130+D131+D132</f>
        <v>26997600</v>
      </c>
      <c r="E128" s="83">
        <f t="shared" ref="E128:P128" si="41">E129+E130+E131+E132</f>
        <v>15900840</v>
      </c>
      <c r="F128" s="83">
        <f t="shared" si="41"/>
        <v>1932756</v>
      </c>
      <c r="G128" s="219">
        <f t="shared" ref="G128:I128" si="42">G129+G130+G131+G132</f>
        <v>5535609.8499999996</v>
      </c>
      <c r="H128" s="83">
        <f t="shared" si="42"/>
        <v>3617494.0199999996</v>
      </c>
      <c r="I128" s="83">
        <f t="shared" si="42"/>
        <v>939770.52</v>
      </c>
      <c r="J128" s="133">
        <f t="shared" si="38"/>
        <v>20.504081288707145</v>
      </c>
      <c r="K128" s="83">
        <f t="shared" si="41"/>
        <v>376000</v>
      </c>
      <c r="L128" s="83">
        <f t="shared" ref="L128" si="43">L129+L130+L131+L132</f>
        <v>348000</v>
      </c>
      <c r="M128" s="83">
        <f t="shared" si="41"/>
        <v>28000</v>
      </c>
      <c r="N128" s="83">
        <f t="shared" si="41"/>
        <v>5000</v>
      </c>
      <c r="O128" s="83">
        <f t="shared" si="41"/>
        <v>0</v>
      </c>
      <c r="P128" s="83">
        <f t="shared" si="41"/>
        <v>348000</v>
      </c>
      <c r="Q128" s="219">
        <f t="shared" ref="Q128:V128" si="44">Q129+Q130+Q131+Q132</f>
        <v>75637.420000000013</v>
      </c>
      <c r="R128" s="219">
        <f t="shared" ref="R128" si="45">R129+R130+R131+R132</f>
        <v>19000</v>
      </c>
      <c r="S128" s="83">
        <f t="shared" si="44"/>
        <v>5716.68</v>
      </c>
      <c r="T128" s="83">
        <f t="shared" si="44"/>
        <v>2351.6999999999998</v>
      </c>
      <c r="U128" s="83">
        <f t="shared" si="44"/>
        <v>0</v>
      </c>
      <c r="V128" s="83">
        <f t="shared" si="44"/>
        <v>69920.740000000005</v>
      </c>
      <c r="W128" s="133">
        <f t="shared" si="40"/>
        <v>20.116335106382984</v>
      </c>
      <c r="X128" s="83">
        <f t="shared" si="39"/>
        <v>5611247.2699999996</v>
      </c>
      <c r="Y128" s="215"/>
    </row>
    <row r="129" spans="1:25" ht="22.5" customHeight="1" x14ac:dyDescent="0.25">
      <c r="A129" s="101" t="s">
        <v>103</v>
      </c>
      <c r="B129" s="101" t="s">
        <v>104</v>
      </c>
      <c r="C129" s="7" t="s">
        <v>25</v>
      </c>
      <c r="D129" s="84">
        <f>'дод 2 '!E200</f>
        <v>17671840</v>
      </c>
      <c r="E129" s="84">
        <f>'дод 2 '!F200</f>
        <v>12497600</v>
      </c>
      <c r="F129" s="84">
        <f>'дод 2 '!G200</f>
        <v>1401060</v>
      </c>
      <c r="G129" s="220">
        <f>'дод 2 '!H200</f>
        <v>4326228.71</v>
      </c>
      <c r="H129" s="84">
        <f>'дод 2 '!I200</f>
        <v>2873044.3</v>
      </c>
      <c r="I129" s="84">
        <f>'дод 2 '!J200</f>
        <v>780189.29</v>
      </c>
      <c r="J129" s="133">
        <f t="shared" si="38"/>
        <v>24.480918285815171</v>
      </c>
      <c r="K129" s="84">
        <f>'дод 2 '!L200</f>
        <v>333000</v>
      </c>
      <c r="L129" s="84">
        <f>'дод 2 '!M200</f>
        <v>305000</v>
      </c>
      <c r="M129" s="84">
        <f>'дод 2 '!N200</f>
        <v>28000</v>
      </c>
      <c r="N129" s="84">
        <f>'дод 2 '!O200</f>
        <v>5000</v>
      </c>
      <c r="O129" s="84">
        <f>'дод 2 '!P200</f>
        <v>0</v>
      </c>
      <c r="P129" s="84">
        <f>'дод 2 '!Q200</f>
        <v>305000</v>
      </c>
      <c r="Q129" s="220">
        <f>'дод 2 '!R200</f>
        <v>75637.420000000013</v>
      </c>
      <c r="R129" s="220">
        <f>'дод 2 '!S200</f>
        <v>19000</v>
      </c>
      <c r="S129" s="84">
        <f>'дод 2 '!T200</f>
        <v>5716.68</v>
      </c>
      <c r="T129" s="84">
        <f>'дод 2 '!U200</f>
        <v>2351.6999999999998</v>
      </c>
      <c r="U129" s="84">
        <f>'дод 2 '!V200</f>
        <v>0</v>
      </c>
      <c r="V129" s="84">
        <f>'дод 2 '!W200</f>
        <v>69920.740000000005</v>
      </c>
      <c r="W129" s="134">
        <f t="shared" si="40"/>
        <v>22.713939939939944</v>
      </c>
      <c r="X129" s="84">
        <f t="shared" si="39"/>
        <v>4401866.13</v>
      </c>
      <c r="Y129" s="215"/>
    </row>
    <row r="130" spans="1:25" ht="33.75" customHeight="1" x14ac:dyDescent="0.25">
      <c r="A130" s="101" t="s">
        <v>486</v>
      </c>
      <c r="B130" s="101" t="s">
        <v>487</v>
      </c>
      <c r="C130" s="7" t="s">
        <v>488</v>
      </c>
      <c r="D130" s="84">
        <f>'дод 2 '!E26</f>
        <v>2487400</v>
      </c>
      <c r="E130" s="84">
        <f>'дод 2 '!F26</f>
        <v>1067040</v>
      </c>
      <c r="F130" s="84">
        <f>'дод 2 '!G26</f>
        <v>410229</v>
      </c>
      <c r="G130" s="220">
        <f>'дод 2 '!H26</f>
        <v>447501.45</v>
      </c>
      <c r="H130" s="84">
        <f>'дод 2 '!I26</f>
        <v>245287.34</v>
      </c>
      <c r="I130" s="84">
        <f>'дод 2 '!J26</f>
        <v>122281.49</v>
      </c>
      <c r="J130" s="134">
        <f t="shared" si="38"/>
        <v>17.990731285679825</v>
      </c>
      <c r="K130" s="84">
        <f>'дод 2 '!L26</f>
        <v>20000</v>
      </c>
      <c r="L130" s="84">
        <f>'дод 2 '!M26</f>
        <v>20000</v>
      </c>
      <c r="M130" s="84">
        <f>'дод 2 '!N26</f>
        <v>0</v>
      </c>
      <c r="N130" s="84">
        <f>'дод 2 '!O26</f>
        <v>0</v>
      </c>
      <c r="O130" s="84">
        <f>'дод 2 '!P26</f>
        <v>0</v>
      </c>
      <c r="P130" s="84">
        <f>'дод 2 '!Q26</f>
        <v>20000</v>
      </c>
      <c r="Q130" s="220">
        <f>'дод 2 '!R26</f>
        <v>0</v>
      </c>
      <c r="R130" s="220">
        <f>'дод 2 '!S26</f>
        <v>0</v>
      </c>
      <c r="S130" s="84">
        <f>'дод 2 '!T26</f>
        <v>0</v>
      </c>
      <c r="T130" s="84">
        <f>'дод 2 '!U26</f>
        <v>0</v>
      </c>
      <c r="U130" s="84">
        <f>'дод 2 '!V26</f>
        <v>0</v>
      </c>
      <c r="V130" s="84">
        <f>'дод 2 '!W26</f>
        <v>0</v>
      </c>
      <c r="W130" s="134">
        <f t="shared" si="40"/>
        <v>0</v>
      </c>
      <c r="X130" s="84">
        <f t="shared" si="39"/>
        <v>447501.45</v>
      </c>
      <c r="Y130" s="215"/>
    </row>
    <row r="131" spans="1:25" s="5" customFormat="1" ht="39.75" customHeight="1" x14ac:dyDescent="0.25">
      <c r="A131" s="101" t="s">
        <v>384</v>
      </c>
      <c r="B131" s="101" t="s">
        <v>105</v>
      </c>
      <c r="C131" s="7" t="s">
        <v>386</v>
      </c>
      <c r="D131" s="84">
        <f>'дод 2 '!E27+'дод 2 '!E201</f>
        <v>4023860</v>
      </c>
      <c r="E131" s="84">
        <f>'дод 2 '!F27+'дод 2 '!F201</f>
        <v>2336200</v>
      </c>
      <c r="F131" s="84">
        <f>'дод 2 '!G27+'дод 2 '!G201</f>
        <v>121467</v>
      </c>
      <c r="G131" s="220">
        <f>'дод 2 '!H27+'дод 2 '!H201</f>
        <v>675596.27</v>
      </c>
      <c r="H131" s="84">
        <f>'дод 2 '!I27+'дод 2 '!I201</f>
        <v>499162.38</v>
      </c>
      <c r="I131" s="84">
        <f>'дод 2 '!J27+'дод 2 '!J201</f>
        <v>37299.740000000005</v>
      </c>
      <c r="J131" s="134">
        <f t="shared" si="38"/>
        <v>16.789755856317068</v>
      </c>
      <c r="K131" s="84">
        <f>'дод 2 '!L27+'дод 2 '!L201</f>
        <v>23000</v>
      </c>
      <c r="L131" s="84">
        <f>'дод 2 '!M27+'дод 2 '!M201</f>
        <v>23000</v>
      </c>
      <c r="M131" s="84">
        <f>'дод 2 '!N27+'дод 2 '!N201</f>
        <v>0</v>
      </c>
      <c r="N131" s="84">
        <f>'дод 2 '!O27+'дод 2 '!O201</f>
        <v>0</v>
      </c>
      <c r="O131" s="84">
        <f>'дод 2 '!P27+'дод 2 '!P201</f>
        <v>0</v>
      </c>
      <c r="P131" s="84">
        <f>'дод 2 '!Q27+'дод 2 '!Q201</f>
        <v>23000</v>
      </c>
      <c r="Q131" s="220">
        <f>'дод 2 '!R27+'дод 2 '!R201</f>
        <v>0</v>
      </c>
      <c r="R131" s="220">
        <f>'дод 2 '!S27+'дод 2 '!S201</f>
        <v>0</v>
      </c>
      <c r="S131" s="84">
        <f>'дод 2 '!T27+'дод 2 '!T201</f>
        <v>0</v>
      </c>
      <c r="T131" s="84">
        <f>'дод 2 '!U27+'дод 2 '!U201</f>
        <v>0</v>
      </c>
      <c r="U131" s="84">
        <f>'дод 2 '!V27+'дод 2 '!V201</f>
        <v>0</v>
      </c>
      <c r="V131" s="84">
        <f>'дод 2 '!W27+'дод 2 '!W201</f>
        <v>0</v>
      </c>
      <c r="W131" s="134">
        <f t="shared" si="40"/>
        <v>0</v>
      </c>
      <c r="X131" s="84">
        <f t="shared" si="39"/>
        <v>675596.27</v>
      </c>
      <c r="Y131" s="215"/>
    </row>
    <row r="132" spans="1:25" s="5" customFormat="1" ht="30" customHeight="1" x14ac:dyDescent="0.25">
      <c r="A132" s="101" t="s">
        <v>385</v>
      </c>
      <c r="B132" s="101" t="s">
        <v>105</v>
      </c>
      <c r="C132" s="7" t="s">
        <v>387</v>
      </c>
      <c r="D132" s="84">
        <f>'дод 2 '!E28+'дод 2 '!E202</f>
        <v>2814500</v>
      </c>
      <c r="E132" s="84">
        <f>'дод 2 '!F28+'дод 2 '!F202</f>
        <v>0</v>
      </c>
      <c r="F132" s="84">
        <f>'дод 2 '!G28+'дод 2 '!G202</f>
        <v>0</v>
      </c>
      <c r="G132" s="220">
        <f>'дод 2 '!H28+'дод 2 '!H202</f>
        <v>86283.42</v>
      </c>
      <c r="H132" s="84">
        <f>'дод 2 '!I28+'дод 2 '!I202</f>
        <v>0</v>
      </c>
      <c r="I132" s="84">
        <f>'дод 2 '!J28+'дод 2 '!J202</f>
        <v>0</v>
      </c>
      <c r="J132" s="134">
        <f t="shared" si="38"/>
        <v>3.0656748978504176</v>
      </c>
      <c r="K132" s="84">
        <f>'дод 2 '!L28+'дод 2 '!L202</f>
        <v>0</v>
      </c>
      <c r="L132" s="84">
        <f>'дод 2 '!M28+'дод 2 '!M202</f>
        <v>0</v>
      </c>
      <c r="M132" s="84">
        <f>'дод 2 '!N28+'дод 2 '!N202</f>
        <v>0</v>
      </c>
      <c r="N132" s="84">
        <f>'дод 2 '!O28+'дод 2 '!O202</f>
        <v>0</v>
      </c>
      <c r="O132" s="84">
        <f>'дод 2 '!P28+'дод 2 '!P202</f>
        <v>0</v>
      </c>
      <c r="P132" s="84">
        <f>'дод 2 '!Q28+'дод 2 '!Q202</f>
        <v>0</v>
      </c>
      <c r="Q132" s="220">
        <f>'дод 2 '!R28+'дод 2 '!R202</f>
        <v>0</v>
      </c>
      <c r="R132" s="220">
        <f>'дод 2 '!S28+'дод 2 '!S202</f>
        <v>0</v>
      </c>
      <c r="S132" s="84">
        <f>'дод 2 '!T28+'дод 2 '!T202</f>
        <v>0</v>
      </c>
      <c r="T132" s="84">
        <f>'дод 2 '!U28+'дод 2 '!U202</f>
        <v>0</v>
      </c>
      <c r="U132" s="84">
        <f>'дод 2 '!V28+'дод 2 '!V202</f>
        <v>0</v>
      </c>
      <c r="V132" s="84">
        <f>'дод 2 '!W28+'дод 2 '!W202</f>
        <v>0</v>
      </c>
      <c r="W132" s="134"/>
      <c r="X132" s="84">
        <f t="shared" si="39"/>
        <v>86283.42</v>
      </c>
      <c r="Y132" s="215"/>
    </row>
    <row r="133" spans="1:25" s="11" customFormat="1" ht="21.75" customHeight="1" x14ac:dyDescent="0.25">
      <c r="A133" s="102" t="s">
        <v>108</v>
      </c>
      <c r="B133" s="105"/>
      <c r="C133" s="6" t="s">
        <v>109</v>
      </c>
      <c r="D133" s="83">
        <f>D134+D135+D136+D137+D138+D139</f>
        <v>34931400</v>
      </c>
      <c r="E133" s="83">
        <f t="shared" ref="E133:P133" si="46">E134+E135+E136+E137+E138+E139</f>
        <v>13015800</v>
      </c>
      <c r="F133" s="83">
        <f t="shared" si="46"/>
        <v>1365600</v>
      </c>
      <c r="G133" s="219">
        <f t="shared" ref="G133:I133" si="47">G134+G135+G136+G137+G138+G139</f>
        <v>7772072.7800000003</v>
      </c>
      <c r="H133" s="83">
        <f t="shared" si="47"/>
        <v>2998768.25</v>
      </c>
      <c r="I133" s="83">
        <f t="shared" si="47"/>
        <v>312365.44</v>
      </c>
      <c r="J133" s="133">
        <f t="shared" si="38"/>
        <v>22.249531309938909</v>
      </c>
      <c r="K133" s="83">
        <f t="shared" si="46"/>
        <v>1314389</v>
      </c>
      <c r="L133" s="83">
        <f t="shared" ref="L133" si="48">L134+L135+L136+L137+L138+L139</f>
        <v>1064000</v>
      </c>
      <c r="M133" s="83">
        <f t="shared" si="46"/>
        <v>250389</v>
      </c>
      <c r="N133" s="83">
        <f t="shared" si="46"/>
        <v>158895</v>
      </c>
      <c r="O133" s="83">
        <f t="shared" si="46"/>
        <v>55055</v>
      </c>
      <c r="P133" s="83">
        <f t="shared" si="46"/>
        <v>1064000</v>
      </c>
      <c r="Q133" s="219">
        <f t="shared" ref="Q133:V133" si="49">Q134+Q135+Q136+Q137+Q138+Q139</f>
        <v>46653.49</v>
      </c>
      <c r="R133" s="219">
        <f t="shared" ref="R133" si="50">R134+R135+R136+R137+R138+R139</f>
        <v>0</v>
      </c>
      <c r="S133" s="83">
        <f t="shared" si="49"/>
        <v>46653.49</v>
      </c>
      <c r="T133" s="83">
        <f t="shared" si="49"/>
        <v>19214.490000000002</v>
      </c>
      <c r="U133" s="83">
        <f t="shared" si="49"/>
        <v>10356.85</v>
      </c>
      <c r="V133" s="83">
        <f t="shared" si="49"/>
        <v>0</v>
      </c>
      <c r="W133" s="133">
        <f t="shared" si="40"/>
        <v>3.5494431252848275</v>
      </c>
      <c r="X133" s="83">
        <f t="shared" si="39"/>
        <v>7818726.2700000005</v>
      </c>
      <c r="Y133" s="215"/>
    </row>
    <row r="134" spans="1:25" s="5" customFormat="1" ht="43.5" customHeight="1" x14ac:dyDescent="0.25">
      <c r="A134" s="101" t="s">
        <v>110</v>
      </c>
      <c r="B134" s="101" t="s">
        <v>111</v>
      </c>
      <c r="C134" s="7" t="s">
        <v>36</v>
      </c>
      <c r="D134" s="84">
        <f>'дод 2 '!E29</f>
        <v>750000</v>
      </c>
      <c r="E134" s="84">
        <f>'дод 2 '!F29</f>
        <v>0</v>
      </c>
      <c r="F134" s="84">
        <f>'дод 2 '!G29</f>
        <v>0</v>
      </c>
      <c r="G134" s="220">
        <f>'дод 2 '!H29</f>
        <v>75190.81</v>
      </c>
      <c r="H134" s="84">
        <f>'дод 2 '!I29</f>
        <v>0</v>
      </c>
      <c r="I134" s="84">
        <f>'дод 2 '!J29</f>
        <v>0</v>
      </c>
      <c r="J134" s="134">
        <f t="shared" si="38"/>
        <v>10.025441333333333</v>
      </c>
      <c r="K134" s="84">
        <f>'дод 2 '!L29</f>
        <v>0</v>
      </c>
      <c r="L134" s="84">
        <f>'дод 2 '!M29</f>
        <v>0</v>
      </c>
      <c r="M134" s="84">
        <f>'дод 2 '!N29</f>
        <v>0</v>
      </c>
      <c r="N134" s="84">
        <f>'дод 2 '!O29</f>
        <v>0</v>
      </c>
      <c r="O134" s="84">
        <f>'дод 2 '!P29</f>
        <v>0</v>
      </c>
      <c r="P134" s="84">
        <f>'дод 2 '!Q29</f>
        <v>0</v>
      </c>
      <c r="Q134" s="220">
        <f>'дод 2 '!R29</f>
        <v>0</v>
      </c>
      <c r="R134" s="220">
        <f>'дод 2 '!S29</f>
        <v>0</v>
      </c>
      <c r="S134" s="84">
        <f>'дод 2 '!T29</f>
        <v>0</v>
      </c>
      <c r="T134" s="84">
        <f>'дод 2 '!U29</f>
        <v>0</v>
      </c>
      <c r="U134" s="84">
        <f>'дод 2 '!V29</f>
        <v>0</v>
      </c>
      <c r="V134" s="84">
        <f>'дод 2 '!W29</f>
        <v>0</v>
      </c>
      <c r="W134" s="134"/>
      <c r="X134" s="84">
        <f t="shared" si="39"/>
        <v>75190.81</v>
      </c>
      <c r="Y134" s="215"/>
    </row>
    <row r="135" spans="1:25" s="5" customFormat="1" ht="39.75" customHeight="1" x14ac:dyDescent="0.25">
      <c r="A135" s="101" t="s">
        <v>112</v>
      </c>
      <c r="B135" s="101" t="s">
        <v>111</v>
      </c>
      <c r="C135" s="7" t="s">
        <v>27</v>
      </c>
      <c r="D135" s="84">
        <f>'дод 2 '!E30</f>
        <v>837000</v>
      </c>
      <c r="E135" s="84">
        <f>'дод 2 '!F30</f>
        <v>0</v>
      </c>
      <c r="F135" s="84">
        <f>'дод 2 '!G30</f>
        <v>0</v>
      </c>
      <c r="G135" s="220">
        <f>'дод 2 '!H30</f>
        <v>83973.81</v>
      </c>
      <c r="H135" s="84">
        <f>'дод 2 '!I30</f>
        <v>0</v>
      </c>
      <c r="I135" s="84">
        <f>'дод 2 '!J30</f>
        <v>0</v>
      </c>
      <c r="J135" s="134">
        <f t="shared" si="38"/>
        <v>10.032713261648746</v>
      </c>
      <c r="K135" s="84">
        <f>'дод 2 '!L30</f>
        <v>0</v>
      </c>
      <c r="L135" s="84">
        <f>'дод 2 '!M30</f>
        <v>0</v>
      </c>
      <c r="M135" s="84">
        <f>'дод 2 '!N30</f>
        <v>0</v>
      </c>
      <c r="N135" s="84">
        <f>'дод 2 '!O30</f>
        <v>0</v>
      </c>
      <c r="O135" s="84">
        <f>'дод 2 '!P30</f>
        <v>0</v>
      </c>
      <c r="P135" s="84">
        <f>'дод 2 '!Q30</f>
        <v>0</v>
      </c>
      <c r="Q135" s="220">
        <f>'дод 2 '!R30</f>
        <v>0</v>
      </c>
      <c r="R135" s="220">
        <f>'дод 2 '!S30</f>
        <v>0</v>
      </c>
      <c r="S135" s="84">
        <f>'дод 2 '!T30</f>
        <v>0</v>
      </c>
      <c r="T135" s="84">
        <f>'дод 2 '!U30</f>
        <v>0</v>
      </c>
      <c r="U135" s="84">
        <f>'дод 2 '!V30</f>
        <v>0</v>
      </c>
      <c r="V135" s="84">
        <f>'дод 2 '!W30</f>
        <v>0</v>
      </c>
      <c r="W135" s="134"/>
      <c r="X135" s="84">
        <f t="shared" si="39"/>
        <v>83973.81</v>
      </c>
      <c r="Y135" s="215"/>
    </row>
    <row r="136" spans="1:25" s="5" customFormat="1" ht="36.75" customHeight="1" x14ac:dyDescent="0.25">
      <c r="A136" s="101" t="s">
        <v>150</v>
      </c>
      <c r="B136" s="101" t="s">
        <v>111</v>
      </c>
      <c r="C136" s="7" t="s">
        <v>37</v>
      </c>
      <c r="D136" s="84">
        <f>'дод 2 '!E76+'дод 2 '!E31</f>
        <v>14987400</v>
      </c>
      <c r="E136" s="84">
        <f>'дод 2 '!F76+'дод 2 '!F31</f>
        <v>10909500</v>
      </c>
      <c r="F136" s="84">
        <f>'дод 2 '!G76+'дод 2 '!G31</f>
        <v>879300</v>
      </c>
      <c r="G136" s="220">
        <f>'дод 2 '!H76+'дод 2 '!H31</f>
        <v>3496710.2800000003</v>
      </c>
      <c r="H136" s="84">
        <f>'дод 2 '!I76+'дод 2 '!I31</f>
        <v>2539802.98</v>
      </c>
      <c r="I136" s="84">
        <f>'дод 2 '!J76+'дод 2 '!J31</f>
        <v>283648.92</v>
      </c>
      <c r="J136" s="134">
        <f t="shared" si="38"/>
        <v>23.3309999065882</v>
      </c>
      <c r="K136" s="84">
        <f>'дод 2 '!L76+'дод 2 '!L31</f>
        <v>250000</v>
      </c>
      <c r="L136" s="84">
        <f>'дод 2 '!M76+'дод 2 '!M31</f>
        <v>250000</v>
      </c>
      <c r="M136" s="84">
        <f>'дод 2 '!N76+'дод 2 '!N31</f>
        <v>0</v>
      </c>
      <c r="N136" s="84">
        <f>'дод 2 '!O76+'дод 2 '!O31</f>
        <v>0</v>
      </c>
      <c r="O136" s="84">
        <f>'дод 2 '!P76+'дод 2 '!P31</f>
        <v>0</v>
      </c>
      <c r="P136" s="84">
        <f>'дод 2 '!Q76+'дод 2 '!Q31</f>
        <v>250000</v>
      </c>
      <c r="Q136" s="220">
        <f>'дод 2 '!R76+'дод 2 '!R31</f>
        <v>0</v>
      </c>
      <c r="R136" s="220">
        <f>'дод 2 '!S76+'дод 2 '!S31</f>
        <v>0</v>
      </c>
      <c r="S136" s="84">
        <f>'дод 2 '!T76+'дод 2 '!T31</f>
        <v>0</v>
      </c>
      <c r="T136" s="84">
        <f>'дод 2 '!U76+'дод 2 '!U31</f>
        <v>0</v>
      </c>
      <c r="U136" s="84">
        <f>'дод 2 '!V76+'дод 2 '!V31</f>
        <v>0</v>
      </c>
      <c r="V136" s="84">
        <f>'дод 2 '!W76+'дод 2 '!W31</f>
        <v>0</v>
      </c>
      <c r="W136" s="134">
        <f t="shared" si="40"/>
        <v>0</v>
      </c>
      <c r="X136" s="84">
        <f t="shared" si="39"/>
        <v>3496710.2800000003</v>
      </c>
      <c r="Y136" s="215"/>
    </row>
    <row r="137" spans="1:25" s="5" customFormat="1" ht="31.5" customHeight="1" x14ac:dyDescent="0.25">
      <c r="A137" s="101" t="s">
        <v>151</v>
      </c>
      <c r="B137" s="101" t="s">
        <v>111</v>
      </c>
      <c r="C137" s="7" t="s">
        <v>38</v>
      </c>
      <c r="D137" s="84">
        <f>'дод 2 '!E32</f>
        <v>8765300</v>
      </c>
      <c r="E137" s="84">
        <f>'дод 2 '!F32</f>
        <v>0</v>
      </c>
      <c r="F137" s="84">
        <f>'дод 2 '!G32</f>
        <v>0</v>
      </c>
      <c r="G137" s="220">
        <f>'дод 2 '!H32</f>
        <v>2000462.72</v>
      </c>
      <c r="H137" s="84">
        <f>'дод 2 '!I32</f>
        <v>0</v>
      </c>
      <c r="I137" s="84">
        <f>'дод 2 '!J32</f>
        <v>0</v>
      </c>
      <c r="J137" s="134">
        <f t="shared" si="38"/>
        <v>22.82252427184466</v>
      </c>
      <c r="K137" s="84">
        <f>'дод 2 '!L32</f>
        <v>172000</v>
      </c>
      <c r="L137" s="84">
        <f>'дод 2 '!M32</f>
        <v>172000</v>
      </c>
      <c r="M137" s="84">
        <f>'дод 2 '!N32</f>
        <v>0</v>
      </c>
      <c r="N137" s="84">
        <f>'дод 2 '!O32</f>
        <v>0</v>
      </c>
      <c r="O137" s="84">
        <f>'дод 2 '!P32</f>
        <v>0</v>
      </c>
      <c r="P137" s="84">
        <f>'дод 2 '!Q32</f>
        <v>172000</v>
      </c>
      <c r="Q137" s="220">
        <f>'дод 2 '!R32</f>
        <v>0</v>
      </c>
      <c r="R137" s="220">
        <f>'дод 2 '!S32</f>
        <v>0</v>
      </c>
      <c r="S137" s="84">
        <f>'дод 2 '!T32</f>
        <v>0</v>
      </c>
      <c r="T137" s="84">
        <f>'дод 2 '!U32</f>
        <v>0</v>
      </c>
      <c r="U137" s="84">
        <f>'дод 2 '!V32</f>
        <v>0</v>
      </c>
      <c r="V137" s="84">
        <f>'дод 2 '!W32</f>
        <v>0</v>
      </c>
      <c r="W137" s="134">
        <f t="shared" si="40"/>
        <v>0</v>
      </c>
      <c r="X137" s="84">
        <f t="shared" si="39"/>
        <v>2000462.72</v>
      </c>
      <c r="Y137" s="215"/>
    </row>
    <row r="138" spans="1:25" s="5" customFormat="1" ht="60" customHeight="1" x14ac:dyDescent="0.25">
      <c r="A138" s="101" t="s">
        <v>146</v>
      </c>
      <c r="B138" s="101" t="s">
        <v>111</v>
      </c>
      <c r="C138" s="7" t="s">
        <v>147</v>
      </c>
      <c r="D138" s="84">
        <f>'дод 2 '!E33</f>
        <v>3534500</v>
      </c>
      <c r="E138" s="84">
        <f>'дод 2 '!F33</f>
        <v>2106300</v>
      </c>
      <c r="F138" s="84">
        <f>'дод 2 '!G33</f>
        <v>486300</v>
      </c>
      <c r="G138" s="220">
        <f>'дод 2 '!H33</f>
        <v>611869.4</v>
      </c>
      <c r="H138" s="84">
        <f>'дод 2 '!I33</f>
        <v>458965.27</v>
      </c>
      <c r="I138" s="84">
        <f>'дод 2 '!J33</f>
        <v>28716.52</v>
      </c>
      <c r="J138" s="134">
        <f t="shared" si="38"/>
        <v>17.31134248125619</v>
      </c>
      <c r="K138" s="84">
        <f>'дод 2 '!L33</f>
        <v>892389</v>
      </c>
      <c r="L138" s="84">
        <f>'дод 2 '!M33</f>
        <v>642000</v>
      </c>
      <c r="M138" s="84">
        <f>'дод 2 '!N33</f>
        <v>250389</v>
      </c>
      <c r="N138" s="84">
        <f>'дод 2 '!O33</f>
        <v>158895</v>
      </c>
      <c r="O138" s="84">
        <f>'дод 2 '!P33</f>
        <v>55055</v>
      </c>
      <c r="P138" s="84">
        <f>'дод 2 '!Q33</f>
        <v>642000</v>
      </c>
      <c r="Q138" s="220">
        <f>'дод 2 '!R33</f>
        <v>46653.49</v>
      </c>
      <c r="R138" s="220">
        <f>'дод 2 '!S33</f>
        <v>0</v>
      </c>
      <c r="S138" s="84">
        <f>'дод 2 '!T33</f>
        <v>46653.49</v>
      </c>
      <c r="T138" s="84">
        <f>'дод 2 '!U33</f>
        <v>19214.490000000002</v>
      </c>
      <c r="U138" s="84">
        <f>'дод 2 '!V33</f>
        <v>10356.85</v>
      </c>
      <c r="V138" s="84">
        <f>'дод 2 '!W33</f>
        <v>0</v>
      </c>
      <c r="W138" s="134">
        <f t="shared" si="40"/>
        <v>5.2279319893006297</v>
      </c>
      <c r="X138" s="84">
        <f t="shared" si="39"/>
        <v>658522.89</v>
      </c>
      <c r="Y138" s="215"/>
    </row>
    <row r="139" spans="1:25" s="5" customFormat="1" ht="42" customHeight="1" x14ac:dyDescent="0.25">
      <c r="A139" s="101" t="s">
        <v>149</v>
      </c>
      <c r="B139" s="101" t="s">
        <v>111</v>
      </c>
      <c r="C139" s="7" t="s">
        <v>148</v>
      </c>
      <c r="D139" s="84">
        <f>'дод 2 '!E34</f>
        <v>6057200</v>
      </c>
      <c r="E139" s="84">
        <f>'дод 2 '!F34</f>
        <v>0</v>
      </c>
      <c r="F139" s="84">
        <f>'дод 2 '!G34</f>
        <v>0</v>
      </c>
      <c r="G139" s="220">
        <f>'дод 2 '!H34</f>
        <v>1503865.76</v>
      </c>
      <c r="H139" s="84">
        <f>'дод 2 '!I34</f>
        <v>0</v>
      </c>
      <c r="I139" s="84">
        <f>'дод 2 '!J34</f>
        <v>0</v>
      </c>
      <c r="J139" s="134">
        <f t="shared" si="38"/>
        <v>24.827738228884634</v>
      </c>
      <c r="K139" s="84">
        <f>'дод 2 '!L34</f>
        <v>0</v>
      </c>
      <c r="L139" s="84">
        <f>'дод 2 '!M34</f>
        <v>0</v>
      </c>
      <c r="M139" s="84">
        <f>'дод 2 '!N34</f>
        <v>0</v>
      </c>
      <c r="N139" s="84">
        <f>'дод 2 '!O34</f>
        <v>0</v>
      </c>
      <c r="O139" s="84">
        <f>'дод 2 '!P34</f>
        <v>0</v>
      </c>
      <c r="P139" s="84">
        <f>'дод 2 '!Q34</f>
        <v>0</v>
      </c>
      <c r="Q139" s="220">
        <f>'дод 2 '!R34</f>
        <v>0</v>
      </c>
      <c r="R139" s="220">
        <f>'дод 2 '!S34</f>
        <v>0</v>
      </c>
      <c r="S139" s="84">
        <f>'дод 2 '!T34</f>
        <v>0</v>
      </c>
      <c r="T139" s="84">
        <f>'дод 2 '!U34</f>
        <v>0</v>
      </c>
      <c r="U139" s="84">
        <f>'дод 2 '!V34</f>
        <v>0</v>
      </c>
      <c r="V139" s="84">
        <f>'дод 2 '!W34</f>
        <v>0</v>
      </c>
      <c r="W139" s="134"/>
      <c r="X139" s="84">
        <f t="shared" si="39"/>
        <v>1503865.76</v>
      </c>
      <c r="Y139" s="215"/>
    </row>
    <row r="140" spans="1:25" s="11" customFormat="1" ht="27" customHeight="1" x14ac:dyDescent="0.25">
      <c r="A140" s="102" t="s">
        <v>96</v>
      </c>
      <c r="B140" s="105"/>
      <c r="C140" s="6" t="s">
        <v>97</v>
      </c>
      <c r="D140" s="83">
        <f>D142+D143+D144+D145+D146+D147+D148+D149+D151+D152+D154+D155</f>
        <v>201592512.59999999</v>
      </c>
      <c r="E140" s="83">
        <f t="shared" ref="E140:P140" si="51">E142+E143+E144+E145+E146+E147+E148+E149+E151+E152+E154+E155</f>
        <v>0</v>
      </c>
      <c r="F140" s="83">
        <f t="shared" si="51"/>
        <v>21468000</v>
      </c>
      <c r="G140" s="219">
        <f t="shared" ref="G140:I140" si="52">G142+G143+G144+G145+G146+G147+G148+G149+G151+G152+G154+G155</f>
        <v>42368635.339999996</v>
      </c>
      <c r="H140" s="83">
        <f t="shared" si="52"/>
        <v>0</v>
      </c>
      <c r="I140" s="83">
        <f t="shared" si="52"/>
        <v>7718448.9199999999</v>
      </c>
      <c r="J140" s="133">
        <f t="shared" si="38"/>
        <v>21.016968732399238</v>
      </c>
      <c r="K140" s="83">
        <f t="shared" si="51"/>
        <v>179811821.44</v>
      </c>
      <c r="L140" s="83">
        <f>L142+L143+L144+L145+L146+L147+L148+L149+L151+L152+L154+L155</f>
        <v>179761137.63</v>
      </c>
      <c r="M140" s="83">
        <f t="shared" si="51"/>
        <v>42126</v>
      </c>
      <c r="N140" s="83">
        <f t="shared" si="51"/>
        <v>0</v>
      </c>
      <c r="O140" s="83">
        <f t="shared" si="51"/>
        <v>0</v>
      </c>
      <c r="P140" s="83">
        <f t="shared" si="51"/>
        <v>179769695.44</v>
      </c>
      <c r="Q140" s="219">
        <f t="shared" ref="Q140:V140" si="53">Q142+Q143+Q144+Q145+Q146+Q147+Q148+Q149+Q151+Q152+Q154+Q155</f>
        <v>7947212.3399999999</v>
      </c>
      <c r="R140" s="219">
        <f t="shared" ref="R140" si="54">R142+R143+R144+R145+R146+R147+R148+R149+R151+R152+R154+R155</f>
        <v>7947212.3399999999</v>
      </c>
      <c r="S140" s="83">
        <f t="shared" si="53"/>
        <v>0</v>
      </c>
      <c r="T140" s="83">
        <f t="shared" si="53"/>
        <v>0</v>
      </c>
      <c r="U140" s="83">
        <f t="shared" si="53"/>
        <v>0</v>
      </c>
      <c r="V140" s="83">
        <f t="shared" si="53"/>
        <v>7947212.3399999999</v>
      </c>
      <c r="W140" s="133">
        <f t="shared" si="40"/>
        <v>4.4197385223928904</v>
      </c>
      <c r="X140" s="83">
        <f t="shared" si="39"/>
        <v>50315847.679999992</v>
      </c>
      <c r="Y140" s="215"/>
    </row>
    <row r="141" spans="1:25" s="13" customFormat="1" ht="27" hidden="1" customHeight="1" x14ac:dyDescent="0.25">
      <c r="A141" s="108"/>
      <c r="B141" s="109"/>
      <c r="C141" s="67" t="s">
        <v>344</v>
      </c>
      <c r="D141" s="85">
        <f>D150+D153</f>
        <v>0</v>
      </c>
      <c r="E141" s="85">
        <f t="shared" ref="E141:P141" si="55">E150+E153</f>
        <v>0</v>
      </c>
      <c r="F141" s="85">
        <f t="shared" si="55"/>
        <v>0</v>
      </c>
      <c r="G141" s="221">
        <f t="shared" ref="G141:I141" si="56">G150+G153</f>
        <v>0</v>
      </c>
      <c r="H141" s="85">
        <f t="shared" si="56"/>
        <v>0</v>
      </c>
      <c r="I141" s="85">
        <f t="shared" si="56"/>
        <v>0</v>
      </c>
      <c r="J141" s="133" t="e">
        <f t="shared" si="38"/>
        <v>#DIV/0!</v>
      </c>
      <c r="K141" s="85">
        <f t="shared" si="55"/>
        <v>0</v>
      </c>
      <c r="L141" s="85">
        <f t="shared" ref="L141" si="57">L150+L153</f>
        <v>0</v>
      </c>
      <c r="M141" s="85">
        <f t="shared" si="55"/>
        <v>0</v>
      </c>
      <c r="N141" s="85">
        <f t="shared" si="55"/>
        <v>0</v>
      </c>
      <c r="O141" s="85">
        <f t="shared" si="55"/>
        <v>0</v>
      </c>
      <c r="P141" s="85">
        <f t="shared" si="55"/>
        <v>0</v>
      </c>
      <c r="Q141" s="221">
        <f t="shared" ref="Q141:V141" si="58">Q150+Q153</f>
        <v>0</v>
      </c>
      <c r="R141" s="221">
        <f t="shared" ref="R141" si="59">R150+R153</f>
        <v>0</v>
      </c>
      <c r="S141" s="85">
        <f t="shared" si="58"/>
        <v>0</v>
      </c>
      <c r="T141" s="85">
        <f t="shared" si="58"/>
        <v>0</v>
      </c>
      <c r="U141" s="85">
        <f t="shared" si="58"/>
        <v>0</v>
      </c>
      <c r="V141" s="85">
        <f t="shared" si="58"/>
        <v>0</v>
      </c>
      <c r="W141" s="133" t="e">
        <f t="shared" si="40"/>
        <v>#DIV/0!</v>
      </c>
      <c r="X141" s="83">
        <f t="shared" si="39"/>
        <v>0</v>
      </c>
      <c r="Y141" s="215"/>
    </row>
    <row r="142" spans="1:25" s="5" customFormat="1" ht="33.75" customHeight="1" x14ac:dyDescent="0.25">
      <c r="A142" s="101" t="s">
        <v>172</v>
      </c>
      <c r="B142" s="101" t="s">
        <v>98</v>
      </c>
      <c r="C142" s="7" t="s">
        <v>173</v>
      </c>
      <c r="D142" s="84">
        <f>'дод 2 '!E211</f>
        <v>0</v>
      </c>
      <c r="E142" s="84">
        <f>'дод 2 '!F211</f>
        <v>0</v>
      </c>
      <c r="F142" s="84">
        <f>'дод 2 '!G211</f>
        <v>0</v>
      </c>
      <c r="G142" s="220">
        <f>'дод 2 '!H211</f>
        <v>0</v>
      </c>
      <c r="H142" s="84">
        <f>'дод 2 '!I211</f>
        <v>0</v>
      </c>
      <c r="I142" s="84">
        <f>'дод 2 '!J211</f>
        <v>0</v>
      </c>
      <c r="J142" s="134"/>
      <c r="K142" s="84">
        <f>'дод 2 '!L211</f>
        <v>26849450</v>
      </c>
      <c r="L142" s="84">
        <f>'дод 2 '!M211</f>
        <v>26849450</v>
      </c>
      <c r="M142" s="84">
        <f>'дод 2 '!N211</f>
        <v>0</v>
      </c>
      <c r="N142" s="84">
        <f>'дод 2 '!O211</f>
        <v>0</v>
      </c>
      <c r="O142" s="84">
        <f>'дод 2 '!P211</f>
        <v>0</v>
      </c>
      <c r="P142" s="84">
        <f>'дод 2 '!Q211</f>
        <v>26849450</v>
      </c>
      <c r="Q142" s="220">
        <f>'дод 2 '!R211</f>
        <v>497909.74</v>
      </c>
      <c r="R142" s="220">
        <f>'дод 2 '!S211</f>
        <v>497909.74</v>
      </c>
      <c r="S142" s="84">
        <f>'дод 2 '!T211</f>
        <v>0</v>
      </c>
      <c r="T142" s="84">
        <f>'дод 2 '!U211</f>
        <v>0</v>
      </c>
      <c r="U142" s="84">
        <f>'дод 2 '!V211</f>
        <v>0</v>
      </c>
      <c r="V142" s="84">
        <f>'дод 2 '!W211</f>
        <v>497909.74</v>
      </c>
      <c r="W142" s="134">
        <f t="shared" si="40"/>
        <v>1.8544504263588266</v>
      </c>
      <c r="X142" s="84">
        <f t="shared" si="39"/>
        <v>497909.74</v>
      </c>
      <c r="Y142" s="215"/>
    </row>
    <row r="143" spans="1:25" s="5" customFormat="1" ht="36.75" customHeight="1" x14ac:dyDescent="0.25">
      <c r="A143" s="101" t="s">
        <v>174</v>
      </c>
      <c r="B143" s="101" t="s">
        <v>100</v>
      </c>
      <c r="C143" s="7" t="s">
        <v>200</v>
      </c>
      <c r="D143" s="84">
        <f>'дод 2 '!E212</f>
        <v>14082357</v>
      </c>
      <c r="E143" s="84">
        <f>'дод 2 '!F212</f>
        <v>0</v>
      </c>
      <c r="F143" s="84">
        <f>'дод 2 '!G212</f>
        <v>15000</v>
      </c>
      <c r="G143" s="220">
        <f>'дод 2 '!H212</f>
        <v>8652971.7699999996</v>
      </c>
      <c r="H143" s="84">
        <f>'дод 2 '!I212</f>
        <v>0</v>
      </c>
      <c r="I143" s="84">
        <f>'дод 2 '!J212</f>
        <v>0</v>
      </c>
      <c r="J143" s="134">
        <f t="shared" si="38"/>
        <v>61.445479403767422</v>
      </c>
      <c r="K143" s="84">
        <f>'дод 2 '!L212</f>
        <v>0</v>
      </c>
      <c r="L143" s="84">
        <f>'дод 2 '!M212</f>
        <v>0</v>
      </c>
      <c r="M143" s="84">
        <f>'дод 2 '!N212</f>
        <v>0</v>
      </c>
      <c r="N143" s="84">
        <f>'дод 2 '!O212</f>
        <v>0</v>
      </c>
      <c r="O143" s="84">
        <f>'дод 2 '!P212</f>
        <v>0</v>
      </c>
      <c r="P143" s="84">
        <f>'дод 2 '!Q212</f>
        <v>0</v>
      </c>
      <c r="Q143" s="220">
        <f>'дод 2 '!R212</f>
        <v>0</v>
      </c>
      <c r="R143" s="220">
        <f>'дод 2 '!S212</f>
        <v>0</v>
      </c>
      <c r="S143" s="84">
        <f>'дод 2 '!T212</f>
        <v>0</v>
      </c>
      <c r="T143" s="84">
        <f>'дод 2 '!U212</f>
        <v>0</v>
      </c>
      <c r="U143" s="84">
        <f>'дод 2 '!V212</f>
        <v>0</v>
      </c>
      <c r="V143" s="84">
        <f>'дод 2 '!W212</f>
        <v>0</v>
      </c>
      <c r="W143" s="134"/>
      <c r="X143" s="84">
        <f t="shared" si="39"/>
        <v>8652971.7699999996</v>
      </c>
      <c r="Y143" s="215"/>
    </row>
    <row r="144" spans="1:25" s="5" customFormat="1" ht="36.75" customHeight="1" x14ac:dyDescent="0.25">
      <c r="A144" s="104" t="s">
        <v>336</v>
      </c>
      <c r="B144" s="104" t="s">
        <v>100</v>
      </c>
      <c r="C144" s="7" t="s">
        <v>337</v>
      </c>
      <c r="D144" s="84">
        <f>'дод 2 '!E213</f>
        <v>535300</v>
      </c>
      <c r="E144" s="84">
        <f>'дод 2 '!F213</f>
        <v>0</v>
      </c>
      <c r="F144" s="84">
        <f>'дод 2 '!G213</f>
        <v>0</v>
      </c>
      <c r="G144" s="220">
        <f>'дод 2 '!H213</f>
        <v>111631.14</v>
      </c>
      <c r="H144" s="84">
        <f>'дод 2 '!I213</f>
        <v>0</v>
      </c>
      <c r="I144" s="84">
        <f>'дод 2 '!J213</f>
        <v>0</v>
      </c>
      <c r="J144" s="134">
        <f t="shared" ref="J144:J207" si="60">SUM(G144/D144)*100</f>
        <v>20.853939846814871</v>
      </c>
      <c r="K144" s="84">
        <f>'дод 2 '!L213</f>
        <v>19865000</v>
      </c>
      <c r="L144" s="84">
        <f>'дод 2 '!M213</f>
        <v>19865000</v>
      </c>
      <c r="M144" s="84">
        <f>'дод 2 '!N213</f>
        <v>0</v>
      </c>
      <c r="N144" s="84">
        <f>'дод 2 '!O213</f>
        <v>0</v>
      </c>
      <c r="O144" s="84">
        <f>'дод 2 '!P213</f>
        <v>0</v>
      </c>
      <c r="P144" s="84">
        <f>'дод 2 '!Q213</f>
        <v>19865000</v>
      </c>
      <c r="Q144" s="220">
        <f>'дод 2 '!R213</f>
        <v>1224546.3600000001</v>
      </c>
      <c r="R144" s="220">
        <f>'дод 2 '!S213</f>
        <v>1224546.3600000001</v>
      </c>
      <c r="S144" s="84">
        <f>'дод 2 '!T213</f>
        <v>0</v>
      </c>
      <c r="T144" s="84">
        <f>'дод 2 '!U213</f>
        <v>0</v>
      </c>
      <c r="U144" s="84">
        <f>'дод 2 '!V213</f>
        <v>0</v>
      </c>
      <c r="V144" s="84">
        <f>'дод 2 '!W213</f>
        <v>1224546.3600000001</v>
      </c>
      <c r="W144" s="134">
        <f t="shared" ref="W144:W207" si="61">SUM(Q144/K144)*100</f>
        <v>6.1643411024414805</v>
      </c>
      <c r="X144" s="84">
        <f t="shared" ref="X144:X207" si="62">SUM(Q144+G144)</f>
        <v>1336177.5</v>
      </c>
      <c r="Y144" s="215"/>
    </row>
    <row r="145" spans="1:25" s="5" customFormat="1" ht="46.5" customHeight="1" x14ac:dyDescent="0.25">
      <c r="A145" s="104" t="s">
        <v>503</v>
      </c>
      <c r="B145" s="104" t="s">
        <v>100</v>
      </c>
      <c r="C145" s="7" t="s">
        <v>504</v>
      </c>
      <c r="D145" s="84">
        <f>'дод 2 '!E214</f>
        <v>0</v>
      </c>
      <c r="E145" s="84">
        <f>'дод 2 '!F214</f>
        <v>0</v>
      </c>
      <c r="F145" s="84">
        <f>'дод 2 '!G214</f>
        <v>0</v>
      </c>
      <c r="G145" s="220">
        <f>'дод 2 '!H214</f>
        <v>0</v>
      </c>
      <c r="H145" s="84">
        <f>'дод 2 '!I214</f>
        <v>0</v>
      </c>
      <c r="I145" s="84">
        <f>'дод 2 '!J214</f>
        <v>0</v>
      </c>
      <c r="J145" s="134"/>
      <c r="K145" s="84">
        <f>'дод 2 '!L214</f>
        <v>1136130</v>
      </c>
      <c r="L145" s="84">
        <f>'дод 2 '!M214</f>
        <v>1136130</v>
      </c>
      <c r="M145" s="84">
        <f>'дод 2 '!N214</f>
        <v>0</v>
      </c>
      <c r="N145" s="84">
        <f>'дод 2 '!O214</f>
        <v>0</v>
      </c>
      <c r="O145" s="84">
        <f>'дод 2 '!P214</f>
        <v>0</v>
      </c>
      <c r="P145" s="84">
        <f>'дод 2 '!Q214</f>
        <v>1136130</v>
      </c>
      <c r="Q145" s="220">
        <f>'дод 2 '!R214</f>
        <v>27529.98</v>
      </c>
      <c r="R145" s="220">
        <f>'дод 2 '!S214</f>
        <v>27529.98</v>
      </c>
      <c r="S145" s="84">
        <f>'дод 2 '!T214</f>
        <v>0</v>
      </c>
      <c r="T145" s="84">
        <f>'дод 2 '!U214</f>
        <v>0</v>
      </c>
      <c r="U145" s="84">
        <f>'дод 2 '!V214</f>
        <v>0</v>
      </c>
      <c r="V145" s="84">
        <f>'дод 2 '!W214</f>
        <v>27529.98</v>
      </c>
      <c r="W145" s="134">
        <f t="shared" si="61"/>
        <v>2.4231364368514163</v>
      </c>
      <c r="X145" s="84">
        <f t="shared" si="62"/>
        <v>27529.98</v>
      </c>
      <c r="Y145" s="215"/>
    </row>
    <row r="146" spans="1:25" s="5" customFormat="1" ht="33" customHeight="1" x14ac:dyDescent="0.25">
      <c r="A146" s="101" t="s">
        <v>339</v>
      </c>
      <c r="B146" s="101" t="s">
        <v>100</v>
      </c>
      <c r="C146" s="7" t="s">
        <v>340</v>
      </c>
      <c r="D146" s="84">
        <f>'дод 2 '!E215</f>
        <v>500000</v>
      </c>
      <c r="E146" s="84">
        <f>'дод 2 '!F215</f>
        <v>0</v>
      </c>
      <c r="F146" s="84">
        <f>'дод 2 '!G215</f>
        <v>0</v>
      </c>
      <c r="G146" s="220">
        <f>'дод 2 '!H215</f>
        <v>0</v>
      </c>
      <c r="H146" s="84">
        <f>'дод 2 '!I215</f>
        <v>0</v>
      </c>
      <c r="I146" s="84">
        <f>'дод 2 '!J215</f>
        <v>0</v>
      </c>
      <c r="J146" s="134">
        <f t="shared" si="60"/>
        <v>0</v>
      </c>
      <c r="K146" s="84">
        <f>'дод 2 '!L215</f>
        <v>0</v>
      </c>
      <c r="L146" s="84">
        <f>'дод 2 '!M215</f>
        <v>0</v>
      </c>
      <c r="M146" s="84">
        <f>'дод 2 '!N215</f>
        <v>0</v>
      </c>
      <c r="N146" s="84">
        <f>'дод 2 '!O215</f>
        <v>0</v>
      </c>
      <c r="O146" s="84">
        <f>'дод 2 '!P215</f>
        <v>0</v>
      </c>
      <c r="P146" s="84">
        <f>'дод 2 '!Q215</f>
        <v>0</v>
      </c>
      <c r="Q146" s="220">
        <f>'дод 2 '!R215</f>
        <v>0</v>
      </c>
      <c r="R146" s="220">
        <f>'дод 2 '!S215</f>
        <v>0</v>
      </c>
      <c r="S146" s="84">
        <f>'дод 2 '!T215</f>
        <v>0</v>
      </c>
      <c r="T146" s="84">
        <f>'дод 2 '!U215</f>
        <v>0</v>
      </c>
      <c r="U146" s="84">
        <f>'дод 2 '!V215</f>
        <v>0</v>
      </c>
      <c r="V146" s="84">
        <f>'дод 2 '!W215</f>
        <v>0</v>
      </c>
      <c r="W146" s="134"/>
      <c r="X146" s="84">
        <f t="shared" si="62"/>
        <v>0</v>
      </c>
      <c r="Y146" s="215"/>
    </row>
    <row r="147" spans="1:25" s="5" customFormat="1" ht="52.5" customHeight="1" x14ac:dyDescent="0.25">
      <c r="A147" s="101" t="s">
        <v>99</v>
      </c>
      <c r="B147" s="101" t="s">
        <v>100</v>
      </c>
      <c r="C147" s="7" t="s">
        <v>177</v>
      </c>
      <c r="D147" s="84">
        <f>'дод 2 '!E216</f>
        <v>1044000</v>
      </c>
      <c r="E147" s="84">
        <f>'дод 2 '!F216</f>
        <v>0</v>
      </c>
      <c r="F147" s="84">
        <f>'дод 2 '!G216</f>
        <v>0</v>
      </c>
      <c r="G147" s="220">
        <f>'дод 2 '!H216</f>
        <v>782908.12</v>
      </c>
      <c r="H147" s="84">
        <f>'дод 2 '!I216</f>
        <v>0</v>
      </c>
      <c r="I147" s="84">
        <f>'дод 2 '!J216</f>
        <v>0</v>
      </c>
      <c r="J147" s="134">
        <f t="shared" si="60"/>
        <v>74.991199233716472</v>
      </c>
      <c r="K147" s="84">
        <f>'дод 2 '!L216</f>
        <v>0</v>
      </c>
      <c r="L147" s="84">
        <f>'дод 2 '!M216</f>
        <v>0</v>
      </c>
      <c r="M147" s="84">
        <f>'дод 2 '!N216</f>
        <v>0</v>
      </c>
      <c r="N147" s="84">
        <f>'дод 2 '!O216</f>
        <v>0</v>
      </c>
      <c r="O147" s="84">
        <f>'дод 2 '!P216</f>
        <v>0</v>
      </c>
      <c r="P147" s="84">
        <f>'дод 2 '!Q216</f>
        <v>0</v>
      </c>
      <c r="Q147" s="220">
        <f>'дод 2 '!R216</f>
        <v>0</v>
      </c>
      <c r="R147" s="220">
        <f>'дод 2 '!S216</f>
        <v>0</v>
      </c>
      <c r="S147" s="84">
        <f>'дод 2 '!T216</f>
        <v>0</v>
      </c>
      <c r="T147" s="84">
        <f>'дод 2 '!U216</f>
        <v>0</v>
      </c>
      <c r="U147" s="84">
        <f>'дод 2 '!V216</f>
        <v>0</v>
      </c>
      <c r="V147" s="84">
        <f>'дод 2 '!W216</f>
        <v>0</v>
      </c>
      <c r="W147" s="134"/>
      <c r="X147" s="84">
        <f t="shared" si="62"/>
        <v>782908.12</v>
      </c>
      <c r="Y147" s="215"/>
    </row>
    <row r="148" spans="1:25" ht="30" customHeight="1" x14ac:dyDescent="0.25">
      <c r="A148" s="101" t="s">
        <v>175</v>
      </c>
      <c r="B148" s="101" t="s">
        <v>100</v>
      </c>
      <c r="C148" s="7" t="s">
        <v>176</v>
      </c>
      <c r="D148" s="84">
        <f>'дод 2 '!E217+'дод 2 '!E242</f>
        <v>178882350</v>
      </c>
      <c r="E148" s="84">
        <f>'дод 2 '!F217+'дод 2 '!F242</f>
        <v>0</v>
      </c>
      <c r="F148" s="84">
        <f>'дод 2 '!G217+'дод 2 '!G242</f>
        <v>21413000</v>
      </c>
      <c r="G148" s="220">
        <f>'дод 2 '!H217+'дод 2 '!H242</f>
        <v>32423947.949999999</v>
      </c>
      <c r="H148" s="84">
        <f>'дод 2 '!I217+'дод 2 '!I242</f>
        <v>0</v>
      </c>
      <c r="I148" s="84">
        <f>'дод 2 '!J217+'дод 2 '!J242</f>
        <v>7712995.5599999996</v>
      </c>
      <c r="J148" s="134">
        <f t="shared" si="60"/>
        <v>18.125850845541777</v>
      </c>
      <c r="K148" s="84">
        <f>'дод 2 '!L217+'дод 2 '!L242</f>
        <v>116376367.63</v>
      </c>
      <c r="L148" s="84">
        <f>'дод 2 '!M217+'дод 2 '!M242</f>
        <v>116376367.63</v>
      </c>
      <c r="M148" s="84">
        <f>'дод 2 '!N217+'дод 2 '!N242</f>
        <v>0</v>
      </c>
      <c r="N148" s="84">
        <f>'дод 2 '!O217+'дод 2 '!O242</f>
        <v>0</v>
      </c>
      <c r="O148" s="84">
        <f>'дод 2 '!P217+'дод 2 '!P242</f>
        <v>0</v>
      </c>
      <c r="P148" s="84">
        <f>'дод 2 '!Q217+'дод 2 '!Q242</f>
        <v>116376367.63</v>
      </c>
      <c r="Q148" s="220">
        <f>'дод 2 '!R217+'дод 2 '!R242</f>
        <v>6197226.2599999998</v>
      </c>
      <c r="R148" s="220">
        <f>'дод 2 '!S217+'дод 2 '!S242</f>
        <v>6197226.2599999998</v>
      </c>
      <c r="S148" s="84">
        <f>'дод 2 '!T217+'дод 2 '!T242</f>
        <v>0</v>
      </c>
      <c r="T148" s="84">
        <f>'дод 2 '!U217+'дод 2 '!U242</f>
        <v>0</v>
      </c>
      <c r="U148" s="84">
        <f>'дод 2 '!V217+'дод 2 '!V242</f>
        <v>0</v>
      </c>
      <c r="V148" s="84">
        <f>'дод 2 '!W217+'дод 2 '!W242</f>
        <v>6197226.2599999998</v>
      </c>
      <c r="W148" s="134">
        <f t="shared" si="61"/>
        <v>5.3251586951941032</v>
      </c>
      <c r="X148" s="84">
        <f t="shared" si="62"/>
        <v>38621174.210000001</v>
      </c>
      <c r="Y148" s="215"/>
    </row>
    <row r="149" spans="1:25" s="5" customFormat="1" ht="208.5" hidden="1" customHeight="1" x14ac:dyDescent="0.25">
      <c r="A149" s="101" t="s">
        <v>524</v>
      </c>
      <c r="B149" s="101" t="s">
        <v>407</v>
      </c>
      <c r="C149" s="7" t="s">
        <v>525</v>
      </c>
      <c r="D149" s="84">
        <f>'дод 2 '!E219</f>
        <v>0</v>
      </c>
      <c r="E149" s="84">
        <f>'дод 2 '!F219</f>
        <v>0</v>
      </c>
      <c r="F149" s="84">
        <f>'дод 2 '!G219</f>
        <v>0</v>
      </c>
      <c r="G149" s="220">
        <f>'дод 2 '!H219</f>
        <v>0</v>
      </c>
      <c r="H149" s="84">
        <f>'дод 2 '!I219</f>
        <v>0</v>
      </c>
      <c r="I149" s="84">
        <f>'дод 2 '!J219</f>
        <v>0</v>
      </c>
      <c r="J149" s="134" t="e">
        <f t="shared" si="60"/>
        <v>#DIV/0!</v>
      </c>
      <c r="K149" s="84">
        <f>'дод 2 '!L219</f>
        <v>0</v>
      </c>
      <c r="L149" s="84">
        <f>'дод 2 '!M219</f>
        <v>0</v>
      </c>
      <c r="M149" s="84">
        <f>'дод 2 '!N219</f>
        <v>0</v>
      </c>
      <c r="N149" s="84">
        <f>'дод 2 '!O219</f>
        <v>0</v>
      </c>
      <c r="O149" s="84">
        <f>'дод 2 '!P219</f>
        <v>0</v>
      </c>
      <c r="P149" s="84">
        <f>'дод 2 '!Q219</f>
        <v>0</v>
      </c>
      <c r="Q149" s="220">
        <f>'дод 2 '!R219</f>
        <v>0</v>
      </c>
      <c r="R149" s="220">
        <f>'дод 2 '!S219</f>
        <v>0</v>
      </c>
      <c r="S149" s="84">
        <f>'дод 2 '!T219</f>
        <v>0</v>
      </c>
      <c r="T149" s="84">
        <f>'дод 2 '!U219</f>
        <v>0</v>
      </c>
      <c r="U149" s="84">
        <f>'дод 2 '!V219</f>
        <v>0</v>
      </c>
      <c r="V149" s="84">
        <f>'дод 2 '!W219</f>
        <v>0</v>
      </c>
      <c r="W149" s="134" t="e">
        <f t="shared" si="61"/>
        <v>#DIV/0!</v>
      </c>
      <c r="X149" s="84">
        <f t="shared" si="62"/>
        <v>0</v>
      </c>
      <c r="Y149" s="215"/>
    </row>
    <row r="150" spans="1:25" s="5" customFormat="1" ht="27.75" hidden="1" customHeight="1" x14ac:dyDescent="0.25">
      <c r="A150" s="101"/>
      <c r="B150" s="101"/>
      <c r="C150" s="7" t="s">
        <v>344</v>
      </c>
      <c r="D150" s="84">
        <f>'дод 2 '!E220</f>
        <v>0</v>
      </c>
      <c r="E150" s="84">
        <f>'дод 2 '!F220</f>
        <v>0</v>
      </c>
      <c r="F150" s="84">
        <f>'дод 2 '!G220</f>
        <v>0</v>
      </c>
      <c r="G150" s="220">
        <f>'дод 2 '!H220</f>
        <v>0</v>
      </c>
      <c r="H150" s="84">
        <f>'дод 2 '!I220</f>
        <v>0</v>
      </c>
      <c r="I150" s="84">
        <f>'дод 2 '!J220</f>
        <v>0</v>
      </c>
      <c r="J150" s="134" t="e">
        <f t="shared" si="60"/>
        <v>#DIV/0!</v>
      </c>
      <c r="K150" s="84">
        <f>'дод 2 '!L220</f>
        <v>0</v>
      </c>
      <c r="L150" s="84">
        <f>'дод 2 '!M220</f>
        <v>0</v>
      </c>
      <c r="M150" s="84">
        <f>'дод 2 '!N220</f>
        <v>0</v>
      </c>
      <c r="N150" s="84">
        <f>'дод 2 '!O220</f>
        <v>0</v>
      </c>
      <c r="O150" s="84">
        <f>'дод 2 '!P220</f>
        <v>0</v>
      </c>
      <c r="P150" s="84">
        <f>'дод 2 '!Q220</f>
        <v>0</v>
      </c>
      <c r="Q150" s="220">
        <f>'дод 2 '!R220</f>
        <v>0</v>
      </c>
      <c r="R150" s="220">
        <f>'дод 2 '!S220</f>
        <v>0</v>
      </c>
      <c r="S150" s="84">
        <f>'дод 2 '!T220</f>
        <v>0</v>
      </c>
      <c r="T150" s="84">
        <f>'дод 2 '!U220</f>
        <v>0</v>
      </c>
      <c r="U150" s="84">
        <f>'дод 2 '!V220</f>
        <v>0</v>
      </c>
      <c r="V150" s="84">
        <f>'дод 2 '!W220</f>
        <v>0</v>
      </c>
      <c r="W150" s="134" t="e">
        <f t="shared" si="61"/>
        <v>#DIV/0!</v>
      </c>
      <c r="X150" s="84">
        <f t="shared" si="62"/>
        <v>0</v>
      </c>
      <c r="Y150" s="215"/>
    </row>
    <row r="151" spans="1:25" ht="31.5" hidden="1" customHeight="1" x14ac:dyDescent="0.25">
      <c r="A151" s="101" t="s">
        <v>516</v>
      </c>
      <c r="B151" s="101" t="s">
        <v>98</v>
      </c>
      <c r="C151" s="7" t="s">
        <v>517</v>
      </c>
      <c r="D151" s="84">
        <f>'дод 2 '!E243</f>
        <v>0</v>
      </c>
      <c r="E151" s="84">
        <f>'дод 2 '!F243</f>
        <v>0</v>
      </c>
      <c r="F151" s="84">
        <f>'дод 2 '!G243</f>
        <v>0</v>
      </c>
      <c r="G151" s="220">
        <f>'дод 2 '!H243</f>
        <v>0</v>
      </c>
      <c r="H151" s="84">
        <f>'дод 2 '!I243</f>
        <v>0</v>
      </c>
      <c r="I151" s="84">
        <f>'дод 2 '!J243</f>
        <v>0</v>
      </c>
      <c r="J151" s="134" t="e">
        <f t="shared" si="60"/>
        <v>#DIV/0!</v>
      </c>
      <c r="K151" s="84">
        <f>'дод 2 '!L243</f>
        <v>0</v>
      </c>
      <c r="L151" s="84">
        <f>'дод 2 '!M243</f>
        <v>0</v>
      </c>
      <c r="M151" s="84">
        <f>'дод 2 '!N243</f>
        <v>0</v>
      </c>
      <c r="N151" s="84">
        <f>'дод 2 '!O243</f>
        <v>0</v>
      </c>
      <c r="O151" s="84">
        <f>'дод 2 '!P243</f>
        <v>0</v>
      </c>
      <c r="P151" s="84">
        <f>'дод 2 '!Q243</f>
        <v>0</v>
      </c>
      <c r="Q151" s="220">
        <f>'дод 2 '!R243</f>
        <v>0</v>
      </c>
      <c r="R151" s="220">
        <f>'дод 2 '!S243</f>
        <v>0</v>
      </c>
      <c r="S151" s="84">
        <f>'дод 2 '!T243</f>
        <v>0</v>
      </c>
      <c r="T151" s="84">
        <f>'дод 2 '!U243</f>
        <v>0</v>
      </c>
      <c r="U151" s="84">
        <f>'дод 2 '!V243</f>
        <v>0</v>
      </c>
      <c r="V151" s="84">
        <f>'дод 2 '!W243</f>
        <v>0</v>
      </c>
      <c r="W151" s="134" t="e">
        <f t="shared" si="61"/>
        <v>#DIV/0!</v>
      </c>
      <c r="X151" s="84">
        <f t="shared" si="62"/>
        <v>0</v>
      </c>
      <c r="Y151" s="215"/>
    </row>
    <row r="152" spans="1:25" ht="63" x14ac:dyDescent="0.25">
      <c r="A152" s="101" t="s">
        <v>549</v>
      </c>
      <c r="B152" s="101" t="s">
        <v>98</v>
      </c>
      <c r="C152" s="7" t="s">
        <v>548</v>
      </c>
      <c r="D152" s="84">
        <f>'дод 2 '!E193+'дод 2 '!E244</f>
        <v>0</v>
      </c>
      <c r="E152" s="84">
        <f>'дод 2 '!F193+'дод 2 '!F244</f>
        <v>0</v>
      </c>
      <c r="F152" s="84">
        <f>'дод 2 '!G193+'дод 2 '!G244</f>
        <v>0</v>
      </c>
      <c r="G152" s="220">
        <f>'дод 2 '!H193+'дод 2 '!H244</f>
        <v>0</v>
      </c>
      <c r="H152" s="84">
        <f>'дод 2 '!I193+'дод 2 '!I244</f>
        <v>0</v>
      </c>
      <c r="I152" s="84">
        <f>'дод 2 '!J193+'дод 2 '!J244</f>
        <v>0</v>
      </c>
      <c r="J152" s="134"/>
      <c r="K152" s="84">
        <f>'дод 2 '!L193+'дод 2 '!L244</f>
        <v>300000</v>
      </c>
      <c r="L152" s="84">
        <f>'дод 2 '!M193+'дод 2 '!M244</f>
        <v>300000</v>
      </c>
      <c r="M152" s="84">
        <f>'дод 2 '!N193+'дод 2 '!N244</f>
        <v>0</v>
      </c>
      <c r="N152" s="84">
        <f>'дод 2 '!O193+'дод 2 '!O244</f>
        <v>0</v>
      </c>
      <c r="O152" s="84">
        <f>'дод 2 '!P193+'дод 2 '!P244</f>
        <v>0</v>
      </c>
      <c r="P152" s="84">
        <f>'дод 2 '!Q193+'дод 2 '!Q244</f>
        <v>300000</v>
      </c>
      <c r="Q152" s="220">
        <f>'дод 2 '!R193+'дод 2 '!R244</f>
        <v>0</v>
      </c>
      <c r="R152" s="220">
        <f>'дод 2 '!S193+'дод 2 '!S244</f>
        <v>0</v>
      </c>
      <c r="S152" s="84">
        <f>'дод 2 '!T193+'дод 2 '!T244</f>
        <v>0</v>
      </c>
      <c r="T152" s="84">
        <f>'дод 2 '!U193+'дод 2 '!U244</f>
        <v>0</v>
      </c>
      <c r="U152" s="84">
        <f>'дод 2 '!V193+'дод 2 '!V244</f>
        <v>0</v>
      </c>
      <c r="V152" s="84">
        <f>'дод 2 '!W193+'дод 2 '!W244</f>
        <v>0</v>
      </c>
      <c r="W152" s="134">
        <f t="shared" si="61"/>
        <v>0</v>
      </c>
      <c r="X152" s="84">
        <f t="shared" si="62"/>
        <v>0</v>
      </c>
      <c r="Y152" s="215"/>
    </row>
    <row r="153" spans="1:25" ht="15.75" hidden="1" customHeight="1" x14ac:dyDescent="0.25">
      <c r="A153" s="101"/>
      <c r="B153" s="101"/>
      <c r="C153" s="7" t="s">
        <v>344</v>
      </c>
      <c r="D153" s="84">
        <f>'дод 2 '!E194</f>
        <v>0</v>
      </c>
      <c r="E153" s="84">
        <f>'дод 2 '!F194</f>
        <v>0</v>
      </c>
      <c r="F153" s="84">
        <f>'дод 2 '!G194</f>
        <v>0</v>
      </c>
      <c r="G153" s="220">
        <f>'дод 2 '!H194</f>
        <v>0</v>
      </c>
      <c r="H153" s="84">
        <f>'дод 2 '!I194</f>
        <v>0</v>
      </c>
      <c r="I153" s="84">
        <f>'дод 2 '!J194</f>
        <v>0</v>
      </c>
      <c r="J153" s="134" t="e">
        <f t="shared" si="60"/>
        <v>#DIV/0!</v>
      </c>
      <c r="K153" s="84">
        <f>'дод 2 '!L194</f>
        <v>0</v>
      </c>
      <c r="L153" s="84">
        <f>'дод 2 '!M194</f>
        <v>0</v>
      </c>
      <c r="M153" s="84">
        <f>'дод 2 '!N194</f>
        <v>0</v>
      </c>
      <c r="N153" s="84">
        <f>'дод 2 '!O194</f>
        <v>0</v>
      </c>
      <c r="O153" s="84">
        <f>'дод 2 '!P194</f>
        <v>0</v>
      </c>
      <c r="P153" s="84">
        <f>'дод 2 '!Q194</f>
        <v>0</v>
      </c>
      <c r="Q153" s="220">
        <f>'дод 2 '!R194</f>
        <v>0</v>
      </c>
      <c r="R153" s="220">
        <f>'дод 2 '!S194</f>
        <v>0</v>
      </c>
      <c r="S153" s="84">
        <f>'дод 2 '!T194</f>
        <v>0</v>
      </c>
      <c r="T153" s="84">
        <f>'дод 2 '!U194</f>
        <v>0</v>
      </c>
      <c r="U153" s="84">
        <f>'дод 2 '!V194</f>
        <v>0</v>
      </c>
      <c r="V153" s="84">
        <f>'дод 2 '!W194</f>
        <v>0</v>
      </c>
      <c r="W153" s="134" t="e">
        <f t="shared" si="61"/>
        <v>#DIV/0!</v>
      </c>
      <c r="X153" s="84">
        <f t="shared" si="62"/>
        <v>0</v>
      </c>
      <c r="Y153" s="215"/>
    </row>
    <row r="154" spans="1:25" s="5" customFormat="1" ht="67.5" customHeight="1" x14ac:dyDescent="0.25">
      <c r="A154" s="101" t="s">
        <v>179</v>
      </c>
      <c r="B154" s="106" t="s">
        <v>98</v>
      </c>
      <c r="C154" s="7" t="s">
        <v>180</v>
      </c>
      <c r="D154" s="84">
        <f>'дод 2 '!E245</f>
        <v>84906</v>
      </c>
      <c r="E154" s="84">
        <f>'дод 2 '!F245</f>
        <v>0</v>
      </c>
      <c r="F154" s="84">
        <f>'дод 2 '!G245</f>
        <v>0</v>
      </c>
      <c r="G154" s="220">
        <f>'дод 2 '!H245</f>
        <v>0</v>
      </c>
      <c r="H154" s="84">
        <f>'дод 2 '!I245</f>
        <v>0</v>
      </c>
      <c r="I154" s="84">
        <f>'дод 2 '!J245</f>
        <v>0</v>
      </c>
      <c r="J154" s="134">
        <f t="shared" si="60"/>
        <v>0</v>
      </c>
      <c r="K154" s="84">
        <f>'дод 2 '!L245</f>
        <v>50683.81</v>
      </c>
      <c r="L154" s="84">
        <f>'дод 2 '!M245</f>
        <v>0</v>
      </c>
      <c r="M154" s="84">
        <f>'дод 2 '!N245</f>
        <v>42126</v>
      </c>
      <c r="N154" s="84">
        <f>'дод 2 '!O245</f>
        <v>0</v>
      </c>
      <c r="O154" s="84">
        <f>'дод 2 '!P245</f>
        <v>0</v>
      </c>
      <c r="P154" s="84">
        <f>'дод 2 '!Q245</f>
        <v>8557.81</v>
      </c>
      <c r="Q154" s="220">
        <f>'дод 2 '!R245</f>
        <v>0</v>
      </c>
      <c r="R154" s="220">
        <f>'дод 2 '!S245</f>
        <v>0</v>
      </c>
      <c r="S154" s="84">
        <f>'дод 2 '!T245</f>
        <v>0</v>
      </c>
      <c r="T154" s="84">
        <f>'дод 2 '!U245</f>
        <v>0</v>
      </c>
      <c r="U154" s="84">
        <f>'дод 2 '!V245</f>
        <v>0</v>
      </c>
      <c r="V154" s="84">
        <f>'дод 2 '!W245</f>
        <v>0</v>
      </c>
      <c r="W154" s="134">
        <f t="shared" si="61"/>
        <v>0</v>
      </c>
      <c r="X154" s="84">
        <f t="shared" si="62"/>
        <v>0</v>
      </c>
      <c r="Y154" s="215"/>
    </row>
    <row r="155" spans="1:25" ht="39.75" customHeight="1" x14ac:dyDescent="0.25">
      <c r="A155" s="101" t="s">
        <v>193</v>
      </c>
      <c r="B155" s="106" t="s">
        <v>407</v>
      </c>
      <c r="C155" s="7" t="s">
        <v>194</v>
      </c>
      <c r="D155" s="84">
        <f>'дод 2 '!E218+'дод 2 '!E269+'дод 2 '!E246</f>
        <v>6463599.5999999996</v>
      </c>
      <c r="E155" s="84">
        <f>'дод 2 '!F218+'дод 2 '!F269+'дод 2 '!F246</f>
        <v>0</v>
      </c>
      <c r="F155" s="84">
        <f>'дод 2 '!G218+'дод 2 '!G269+'дод 2 '!G246</f>
        <v>40000</v>
      </c>
      <c r="G155" s="220">
        <f>'дод 2 '!H218+'дод 2 '!H269+'дод 2 '!H246</f>
        <v>397176.36</v>
      </c>
      <c r="H155" s="84">
        <f>'дод 2 '!I218+'дод 2 '!I269+'дод 2 '!I246</f>
        <v>0</v>
      </c>
      <c r="I155" s="84">
        <f>'дод 2 '!J218+'дод 2 '!J269+'дод 2 '!J246</f>
        <v>5453.36</v>
      </c>
      <c r="J155" s="134">
        <f t="shared" si="60"/>
        <v>6.1448168911948073</v>
      </c>
      <c r="K155" s="84">
        <f>'дод 2 '!L218+'дод 2 '!L269+'дод 2 '!L246</f>
        <v>15234190</v>
      </c>
      <c r="L155" s="84">
        <f>'дод 2 '!M218+'дод 2 '!M269+'дод 2 '!M246</f>
        <v>15234190</v>
      </c>
      <c r="M155" s="84">
        <f>'дод 2 '!N218+'дод 2 '!N269+'дод 2 '!N246</f>
        <v>0</v>
      </c>
      <c r="N155" s="84">
        <f>'дод 2 '!O218+'дод 2 '!O269+'дод 2 '!O246</f>
        <v>0</v>
      </c>
      <c r="O155" s="84">
        <f>'дод 2 '!P218+'дод 2 '!P269+'дод 2 '!P246</f>
        <v>0</v>
      </c>
      <c r="P155" s="84">
        <f>'дод 2 '!Q218+'дод 2 '!Q269+'дод 2 '!Q246</f>
        <v>15234190</v>
      </c>
      <c r="Q155" s="220">
        <f>'дод 2 '!R218+'дод 2 '!R269+'дод 2 '!R246</f>
        <v>0</v>
      </c>
      <c r="R155" s="220">
        <f>'дод 2 '!S218+'дод 2 '!S269+'дод 2 '!S246</f>
        <v>0</v>
      </c>
      <c r="S155" s="84">
        <f>'дод 2 '!T218+'дод 2 '!T269+'дод 2 '!T246</f>
        <v>0</v>
      </c>
      <c r="T155" s="84">
        <f>'дод 2 '!U218+'дод 2 '!U269+'дод 2 '!U246</f>
        <v>0</v>
      </c>
      <c r="U155" s="84">
        <f>'дод 2 '!V218+'дод 2 '!V269+'дод 2 '!V246</f>
        <v>0</v>
      </c>
      <c r="V155" s="84">
        <f>'дод 2 '!W218+'дод 2 '!W269+'дод 2 '!W246</f>
        <v>0</v>
      </c>
      <c r="W155" s="134">
        <f t="shared" si="61"/>
        <v>0</v>
      </c>
      <c r="X155" s="84">
        <f t="shared" si="62"/>
        <v>397176.36</v>
      </c>
      <c r="Y155" s="215"/>
    </row>
    <row r="156" spans="1:25" s="11" customFormat="1" ht="29.25" customHeight="1" x14ac:dyDescent="0.25">
      <c r="A156" s="102" t="s">
        <v>181</v>
      </c>
      <c r="B156" s="105"/>
      <c r="C156" s="6" t="s">
        <v>182</v>
      </c>
      <c r="D156" s="83">
        <f>D157+D159+D172+D181+D183</f>
        <v>30181194.600000001</v>
      </c>
      <c r="E156" s="83">
        <f t="shared" ref="E156:P156" si="63">E157+E159+E172+E181+E183</f>
        <v>37557</v>
      </c>
      <c r="F156" s="83">
        <f t="shared" si="63"/>
        <v>0</v>
      </c>
      <c r="G156" s="219">
        <f t="shared" ref="G156:I156" si="64">G157+G159+G172+G181+G183</f>
        <v>3212177.98</v>
      </c>
      <c r="H156" s="83">
        <f t="shared" si="64"/>
        <v>0</v>
      </c>
      <c r="I156" s="83">
        <f t="shared" si="64"/>
        <v>0</v>
      </c>
      <c r="J156" s="133">
        <f t="shared" si="60"/>
        <v>10.642978260376744</v>
      </c>
      <c r="K156" s="83">
        <f>K157+K159+K172+K181+K183</f>
        <v>347229593.14999998</v>
      </c>
      <c r="L156" s="83">
        <f t="shared" ref="L156" si="65">L157+L159+L172+L181+L183</f>
        <v>313001100.48000002</v>
      </c>
      <c r="M156" s="83">
        <f t="shared" si="63"/>
        <v>1315450.0799999998</v>
      </c>
      <c r="N156" s="83">
        <f t="shared" si="63"/>
        <v>0</v>
      </c>
      <c r="O156" s="83">
        <f t="shared" si="63"/>
        <v>0</v>
      </c>
      <c r="P156" s="83">
        <f t="shared" si="63"/>
        <v>345914143.06999999</v>
      </c>
      <c r="Q156" s="219">
        <f t="shared" ref="Q156:V156" si="66">Q157+Q159+Q172+Q181+Q183</f>
        <v>26173515.73</v>
      </c>
      <c r="R156" s="219">
        <f t="shared" ref="R156" si="67">R157+R159+R172+R181+R183</f>
        <v>26149352.73</v>
      </c>
      <c r="S156" s="83">
        <f t="shared" si="66"/>
        <v>24163</v>
      </c>
      <c r="T156" s="83">
        <f t="shared" si="66"/>
        <v>0</v>
      </c>
      <c r="U156" s="83">
        <f t="shared" si="66"/>
        <v>0</v>
      </c>
      <c r="V156" s="83">
        <f t="shared" si="66"/>
        <v>26149352.73</v>
      </c>
      <c r="W156" s="133">
        <f t="shared" si="61"/>
        <v>7.5378125155056361</v>
      </c>
      <c r="X156" s="83">
        <f t="shared" si="62"/>
        <v>29385693.710000001</v>
      </c>
      <c r="Y156" s="215"/>
    </row>
    <row r="157" spans="1:25" s="11" customFormat="1" x14ac:dyDescent="0.25">
      <c r="A157" s="102" t="s">
        <v>195</v>
      </c>
      <c r="B157" s="105"/>
      <c r="C157" s="6" t="s">
        <v>196</v>
      </c>
      <c r="D157" s="83">
        <f>D158</f>
        <v>1351000</v>
      </c>
      <c r="E157" s="83">
        <f t="shared" ref="E157:V157" si="68">E158</f>
        <v>0</v>
      </c>
      <c r="F157" s="83">
        <f t="shared" si="68"/>
        <v>0</v>
      </c>
      <c r="G157" s="219">
        <f t="shared" si="68"/>
        <v>4500</v>
      </c>
      <c r="H157" s="83">
        <f t="shared" si="68"/>
        <v>0</v>
      </c>
      <c r="I157" s="83">
        <f t="shared" si="68"/>
        <v>0</v>
      </c>
      <c r="J157" s="133">
        <f t="shared" si="60"/>
        <v>0.33308660251665434</v>
      </c>
      <c r="K157" s="83">
        <f t="shared" si="68"/>
        <v>14343.33</v>
      </c>
      <c r="L157" s="83">
        <f t="shared" si="68"/>
        <v>0</v>
      </c>
      <c r="M157" s="83">
        <f t="shared" si="68"/>
        <v>14343.33</v>
      </c>
      <c r="N157" s="83">
        <f t="shared" si="68"/>
        <v>0</v>
      </c>
      <c r="O157" s="83">
        <f t="shared" si="68"/>
        <v>0</v>
      </c>
      <c r="P157" s="83">
        <f t="shared" si="68"/>
        <v>0</v>
      </c>
      <c r="Q157" s="219">
        <f t="shared" si="68"/>
        <v>0</v>
      </c>
      <c r="R157" s="219">
        <f t="shared" si="68"/>
        <v>0</v>
      </c>
      <c r="S157" s="83">
        <f t="shared" si="68"/>
        <v>0</v>
      </c>
      <c r="T157" s="83">
        <f t="shared" si="68"/>
        <v>0</v>
      </c>
      <c r="U157" s="83">
        <f t="shared" si="68"/>
        <v>0</v>
      </c>
      <c r="V157" s="83">
        <f t="shared" si="68"/>
        <v>0</v>
      </c>
      <c r="W157" s="133">
        <f t="shared" si="61"/>
        <v>0</v>
      </c>
      <c r="X157" s="83">
        <f t="shared" si="62"/>
        <v>4500</v>
      </c>
      <c r="Y157" s="215"/>
    </row>
    <row r="158" spans="1:25" ht="24" customHeight="1" x14ac:dyDescent="0.25">
      <c r="A158" s="101" t="s">
        <v>183</v>
      </c>
      <c r="B158" s="101" t="s">
        <v>114</v>
      </c>
      <c r="C158" s="7" t="s">
        <v>184</v>
      </c>
      <c r="D158" s="84">
        <f>'дод 2 '!E279</f>
        <v>1351000</v>
      </c>
      <c r="E158" s="84">
        <f>'дод 2 '!F279</f>
        <v>0</v>
      </c>
      <c r="F158" s="84">
        <f>'дод 2 '!G279</f>
        <v>0</v>
      </c>
      <c r="G158" s="220">
        <f>'дод 2 '!H279</f>
        <v>4500</v>
      </c>
      <c r="H158" s="84">
        <f>'дод 2 '!I279</f>
        <v>0</v>
      </c>
      <c r="I158" s="84">
        <f>'дод 2 '!J279</f>
        <v>0</v>
      </c>
      <c r="J158" s="134">
        <f t="shared" si="60"/>
        <v>0.33308660251665434</v>
      </c>
      <c r="K158" s="84">
        <f>'дод 2 '!L279</f>
        <v>14343.33</v>
      </c>
      <c r="L158" s="84">
        <f>'дод 2 '!M279</f>
        <v>0</v>
      </c>
      <c r="M158" s="84">
        <f>'дод 2 '!N279</f>
        <v>14343.33</v>
      </c>
      <c r="N158" s="84">
        <f>'дод 2 '!O279</f>
        <v>0</v>
      </c>
      <c r="O158" s="84">
        <f>'дод 2 '!P279</f>
        <v>0</v>
      </c>
      <c r="P158" s="84">
        <f>'дод 2 '!Q279</f>
        <v>0</v>
      </c>
      <c r="Q158" s="220">
        <f>'дод 2 '!R279</f>
        <v>0</v>
      </c>
      <c r="R158" s="220">
        <f>'дод 2 '!S279</f>
        <v>0</v>
      </c>
      <c r="S158" s="84">
        <f>'дод 2 '!T279</f>
        <v>0</v>
      </c>
      <c r="T158" s="84">
        <f>'дод 2 '!U279</f>
        <v>0</v>
      </c>
      <c r="U158" s="84">
        <f>'дод 2 '!V279</f>
        <v>0</v>
      </c>
      <c r="V158" s="84">
        <f>'дод 2 '!W279</f>
        <v>0</v>
      </c>
      <c r="W158" s="134">
        <f t="shared" si="61"/>
        <v>0</v>
      </c>
      <c r="X158" s="84">
        <f t="shared" si="62"/>
        <v>4500</v>
      </c>
      <c r="Y158" s="215"/>
    </row>
    <row r="159" spans="1:25" s="11" customFormat="1" ht="27.75" customHeight="1" x14ac:dyDescent="0.25">
      <c r="A159" s="102" t="s">
        <v>130</v>
      </c>
      <c r="B159" s="102"/>
      <c r="C159" s="21" t="s">
        <v>185</v>
      </c>
      <c r="D159" s="83">
        <f>D161+D162+D163+D164+D165+D166+D167+D168+D169+D171</f>
        <v>1019544.6</v>
      </c>
      <c r="E159" s="83">
        <f t="shared" ref="E159:P159" si="69">E161+E162+E163+E164+E165+E166+E167+E168+E169+E171</f>
        <v>0</v>
      </c>
      <c r="F159" s="83">
        <f t="shared" si="69"/>
        <v>0</v>
      </c>
      <c r="G159" s="219">
        <f t="shared" ref="G159:I159" si="70">G161+G162+G163+G164+G165+G166+G167+G168+G169+G171</f>
        <v>80000</v>
      </c>
      <c r="H159" s="83">
        <f t="shared" si="70"/>
        <v>0</v>
      </c>
      <c r="I159" s="83">
        <f t="shared" si="70"/>
        <v>0</v>
      </c>
      <c r="J159" s="133">
        <f t="shared" si="60"/>
        <v>7.8466405491235989</v>
      </c>
      <c r="K159" s="83">
        <f t="shared" si="69"/>
        <v>154240173.47999999</v>
      </c>
      <c r="L159" s="83">
        <f>L161+L162+L163+L164+L165+L166+L167+L168+L169+L171</f>
        <v>154240173.47999999</v>
      </c>
      <c r="M159" s="83">
        <f t="shared" si="69"/>
        <v>0</v>
      </c>
      <c r="N159" s="83">
        <f t="shared" si="69"/>
        <v>0</v>
      </c>
      <c r="O159" s="83">
        <f t="shared" si="69"/>
        <v>0</v>
      </c>
      <c r="P159" s="83">
        <f t="shared" si="69"/>
        <v>154240173.47999999</v>
      </c>
      <c r="Q159" s="219">
        <f t="shared" ref="Q159:V159" si="71">Q161+Q162+Q163+Q164+Q165+Q166+Q167+Q168+Q169+Q171</f>
        <v>25220942.09</v>
      </c>
      <c r="R159" s="219">
        <f t="shared" ref="R159" si="72">R161+R162+R163+R164+R165+R166+R167+R168+R169+R171</f>
        <v>25220942.09</v>
      </c>
      <c r="S159" s="83">
        <f t="shared" si="71"/>
        <v>0</v>
      </c>
      <c r="T159" s="83">
        <f t="shared" si="71"/>
        <v>0</v>
      </c>
      <c r="U159" s="83">
        <f t="shared" si="71"/>
        <v>0</v>
      </c>
      <c r="V159" s="83">
        <f t="shared" si="71"/>
        <v>25220942.09</v>
      </c>
      <c r="W159" s="133">
        <f t="shared" si="61"/>
        <v>16.351733482243745</v>
      </c>
      <c r="X159" s="83">
        <f t="shared" si="62"/>
        <v>25300942.09</v>
      </c>
      <c r="Y159" s="215"/>
    </row>
    <row r="160" spans="1:25" s="13" customFormat="1" ht="18.75" customHeight="1" x14ac:dyDescent="0.25">
      <c r="A160" s="108"/>
      <c r="B160" s="108"/>
      <c r="C160" s="67" t="s">
        <v>344</v>
      </c>
      <c r="D160" s="85">
        <f>D170</f>
        <v>0</v>
      </c>
      <c r="E160" s="85">
        <f t="shared" ref="E160:P160" si="73">E170</f>
        <v>0</v>
      </c>
      <c r="F160" s="85">
        <f t="shared" si="73"/>
        <v>0</v>
      </c>
      <c r="G160" s="221">
        <f t="shared" ref="G160:I160" si="74">G170</f>
        <v>0</v>
      </c>
      <c r="H160" s="85">
        <f t="shared" si="74"/>
        <v>0</v>
      </c>
      <c r="I160" s="85">
        <f t="shared" si="74"/>
        <v>0</v>
      </c>
      <c r="J160" s="133"/>
      <c r="K160" s="85">
        <f t="shared" si="73"/>
        <v>39658973.670000002</v>
      </c>
      <c r="L160" s="85">
        <f t="shared" ref="L160" si="75">L170</f>
        <v>39658973.670000002</v>
      </c>
      <c r="M160" s="85">
        <f t="shared" si="73"/>
        <v>0</v>
      </c>
      <c r="N160" s="85">
        <f t="shared" si="73"/>
        <v>0</v>
      </c>
      <c r="O160" s="85">
        <f t="shared" si="73"/>
        <v>0</v>
      </c>
      <c r="P160" s="85">
        <f t="shared" si="73"/>
        <v>39658973.670000002</v>
      </c>
      <c r="Q160" s="221">
        <f t="shared" ref="Q160:V160" si="76">Q170</f>
        <v>4990468.8599999994</v>
      </c>
      <c r="R160" s="221">
        <f t="shared" ref="R160" si="77">R170</f>
        <v>4990468.8599999994</v>
      </c>
      <c r="S160" s="85">
        <f t="shared" si="76"/>
        <v>0</v>
      </c>
      <c r="T160" s="85">
        <f t="shared" si="76"/>
        <v>0</v>
      </c>
      <c r="U160" s="85">
        <f t="shared" si="76"/>
        <v>0</v>
      </c>
      <c r="V160" s="85">
        <f t="shared" si="76"/>
        <v>4990468.8599999994</v>
      </c>
      <c r="W160" s="133">
        <f t="shared" si="61"/>
        <v>12.583454381662518</v>
      </c>
      <c r="X160" s="83">
        <f t="shared" si="62"/>
        <v>4990468.8599999994</v>
      </c>
      <c r="Y160" s="215"/>
    </row>
    <row r="161" spans="1:25" ht="32.25" customHeight="1" x14ac:dyDescent="0.25">
      <c r="A161" s="104" t="s">
        <v>353</v>
      </c>
      <c r="B161" s="104" t="s">
        <v>145</v>
      </c>
      <c r="C161" s="7" t="s">
        <v>364</v>
      </c>
      <c r="D161" s="84">
        <f>'дод 2 '!E247+'дод 2 '!E222</f>
        <v>0</v>
      </c>
      <c r="E161" s="84">
        <f>'дод 2 '!F247+'дод 2 '!F222</f>
        <v>0</v>
      </c>
      <c r="F161" s="84">
        <f>'дод 2 '!G247+'дод 2 '!G222</f>
        <v>0</v>
      </c>
      <c r="G161" s="220">
        <f>'дод 2 '!H247+'дод 2 '!H222</f>
        <v>0</v>
      </c>
      <c r="H161" s="84">
        <f>'дод 2 '!I247+'дод 2 '!I222</f>
        <v>0</v>
      </c>
      <c r="I161" s="84">
        <f>'дод 2 '!J247+'дод 2 '!J222</f>
        <v>0</v>
      </c>
      <c r="J161" s="134"/>
      <c r="K161" s="84">
        <f>'дод 2 '!L247+'дод 2 '!L222</f>
        <v>33826580.229999997</v>
      </c>
      <c r="L161" s="84">
        <f>'дод 2 '!M247+'дод 2 '!M222</f>
        <v>33826580.229999997</v>
      </c>
      <c r="M161" s="84">
        <f>'дод 2 '!N247+'дод 2 '!N222</f>
        <v>0</v>
      </c>
      <c r="N161" s="84">
        <f>'дод 2 '!O247+'дод 2 '!O222</f>
        <v>0</v>
      </c>
      <c r="O161" s="84">
        <f>'дод 2 '!P247+'дод 2 '!P222</f>
        <v>0</v>
      </c>
      <c r="P161" s="84">
        <f>'дод 2 '!Q247+'дод 2 '!Q222</f>
        <v>33826580.229999997</v>
      </c>
      <c r="Q161" s="220">
        <f>'дод 2 '!R247+'дод 2 '!R222</f>
        <v>4304088.49</v>
      </c>
      <c r="R161" s="220">
        <f>'дод 2 '!S247+'дод 2 '!S222</f>
        <v>4304088.49</v>
      </c>
      <c r="S161" s="84">
        <f>'дод 2 '!T247+'дод 2 '!T222</f>
        <v>0</v>
      </c>
      <c r="T161" s="84">
        <f>'дод 2 '!U247+'дод 2 '!U222</f>
        <v>0</v>
      </c>
      <c r="U161" s="84">
        <f>'дод 2 '!V247+'дод 2 '!V222</f>
        <v>0</v>
      </c>
      <c r="V161" s="84">
        <f>'дод 2 '!W247+'дод 2 '!W222</f>
        <v>4304088.49</v>
      </c>
      <c r="W161" s="134">
        <f t="shared" si="61"/>
        <v>12.723983508633857</v>
      </c>
      <c r="X161" s="84">
        <f t="shared" si="62"/>
        <v>4304088.49</v>
      </c>
      <c r="Y161" s="215"/>
    </row>
    <row r="162" spans="1:25" s="5" customFormat="1" ht="32.25" customHeight="1" x14ac:dyDescent="0.25">
      <c r="A162" s="104" t="s">
        <v>358</v>
      </c>
      <c r="B162" s="104" t="s">
        <v>145</v>
      </c>
      <c r="C162" s="7" t="s">
        <v>365</v>
      </c>
      <c r="D162" s="84">
        <f>'дод 2 '!E248</f>
        <v>0</v>
      </c>
      <c r="E162" s="84">
        <f>'дод 2 '!F248</f>
        <v>0</v>
      </c>
      <c r="F162" s="84">
        <f>'дод 2 '!G248</f>
        <v>0</v>
      </c>
      <c r="G162" s="220">
        <f>'дод 2 '!H248</f>
        <v>0</v>
      </c>
      <c r="H162" s="84">
        <f>'дод 2 '!I248</f>
        <v>0</v>
      </c>
      <c r="I162" s="84">
        <f>'дод 2 '!J248</f>
        <v>0</v>
      </c>
      <c r="J162" s="134"/>
      <c r="K162" s="84">
        <f>'дод 2 '!L248</f>
        <v>10985940</v>
      </c>
      <c r="L162" s="84">
        <f>'дод 2 '!M248</f>
        <v>10985940</v>
      </c>
      <c r="M162" s="84">
        <f>'дод 2 '!N248</f>
        <v>0</v>
      </c>
      <c r="N162" s="84">
        <f>'дод 2 '!O248</f>
        <v>0</v>
      </c>
      <c r="O162" s="84">
        <f>'дод 2 '!P248</f>
        <v>0</v>
      </c>
      <c r="P162" s="84">
        <f>'дод 2 '!Q248</f>
        <v>10985940</v>
      </c>
      <c r="Q162" s="220">
        <f>'дод 2 '!R248</f>
        <v>215938</v>
      </c>
      <c r="R162" s="220">
        <f>'дод 2 '!S248</f>
        <v>215938</v>
      </c>
      <c r="S162" s="84">
        <f>'дод 2 '!T248</f>
        <v>0</v>
      </c>
      <c r="T162" s="84">
        <f>'дод 2 '!U248</f>
        <v>0</v>
      </c>
      <c r="U162" s="84">
        <f>'дод 2 '!V248</f>
        <v>0</v>
      </c>
      <c r="V162" s="84">
        <f>'дод 2 '!W248</f>
        <v>215938</v>
      </c>
      <c r="W162" s="134">
        <f t="shared" si="61"/>
        <v>1.9655851024127202</v>
      </c>
      <c r="X162" s="84">
        <f t="shared" si="62"/>
        <v>215938</v>
      </c>
      <c r="Y162" s="215"/>
    </row>
    <row r="163" spans="1:25" s="5" customFormat="1" ht="32.25" customHeight="1" x14ac:dyDescent="0.25">
      <c r="A163" s="104" t="s">
        <v>360</v>
      </c>
      <c r="B163" s="104" t="s">
        <v>145</v>
      </c>
      <c r="C163" s="7" t="s">
        <v>367</v>
      </c>
      <c r="D163" s="84">
        <f>'дод 2 '!E249</f>
        <v>0</v>
      </c>
      <c r="E163" s="84">
        <f>'дод 2 '!F249</f>
        <v>0</v>
      </c>
      <c r="F163" s="84">
        <f>'дод 2 '!G249</f>
        <v>0</v>
      </c>
      <c r="G163" s="220">
        <f>'дод 2 '!H249</f>
        <v>0</v>
      </c>
      <c r="H163" s="84">
        <f>'дод 2 '!I249</f>
        <v>0</v>
      </c>
      <c r="I163" s="84">
        <f>'дод 2 '!J249</f>
        <v>0</v>
      </c>
      <c r="J163" s="134"/>
      <c r="K163" s="84">
        <f>'дод 2 '!L249</f>
        <v>7500000</v>
      </c>
      <c r="L163" s="84">
        <f>'дод 2 '!M249</f>
        <v>7500000</v>
      </c>
      <c r="M163" s="84">
        <f>'дод 2 '!N249</f>
        <v>0</v>
      </c>
      <c r="N163" s="84">
        <f>'дод 2 '!O249</f>
        <v>0</v>
      </c>
      <c r="O163" s="84">
        <f>'дод 2 '!P249</f>
        <v>0</v>
      </c>
      <c r="P163" s="84">
        <f>'дод 2 '!Q249</f>
        <v>7500000</v>
      </c>
      <c r="Q163" s="220">
        <f>'дод 2 '!R249</f>
        <v>0</v>
      </c>
      <c r="R163" s="220">
        <f>'дод 2 '!S249</f>
        <v>0</v>
      </c>
      <c r="S163" s="84">
        <f>'дод 2 '!T249</f>
        <v>0</v>
      </c>
      <c r="T163" s="84">
        <f>'дод 2 '!U249</f>
        <v>0</v>
      </c>
      <c r="U163" s="84">
        <f>'дод 2 '!V249</f>
        <v>0</v>
      </c>
      <c r="V163" s="84">
        <f>'дод 2 '!W249</f>
        <v>0</v>
      </c>
      <c r="W163" s="134">
        <f t="shared" si="61"/>
        <v>0</v>
      </c>
      <c r="X163" s="84">
        <f t="shared" si="62"/>
        <v>0</v>
      </c>
      <c r="Y163" s="215"/>
    </row>
    <row r="164" spans="1:25" s="5" customFormat="1" ht="32.25" customHeight="1" x14ac:dyDescent="0.25">
      <c r="A164" s="104" t="s">
        <v>362</v>
      </c>
      <c r="B164" s="104" t="s">
        <v>145</v>
      </c>
      <c r="C164" s="7" t="s">
        <v>366</v>
      </c>
      <c r="D164" s="84">
        <f>'дод 2 '!E250</f>
        <v>0</v>
      </c>
      <c r="E164" s="84">
        <f>'дод 2 '!F250</f>
        <v>0</v>
      </c>
      <c r="F164" s="84">
        <f>'дод 2 '!G250</f>
        <v>0</v>
      </c>
      <c r="G164" s="220">
        <f>'дод 2 '!H250</f>
        <v>0</v>
      </c>
      <c r="H164" s="84">
        <f>'дод 2 '!I250</f>
        <v>0</v>
      </c>
      <c r="I164" s="84">
        <f>'дод 2 '!J250</f>
        <v>0</v>
      </c>
      <c r="J164" s="134"/>
      <c r="K164" s="84">
        <f>'дод 2 '!L250</f>
        <v>9181651</v>
      </c>
      <c r="L164" s="84">
        <f>'дод 2 '!M250</f>
        <v>9181651</v>
      </c>
      <c r="M164" s="84">
        <f>'дод 2 '!N250</f>
        <v>0</v>
      </c>
      <c r="N164" s="84">
        <f>'дод 2 '!O250</f>
        <v>0</v>
      </c>
      <c r="O164" s="84">
        <f>'дод 2 '!P250</f>
        <v>0</v>
      </c>
      <c r="P164" s="84">
        <f>'дод 2 '!Q250</f>
        <v>9181651</v>
      </c>
      <c r="Q164" s="220">
        <f>'дод 2 '!R250</f>
        <v>0</v>
      </c>
      <c r="R164" s="220">
        <f>'дод 2 '!S250</f>
        <v>0</v>
      </c>
      <c r="S164" s="84">
        <f>'дод 2 '!T250</f>
        <v>0</v>
      </c>
      <c r="T164" s="84">
        <f>'дод 2 '!U250</f>
        <v>0</v>
      </c>
      <c r="U164" s="84">
        <f>'дод 2 '!V250</f>
        <v>0</v>
      </c>
      <c r="V164" s="84">
        <f>'дод 2 '!W250</f>
        <v>0</v>
      </c>
      <c r="W164" s="134">
        <f t="shared" si="61"/>
        <v>0</v>
      </c>
      <c r="X164" s="84">
        <f t="shared" si="62"/>
        <v>0</v>
      </c>
      <c r="Y164" s="215"/>
    </row>
    <row r="165" spans="1:25" ht="32.25" customHeight="1" x14ac:dyDescent="0.25">
      <c r="A165" s="104" t="s">
        <v>355</v>
      </c>
      <c r="B165" s="104" t="s">
        <v>145</v>
      </c>
      <c r="C165" s="7" t="s">
        <v>569</v>
      </c>
      <c r="D165" s="84">
        <f>'дод 2 '!E251+'дод 2 '!E223</f>
        <v>0</v>
      </c>
      <c r="E165" s="84">
        <f>'дод 2 '!F251+'дод 2 '!F223</f>
        <v>0</v>
      </c>
      <c r="F165" s="84">
        <f>'дод 2 '!G251+'дод 2 '!G223</f>
        <v>0</v>
      </c>
      <c r="G165" s="220">
        <f>'дод 2 '!H251+'дод 2 '!H223</f>
        <v>0</v>
      </c>
      <c r="H165" s="84">
        <f>'дод 2 '!I251+'дод 2 '!I223</f>
        <v>0</v>
      </c>
      <c r="I165" s="84">
        <f>'дод 2 '!J251+'дод 2 '!J223</f>
        <v>0</v>
      </c>
      <c r="J165" s="134"/>
      <c r="K165" s="84">
        <f>'дод 2 '!L251+'дод 2 '!L223</f>
        <v>35165272</v>
      </c>
      <c r="L165" s="84">
        <f>'дод 2 '!M251+'дод 2 '!M223</f>
        <v>35165272</v>
      </c>
      <c r="M165" s="84">
        <f>'дод 2 '!N251+'дод 2 '!N223</f>
        <v>0</v>
      </c>
      <c r="N165" s="84">
        <f>'дод 2 '!O251+'дод 2 '!O223</f>
        <v>0</v>
      </c>
      <c r="O165" s="84">
        <f>'дод 2 '!P251+'дод 2 '!P223</f>
        <v>0</v>
      </c>
      <c r="P165" s="84">
        <f>'дод 2 '!Q251+'дод 2 '!Q223</f>
        <v>35165272</v>
      </c>
      <c r="Q165" s="220">
        <f>'дод 2 '!R251+'дод 2 '!R223</f>
        <v>2092238</v>
      </c>
      <c r="R165" s="220">
        <f>'дод 2 '!S251+'дод 2 '!S223</f>
        <v>2092238</v>
      </c>
      <c r="S165" s="84">
        <f>'дод 2 '!T251+'дод 2 '!T223</f>
        <v>0</v>
      </c>
      <c r="T165" s="84">
        <f>'дод 2 '!U251+'дод 2 '!U223</f>
        <v>0</v>
      </c>
      <c r="U165" s="84">
        <f>'дод 2 '!V251+'дод 2 '!V223</f>
        <v>0</v>
      </c>
      <c r="V165" s="84">
        <f>'дод 2 '!W251+'дод 2 '!W223</f>
        <v>2092238</v>
      </c>
      <c r="W165" s="134">
        <f t="shared" si="61"/>
        <v>5.9497279020051375</v>
      </c>
      <c r="X165" s="84">
        <f t="shared" si="62"/>
        <v>2092238</v>
      </c>
      <c r="Y165" s="215"/>
    </row>
    <row r="166" spans="1:25" ht="35.25" customHeight="1" x14ac:dyDescent="0.25">
      <c r="A166" s="101" t="s">
        <v>186</v>
      </c>
      <c r="B166" s="101" t="s">
        <v>145</v>
      </c>
      <c r="C166" s="7" t="s">
        <v>1</v>
      </c>
      <c r="D166" s="84">
        <f>'дод 2 '!E252+'дод 2 '!E224</f>
        <v>0</v>
      </c>
      <c r="E166" s="84">
        <f>'дод 2 '!F252+'дод 2 '!F224</f>
        <v>0</v>
      </c>
      <c r="F166" s="84">
        <f>'дод 2 '!G252+'дод 2 '!G224</f>
        <v>0</v>
      </c>
      <c r="G166" s="220">
        <f>'дод 2 '!H252+'дод 2 '!H224</f>
        <v>0</v>
      </c>
      <c r="H166" s="84">
        <f>'дод 2 '!I252+'дод 2 '!I224</f>
        <v>0</v>
      </c>
      <c r="I166" s="84">
        <f>'дод 2 '!J252+'дод 2 '!J224</f>
        <v>0</v>
      </c>
      <c r="J166" s="134"/>
      <c r="K166" s="84">
        <f>'дод 2 '!L252+'дод 2 '!L224</f>
        <v>3600000</v>
      </c>
      <c r="L166" s="84">
        <f>'дод 2 '!M252+'дод 2 '!M224</f>
        <v>3600000</v>
      </c>
      <c r="M166" s="84">
        <f>'дод 2 '!N252+'дод 2 '!N224</f>
        <v>0</v>
      </c>
      <c r="N166" s="84">
        <f>'дод 2 '!O252+'дод 2 '!O224</f>
        <v>0</v>
      </c>
      <c r="O166" s="84">
        <f>'дод 2 '!P252+'дод 2 '!P224</f>
        <v>0</v>
      </c>
      <c r="P166" s="84">
        <f>'дод 2 '!Q252+'дод 2 '!Q224</f>
        <v>3600000</v>
      </c>
      <c r="Q166" s="220">
        <f>'дод 2 '!R252+'дод 2 '!R224</f>
        <v>0</v>
      </c>
      <c r="R166" s="220">
        <f>'дод 2 '!S252+'дод 2 '!S224</f>
        <v>0</v>
      </c>
      <c r="S166" s="84">
        <f>'дод 2 '!T252+'дод 2 '!T224</f>
        <v>0</v>
      </c>
      <c r="T166" s="84">
        <f>'дод 2 '!U252+'дод 2 '!U224</f>
        <v>0</v>
      </c>
      <c r="U166" s="84">
        <f>'дод 2 '!V252+'дод 2 '!V224</f>
        <v>0</v>
      </c>
      <c r="V166" s="84">
        <f>'дод 2 '!W252+'дод 2 '!W224</f>
        <v>0</v>
      </c>
      <c r="W166" s="134">
        <f t="shared" si="61"/>
        <v>0</v>
      </c>
      <c r="X166" s="84">
        <f t="shared" si="62"/>
        <v>0</v>
      </c>
      <c r="Y166" s="215"/>
    </row>
    <row r="167" spans="1:25" ht="31.5" hidden="1" customHeight="1" x14ac:dyDescent="0.25">
      <c r="A167" s="101" t="s">
        <v>522</v>
      </c>
      <c r="B167" s="101" t="s">
        <v>145</v>
      </c>
      <c r="C167" s="7" t="s">
        <v>523</v>
      </c>
      <c r="D167" s="84">
        <f>'дод 2 '!E270</f>
        <v>0</v>
      </c>
      <c r="E167" s="84">
        <f>'дод 2 '!F270</f>
        <v>0</v>
      </c>
      <c r="F167" s="84">
        <f>'дод 2 '!G270</f>
        <v>0</v>
      </c>
      <c r="G167" s="220">
        <f>'дод 2 '!H270</f>
        <v>0</v>
      </c>
      <c r="H167" s="84">
        <f>'дод 2 '!I270</f>
        <v>0</v>
      </c>
      <c r="I167" s="84">
        <f>'дод 2 '!J270</f>
        <v>0</v>
      </c>
      <c r="J167" s="134" t="e">
        <f t="shared" si="60"/>
        <v>#DIV/0!</v>
      </c>
      <c r="K167" s="84">
        <f>'дод 2 '!L270</f>
        <v>0</v>
      </c>
      <c r="L167" s="84">
        <f>'дод 2 '!M270</f>
        <v>0</v>
      </c>
      <c r="M167" s="84">
        <f>'дод 2 '!N270</f>
        <v>0</v>
      </c>
      <c r="N167" s="84">
        <f>'дод 2 '!O270</f>
        <v>0</v>
      </c>
      <c r="O167" s="84">
        <f>'дод 2 '!P270</f>
        <v>0</v>
      </c>
      <c r="P167" s="84">
        <f>'дод 2 '!Q270</f>
        <v>0</v>
      </c>
      <c r="Q167" s="220">
        <f>'дод 2 '!R270</f>
        <v>0</v>
      </c>
      <c r="R167" s="220">
        <f>'дод 2 '!S270</f>
        <v>0</v>
      </c>
      <c r="S167" s="84">
        <f>'дод 2 '!T270</f>
        <v>0</v>
      </c>
      <c r="T167" s="84">
        <f>'дод 2 '!U270</f>
        <v>0</v>
      </c>
      <c r="U167" s="84">
        <f>'дод 2 '!V270</f>
        <v>0</v>
      </c>
      <c r="V167" s="84">
        <f>'дод 2 '!W270</f>
        <v>0</v>
      </c>
      <c r="W167" s="134" t="e">
        <f t="shared" si="61"/>
        <v>#DIV/0!</v>
      </c>
      <c r="X167" s="84">
        <f t="shared" si="62"/>
        <v>0</v>
      </c>
      <c r="Y167" s="215"/>
    </row>
    <row r="168" spans="1:25" s="5" customFormat="1" ht="53.25" customHeight="1" x14ac:dyDescent="0.25">
      <c r="A168" s="101" t="s">
        <v>514</v>
      </c>
      <c r="B168" s="101" t="s">
        <v>113</v>
      </c>
      <c r="C168" s="7" t="s">
        <v>515</v>
      </c>
      <c r="D168" s="84">
        <f>'дод 2 '!E253+'дод 2 '!E225+'дод 2 '!E257</f>
        <v>0</v>
      </c>
      <c r="E168" s="84">
        <f>'дод 2 '!F253+'дод 2 '!F225+'дод 2 '!F257</f>
        <v>0</v>
      </c>
      <c r="F168" s="84">
        <f>'дод 2 '!G253+'дод 2 '!G225+'дод 2 '!G257</f>
        <v>0</v>
      </c>
      <c r="G168" s="220">
        <f>'дод 2 '!H253+'дод 2 '!H225+'дод 2 '!H257</f>
        <v>0</v>
      </c>
      <c r="H168" s="84">
        <f>'дод 2 '!I253+'дод 2 '!I225+'дод 2 '!I257</f>
        <v>0</v>
      </c>
      <c r="I168" s="84">
        <f>'дод 2 '!J253+'дод 2 '!J225+'дод 2 '!J257</f>
        <v>0</v>
      </c>
      <c r="J168" s="134"/>
      <c r="K168" s="84">
        <f>'дод 2 '!L253+'дод 2 '!L225+'дод 2 '!L257</f>
        <v>28000</v>
      </c>
      <c r="L168" s="84">
        <v>28000</v>
      </c>
      <c r="M168" s="84">
        <f>'дод 2 '!N253+'дод 2 '!N225+'дод 2 '!N257</f>
        <v>0</v>
      </c>
      <c r="N168" s="84">
        <f>'дод 2 '!O253+'дод 2 '!O225+'дод 2 '!O257</f>
        <v>0</v>
      </c>
      <c r="O168" s="84">
        <f>'дод 2 '!P253+'дод 2 '!P225+'дод 2 '!P257</f>
        <v>0</v>
      </c>
      <c r="P168" s="84">
        <f>'дод 2 '!Q253+'дод 2 '!Q225+'дод 2 '!Q257</f>
        <v>28000</v>
      </c>
      <c r="Q168" s="220">
        <f>'дод 2 '!R253+'дод 2 '!R225+'дод 2 '!R257</f>
        <v>0</v>
      </c>
      <c r="R168" s="220">
        <f>'дод 2 '!S253+'дод 2 '!S225+'дод 2 '!S257</f>
        <v>0</v>
      </c>
      <c r="S168" s="84">
        <f>'дод 2 '!T253+'дод 2 '!T225+'дод 2 '!T257</f>
        <v>0</v>
      </c>
      <c r="T168" s="84">
        <f>'дод 2 '!U253+'дод 2 '!U225+'дод 2 '!U257</f>
        <v>0</v>
      </c>
      <c r="U168" s="84">
        <f>'дод 2 '!V253+'дод 2 '!V225+'дод 2 '!V257</f>
        <v>0</v>
      </c>
      <c r="V168" s="84">
        <f>'дод 2 '!W253+'дод 2 '!W225+'дод 2 '!W257</f>
        <v>0</v>
      </c>
      <c r="W168" s="134">
        <f t="shared" si="61"/>
        <v>0</v>
      </c>
      <c r="X168" s="84">
        <f t="shared" si="62"/>
        <v>0</v>
      </c>
      <c r="Y168" s="215"/>
    </row>
    <row r="169" spans="1:25" s="5" customFormat="1" ht="47.25" x14ac:dyDescent="0.25">
      <c r="A169" s="101" t="s">
        <v>497</v>
      </c>
      <c r="B169" s="101" t="s">
        <v>113</v>
      </c>
      <c r="C169" s="7" t="s">
        <v>498</v>
      </c>
      <c r="D169" s="84">
        <f>'дод 2 '!E184+'дод 2 '!E258+'дод 2 '!E77+'дод 2 '!E106+'дод 2 '!E203+'дод 2 '!E254+'дод 2 '!E226</f>
        <v>0</v>
      </c>
      <c r="E169" s="84">
        <f>'дод 2 '!F184+'дод 2 '!F258+'дод 2 '!F77+'дод 2 '!F106+'дод 2 '!F203+'дод 2 '!F254+'дод 2 '!F226</f>
        <v>0</v>
      </c>
      <c r="F169" s="84">
        <f>'дод 2 '!G184+'дод 2 '!G258+'дод 2 '!G77+'дод 2 '!G106+'дод 2 '!G203+'дод 2 '!G254+'дод 2 '!G226</f>
        <v>0</v>
      </c>
      <c r="G169" s="220">
        <f>'дод 2 '!H184+'дод 2 '!H258+'дод 2 '!H77+'дод 2 '!H106+'дод 2 '!H203+'дод 2 '!H254+'дод 2 '!H226</f>
        <v>0</v>
      </c>
      <c r="H169" s="84">
        <f>'дод 2 '!I184+'дод 2 '!I258+'дод 2 '!I77+'дод 2 '!I106+'дод 2 '!I203+'дод 2 '!I254+'дод 2 '!I226</f>
        <v>0</v>
      </c>
      <c r="I169" s="84">
        <f>'дод 2 '!J184+'дод 2 '!J258+'дод 2 '!J77+'дод 2 '!J106+'дод 2 '!J203+'дод 2 '!J254+'дод 2 '!J226</f>
        <v>0</v>
      </c>
      <c r="J169" s="134"/>
      <c r="K169" s="84">
        <f>'дод 2 '!L184+'дод 2 '!L258+'дод 2 '!L77+'дод 2 '!L106+'дод 2 '!L203+'дод 2 '!L254+'дод 2 '!L226</f>
        <v>41064330.250000007</v>
      </c>
      <c r="L169" s="84">
        <v>41064330.25</v>
      </c>
      <c r="M169" s="84">
        <f>'дод 2 '!N184+'дод 2 '!N258+'дод 2 '!N77+'дод 2 '!N106+'дод 2 '!N203+'дод 2 '!N254+'дод 2 '!N226</f>
        <v>0</v>
      </c>
      <c r="N169" s="84">
        <f>'дод 2 '!O184+'дод 2 '!O258+'дод 2 '!O77+'дод 2 '!O106+'дод 2 '!O203+'дод 2 '!O254+'дод 2 '!O226</f>
        <v>0</v>
      </c>
      <c r="O169" s="84">
        <f>'дод 2 '!P184+'дод 2 '!P258+'дод 2 '!P77+'дод 2 '!P106+'дод 2 '!P203+'дод 2 '!P254+'дод 2 '!P226</f>
        <v>0</v>
      </c>
      <c r="P169" s="84">
        <f>'дод 2 '!Q184+'дод 2 '!Q258+'дод 2 '!Q77+'дод 2 '!Q106+'дод 2 '!Q203+'дод 2 '!Q254+'дод 2 '!Q226</f>
        <v>41064330.250000007</v>
      </c>
      <c r="Q169" s="220">
        <f>'дод 2 '!R184+'дод 2 '!R258+'дод 2 '!R77+'дод 2 '!R106+'дод 2 '!R203+'дод 2 '!R254+'дод 2 '!R226</f>
        <v>5720277.5999999996</v>
      </c>
      <c r="R169" s="220">
        <f>'дод 2 '!S184+'дод 2 '!S258+'дод 2 '!S77+'дод 2 '!S106+'дод 2 '!S203+'дод 2 '!S254+'дод 2 '!S226</f>
        <v>5720277.5999999996</v>
      </c>
      <c r="S169" s="84">
        <f>'дод 2 '!T184+'дод 2 '!T258+'дод 2 '!T77+'дод 2 '!T106+'дод 2 '!T203+'дод 2 '!T254+'дод 2 '!T226</f>
        <v>0</v>
      </c>
      <c r="T169" s="84">
        <f>'дод 2 '!U184+'дод 2 '!U258+'дод 2 '!U77+'дод 2 '!U106+'дод 2 '!U203+'дод 2 '!U254+'дод 2 '!U226</f>
        <v>0</v>
      </c>
      <c r="U169" s="84">
        <f>'дод 2 '!V184+'дод 2 '!V258+'дод 2 '!V77+'дод 2 '!V106+'дод 2 '!V203+'дод 2 '!V254+'дод 2 '!V226</f>
        <v>0</v>
      </c>
      <c r="V169" s="84">
        <f>'дод 2 '!W184+'дод 2 '!W258+'дод 2 '!W77+'дод 2 '!W106+'дод 2 '!W203+'дод 2 '!W254+'дод 2 '!W226</f>
        <v>5720277.5999999996</v>
      </c>
      <c r="W169" s="134">
        <f t="shared" si="61"/>
        <v>13.930039928022445</v>
      </c>
      <c r="X169" s="84">
        <f t="shared" si="62"/>
        <v>5720277.5999999996</v>
      </c>
      <c r="Y169" s="215"/>
    </row>
    <row r="170" spans="1:25" s="5" customFormat="1" ht="19.5" customHeight="1" x14ac:dyDescent="0.25">
      <c r="A170" s="101"/>
      <c r="B170" s="101"/>
      <c r="C170" s="7" t="s">
        <v>344</v>
      </c>
      <c r="D170" s="84">
        <f>'дод 2 '!E185+'дод 2 '!E259+'дод 2 '!E78+'дод 2 '!E107+'дод 2 '!E204+'дод 2 '!E255+'дод 2 '!E227</f>
        <v>0</v>
      </c>
      <c r="E170" s="84">
        <f>'дод 2 '!F185+'дод 2 '!F259+'дод 2 '!F78+'дод 2 '!F107+'дод 2 '!F204+'дод 2 '!F255+'дод 2 '!F227</f>
        <v>0</v>
      </c>
      <c r="F170" s="84">
        <f>'дод 2 '!G185+'дод 2 '!G259+'дод 2 '!G78+'дод 2 '!G107+'дод 2 '!G204+'дод 2 '!G255+'дод 2 '!G227</f>
        <v>0</v>
      </c>
      <c r="G170" s="220">
        <f>'дод 2 '!H185+'дод 2 '!H259+'дод 2 '!H78+'дод 2 '!H107+'дод 2 '!H204+'дод 2 '!H255+'дод 2 '!H227</f>
        <v>0</v>
      </c>
      <c r="H170" s="84">
        <f>'дод 2 '!I185+'дод 2 '!I259+'дод 2 '!I78+'дод 2 '!I107+'дод 2 '!I204+'дод 2 '!I255+'дод 2 '!I227</f>
        <v>0</v>
      </c>
      <c r="I170" s="84">
        <f>'дод 2 '!J185+'дод 2 '!J259+'дод 2 '!J78+'дод 2 '!J107+'дод 2 '!J204+'дод 2 '!J255+'дод 2 '!J227</f>
        <v>0</v>
      </c>
      <c r="J170" s="134"/>
      <c r="K170" s="84">
        <f>'дод 2 '!L185+'дод 2 '!L259+'дод 2 '!L78+'дод 2 '!L107+'дод 2 '!L204+'дод 2 '!L255+'дод 2 '!L227</f>
        <v>39658973.670000002</v>
      </c>
      <c r="L170" s="84">
        <f>'дод 2 '!M185+'дод 2 '!M259+'дод 2 '!M78+'дод 2 '!M107+'дод 2 '!M204+'дод 2 '!M255+'дод 2 '!M227</f>
        <v>39658973.670000002</v>
      </c>
      <c r="M170" s="84">
        <f>'дод 2 '!N185+'дод 2 '!N259+'дод 2 '!N78+'дод 2 '!N107+'дод 2 '!N204+'дод 2 '!N255+'дод 2 '!N227</f>
        <v>0</v>
      </c>
      <c r="N170" s="84">
        <f>'дод 2 '!O185+'дод 2 '!O259+'дод 2 '!O78+'дод 2 '!O107+'дод 2 '!O204+'дод 2 '!O255+'дод 2 '!O227</f>
        <v>0</v>
      </c>
      <c r="O170" s="84">
        <f>'дод 2 '!P185+'дод 2 '!P259+'дод 2 '!P78+'дод 2 '!P107+'дод 2 '!P204+'дод 2 '!P255+'дод 2 '!P227</f>
        <v>0</v>
      </c>
      <c r="P170" s="84">
        <f>'дод 2 '!Q185+'дод 2 '!Q259+'дод 2 '!Q78+'дод 2 '!Q107+'дод 2 '!Q204+'дод 2 '!Q255+'дод 2 '!Q227</f>
        <v>39658973.670000002</v>
      </c>
      <c r="Q170" s="220">
        <f>'дод 2 '!R185+'дод 2 '!R259+'дод 2 '!R78+'дод 2 '!R107+'дод 2 '!R204+'дод 2 '!R255+'дод 2 '!R227</f>
        <v>4990468.8599999994</v>
      </c>
      <c r="R170" s="220">
        <f>'дод 2 '!S185+'дод 2 '!S259+'дод 2 '!S78+'дод 2 '!S107+'дод 2 '!S204+'дод 2 '!S255+'дод 2 '!S227</f>
        <v>4990468.8599999994</v>
      </c>
      <c r="S170" s="84">
        <f>'дод 2 '!T185+'дод 2 '!T259+'дод 2 '!T78+'дод 2 '!T107+'дод 2 '!T204+'дод 2 '!T255+'дод 2 '!T227</f>
        <v>0</v>
      </c>
      <c r="T170" s="84">
        <f>'дод 2 '!U185+'дод 2 '!U259+'дод 2 '!U78+'дод 2 '!U107+'дод 2 '!U204+'дод 2 '!U255+'дод 2 '!U227</f>
        <v>0</v>
      </c>
      <c r="U170" s="84">
        <f>'дод 2 '!V185+'дод 2 '!V259+'дод 2 '!V78+'дод 2 '!V107+'дод 2 '!V204+'дод 2 '!V255+'дод 2 '!V227</f>
        <v>0</v>
      </c>
      <c r="V170" s="84">
        <f>'дод 2 '!W185+'дод 2 '!W259+'дод 2 '!W78+'дод 2 '!W107+'дод 2 '!W204+'дод 2 '!W255+'дод 2 '!W227</f>
        <v>4990468.8599999994</v>
      </c>
      <c r="W170" s="134">
        <f t="shared" si="61"/>
        <v>12.583454381662518</v>
      </c>
      <c r="X170" s="84">
        <f t="shared" si="62"/>
        <v>4990468.8599999994</v>
      </c>
      <c r="Y170" s="215"/>
    </row>
    <row r="171" spans="1:25" ht="40.5" customHeight="1" x14ac:dyDescent="0.25">
      <c r="A171" s="101" t="s">
        <v>554</v>
      </c>
      <c r="B171" s="101" t="s">
        <v>113</v>
      </c>
      <c r="C171" s="7" t="s">
        <v>563</v>
      </c>
      <c r="D171" s="84">
        <f>'дод 2 '!E271+'дод 2 '!E280+'дод 2 '!E260</f>
        <v>1019544.6</v>
      </c>
      <c r="E171" s="84">
        <f>'дод 2 '!F271+'дод 2 '!F280+'дод 2 '!F260</f>
        <v>0</v>
      </c>
      <c r="F171" s="84">
        <f>'дод 2 '!G271+'дод 2 '!G280+'дод 2 '!G260</f>
        <v>0</v>
      </c>
      <c r="G171" s="220">
        <f>'дод 2 '!H271+'дод 2 '!H280+'дод 2 '!H260</f>
        <v>80000</v>
      </c>
      <c r="H171" s="84">
        <f>'дод 2 '!I271+'дод 2 '!I280+'дод 2 '!I260</f>
        <v>0</v>
      </c>
      <c r="I171" s="84">
        <f>'дод 2 '!J271+'дод 2 '!J280+'дод 2 '!J260</f>
        <v>0</v>
      </c>
      <c r="J171" s="134">
        <f t="shared" si="60"/>
        <v>7.8466405491235989</v>
      </c>
      <c r="K171" s="84">
        <f>'дод 2 '!L271+'дод 2 '!L280+'дод 2 '!L260</f>
        <v>12888400</v>
      </c>
      <c r="L171" s="84">
        <f>'дод 2 '!M271+'дод 2 '!M280+'дод 2 '!M260</f>
        <v>12888400</v>
      </c>
      <c r="M171" s="84">
        <f>'дод 2 '!N271+'дод 2 '!N280+'дод 2 '!N260</f>
        <v>0</v>
      </c>
      <c r="N171" s="84">
        <f>'дод 2 '!O271+'дод 2 '!O280+'дод 2 '!O260</f>
        <v>0</v>
      </c>
      <c r="O171" s="84">
        <f>'дод 2 '!P271+'дод 2 '!P280+'дод 2 '!P260</f>
        <v>0</v>
      </c>
      <c r="P171" s="84">
        <f>'дод 2 '!Q271+'дод 2 '!Q280+'дод 2 '!Q260</f>
        <v>12888400</v>
      </c>
      <c r="Q171" s="220">
        <f>'дод 2 '!R271+'дод 2 '!R280+'дод 2 '!R260</f>
        <v>12888400</v>
      </c>
      <c r="R171" s="220">
        <f>'дод 2 '!S271+'дод 2 '!S280+'дод 2 '!S260</f>
        <v>12888400</v>
      </c>
      <c r="S171" s="84">
        <f>'дод 2 '!T271+'дод 2 '!T280+'дод 2 '!T260</f>
        <v>0</v>
      </c>
      <c r="T171" s="84">
        <f>'дод 2 '!U271+'дод 2 '!U280+'дод 2 '!U260</f>
        <v>0</v>
      </c>
      <c r="U171" s="84">
        <f>'дод 2 '!V271+'дод 2 '!V280+'дод 2 '!V260</f>
        <v>0</v>
      </c>
      <c r="V171" s="84">
        <f>'дод 2 '!W271+'дод 2 '!W280+'дод 2 '!W260</f>
        <v>12888400</v>
      </c>
      <c r="W171" s="134">
        <f t="shared" si="61"/>
        <v>100</v>
      </c>
      <c r="X171" s="84">
        <f t="shared" si="62"/>
        <v>12968400</v>
      </c>
      <c r="Y171" s="215"/>
    </row>
    <row r="172" spans="1:25" s="11" customFormat="1" ht="39.75" customHeight="1" x14ac:dyDescent="0.25">
      <c r="A172" s="102" t="s">
        <v>117</v>
      </c>
      <c r="B172" s="105"/>
      <c r="C172" s="6" t="s">
        <v>2</v>
      </c>
      <c r="D172" s="83">
        <f>D174+D175+D176+D177+D178+D179</f>
        <v>11000000</v>
      </c>
      <c r="E172" s="83">
        <f t="shared" ref="E172:P172" si="78">E174+E175+E176+E177+E178+E179</f>
        <v>0</v>
      </c>
      <c r="F172" s="83">
        <f t="shared" si="78"/>
        <v>0</v>
      </c>
      <c r="G172" s="219">
        <f t="shared" ref="G172:I172" si="79">G174+G175+G176+G177+G178+G179</f>
        <v>2000000</v>
      </c>
      <c r="H172" s="83">
        <f t="shared" si="79"/>
        <v>0</v>
      </c>
      <c r="I172" s="83">
        <f t="shared" si="79"/>
        <v>0</v>
      </c>
      <c r="J172" s="133">
        <f t="shared" si="60"/>
        <v>18.181818181818183</v>
      </c>
      <c r="K172" s="83">
        <f t="shared" si="78"/>
        <v>70472.47</v>
      </c>
      <c r="L172" s="83">
        <f t="shared" ref="L172" si="80">L174+L175+L176+L177+L178+L179</f>
        <v>0</v>
      </c>
      <c r="M172" s="83">
        <f t="shared" si="78"/>
        <v>0</v>
      </c>
      <c r="N172" s="83">
        <f t="shared" si="78"/>
        <v>0</v>
      </c>
      <c r="O172" s="83">
        <f t="shared" si="78"/>
        <v>0</v>
      </c>
      <c r="P172" s="83">
        <f t="shared" si="78"/>
        <v>70472.47</v>
      </c>
      <c r="Q172" s="219">
        <f t="shared" ref="Q172:V172" si="81">Q174+Q175+Q176+Q177+Q178+Q179</f>
        <v>0</v>
      </c>
      <c r="R172" s="219">
        <f t="shared" ref="R172" si="82">R174+R175+R176+R177+R178+R179</f>
        <v>0</v>
      </c>
      <c r="S172" s="83">
        <f t="shared" si="81"/>
        <v>0</v>
      </c>
      <c r="T172" s="83">
        <f t="shared" si="81"/>
        <v>0</v>
      </c>
      <c r="U172" s="83">
        <f t="shared" si="81"/>
        <v>0</v>
      </c>
      <c r="V172" s="83">
        <f t="shared" si="81"/>
        <v>0</v>
      </c>
      <c r="W172" s="133">
        <f t="shared" si="61"/>
        <v>0</v>
      </c>
      <c r="X172" s="83">
        <f t="shared" si="62"/>
        <v>2000000</v>
      </c>
      <c r="Y172" s="215"/>
    </row>
    <row r="173" spans="1:25" s="13" customFormat="1" ht="15.75" hidden="1" customHeight="1" x14ac:dyDescent="0.25">
      <c r="A173" s="102"/>
      <c r="B173" s="105"/>
      <c r="C173" s="6" t="s">
        <v>344</v>
      </c>
      <c r="D173" s="83">
        <f>D180</f>
        <v>0</v>
      </c>
      <c r="E173" s="83">
        <f t="shared" ref="E173:P173" si="83">E180</f>
        <v>0</v>
      </c>
      <c r="F173" s="83">
        <f t="shared" si="83"/>
        <v>0</v>
      </c>
      <c r="G173" s="219">
        <f t="shared" ref="G173:I173" si="84">G180</f>
        <v>0</v>
      </c>
      <c r="H173" s="83">
        <f t="shared" si="84"/>
        <v>0</v>
      </c>
      <c r="I173" s="83">
        <f t="shared" si="84"/>
        <v>0</v>
      </c>
      <c r="J173" s="133" t="e">
        <f t="shared" si="60"/>
        <v>#DIV/0!</v>
      </c>
      <c r="K173" s="83">
        <f t="shared" si="83"/>
        <v>0</v>
      </c>
      <c r="L173" s="83">
        <f t="shared" ref="L173" si="85">L180</f>
        <v>0</v>
      </c>
      <c r="M173" s="83">
        <f t="shared" si="83"/>
        <v>0</v>
      </c>
      <c r="N173" s="83">
        <f t="shared" si="83"/>
        <v>0</v>
      </c>
      <c r="O173" s="83">
        <f t="shared" si="83"/>
        <v>0</v>
      </c>
      <c r="P173" s="83">
        <f t="shared" si="83"/>
        <v>0</v>
      </c>
      <c r="Q173" s="219">
        <f t="shared" ref="Q173:V173" si="86">Q180</f>
        <v>0</v>
      </c>
      <c r="R173" s="219">
        <f t="shared" ref="R173" si="87">R180</f>
        <v>0</v>
      </c>
      <c r="S173" s="83">
        <f t="shared" si="86"/>
        <v>0</v>
      </c>
      <c r="T173" s="83">
        <f t="shared" si="86"/>
        <v>0</v>
      </c>
      <c r="U173" s="83">
        <f t="shared" si="86"/>
        <v>0</v>
      </c>
      <c r="V173" s="83">
        <f t="shared" si="86"/>
        <v>0</v>
      </c>
      <c r="W173" s="133" t="e">
        <f t="shared" si="61"/>
        <v>#DIV/0!</v>
      </c>
      <c r="X173" s="83">
        <f t="shared" si="62"/>
        <v>0</v>
      </c>
      <c r="Y173" s="215"/>
    </row>
    <row r="174" spans="1:25" s="5" customFormat="1" ht="39.75" customHeight="1" x14ac:dyDescent="0.25">
      <c r="A174" s="101" t="s">
        <v>4</v>
      </c>
      <c r="B174" s="101" t="s">
        <v>115</v>
      </c>
      <c r="C174" s="7" t="s">
        <v>59</v>
      </c>
      <c r="D174" s="84">
        <f>'дод 2 '!E35</f>
        <v>10102369.4</v>
      </c>
      <c r="E174" s="84">
        <f>'дод 2 '!F35</f>
        <v>0</v>
      </c>
      <c r="F174" s="84">
        <f>'дод 2 '!G35</f>
        <v>0</v>
      </c>
      <c r="G174" s="220">
        <f>'дод 2 '!H35</f>
        <v>1102369.3999999999</v>
      </c>
      <c r="H174" s="84">
        <f>'дод 2 '!I35</f>
        <v>0</v>
      </c>
      <c r="I174" s="84">
        <f>'дод 2 '!J35</f>
        <v>0</v>
      </c>
      <c r="J174" s="134">
        <f t="shared" si="60"/>
        <v>10.911988627143252</v>
      </c>
      <c r="K174" s="84">
        <f>'дод 2 '!L35</f>
        <v>0</v>
      </c>
      <c r="L174" s="84">
        <f>'дод 2 '!M35</f>
        <v>0</v>
      </c>
      <c r="M174" s="84">
        <f>'дод 2 '!N35</f>
        <v>0</v>
      </c>
      <c r="N174" s="84">
        <f>'дод 2 '!O35</f>
        <v>0</v>
      </c>
      <c r="O174" s="84">
        <f>'дод 2 '!P35</f>
        <v>0</v>
      </c>
      <c r="P174" s="84">
        <f>'дод 2 '!Q35</f>
        <v>0</v>
      </c>
      <c r="Q174" s="220">
        <f>'дод 2 '!R35</f>
        <v>0</v>
      </c>
      <c r="R174" s="220">
        <f>'дод 2 '!S35</f>
        <v>0</v>
      </c>
      <c r="S174" s="84">
        <f>'дод 2 '!T35</f>
        <v>0</v>
      </c>
      <c r="T174" s="84">
        <f>'дод 2 '!U35</f>
        <v>0</v>
      </c>
      <c r="U174" s="84">
        <f>'дод 2 '!V35</f>
        <v>0</v>
      </c>
      <c r="V174" s="84">
        <f>'дод 2 '!W35</f>
        <v>0</v>
      </c>
      <c r="W174" s="134"/>
      <c r="X174" s="84">
        <f t="shared" si="62"/>
        <v>1102369.3999999999</v>
      </c>
      <c r="Y174" s="215"/>
    </row>
    <row r="175" spans="1:25" s="5" customFormat="1" ht="39.75" customHeight="1" x14ac:dyDescent="0.25">
      <c r="A175" s="101" t="s">
        <v>5</v>
      </c>
      <c r="B175" s="101" t="s">
        <v>116</v>
      </c>
      <c r="C175" s="7" t="s">
        <v>197</v>
      </c>
      <c r="D175" s="84">
        <f>'дод 2 '!E36</f>
        <v>897630.59999999963</v>
      </c>
      <c r="E175" s="84">
        <f>'дод 2 '!F36</f>
        <v>0</v>
      </c>
      <c r="F175" s="84">
        <f>'дод 2 '!G36</f>
        <v>0</v>
      </c>
      <c r="G175" s="220">
        <f>'дод 2 '!H36</f>
        <v>897630.6</v>
      </c>
      <c r="H175" s="84">
        <f>'дод 2 '!I36</f>
        <v>0</v>
      </c>
      <c r="I175" s="84">
        <f>'дод 2 '!J36</f>
        <v>0</v>
      </c>
      <c r="J175" s="134">
        <f t="shared" si="60"/>
        <v>100.00000000000004</v>
      </c>
      <c r="K175" s="84">
        <f>'дод 2 '!L36</f>
        <v>0</v>
      </c>
      <c r="L175" s="84">
        <f>'дод 2 '!M36</f>
        <v>0</v>
      </c>
      <c r="M175" s="84">
        <f>'дод 2 '!N36</f>
        <v>0</v>
      </c>
      <c r="N175" s="84">
        <f>'дод 2 '!O36</f>
        <v>0</v>
      </c>
      <c r="O175" s="84">
        <f>'дод 2 '!P36</f>
        <v>0</v>
      </c>
      <c r="P175" s="84">
        <f>'дод 2 '!Q36</f>
        <v>0</v>
      </c>
      <c r="Q175" s="220">
        <f>'дод 2 '!R36</f>
        <v>0</v>
      </c>
      <c r="R175" s="220">
        <f>'дод 2 '!S36</f>
        <v>0</v>
      </c>
      <c r="S175" s="84">
        <f>'дод 2 '!T36</f>
        <v>0</v>
      </c>
      <c r="T175" s="84">
        <f>'дод 2 '!U36</f>
        <v>0</v>
      </c>
      <c r="U175" s="84">
        <f>'дод 2 '!V36</f>
        <v>0</v>
      </c>
      <c r="V175" s="84">
        <f>'дод 2 '!W36</f>
        <v>0</v>
      </c>
      <c r="W175" s="134"/>
      <c r="X175" s="84">
        <f t="shared" si="62"/>
        <v>897630.6</v>
      </c>
      <c r="Y175" s="215"/>
    </row>
    <row r="176" spans="1:25" s="5" customFormat="1" ht="24" hidden="1" customHeight="1" x14ac:dyDescent="0.25">
      <c r="A176" s="101" t="s">
        <v>6</v>
      </c>
      <c r="B176" s="101" t="s">
        <v>116</v>
      </c>
      <c r="C176" s="7" t="s">
        <v>28</v>
      </c>
      <c r="D176" s="84">
        <f>'дод 2 '!E37</f>
        <v>0</v>
      </c>
      <c r="E176" s="84">
        <f>'дод 2 '!F37</f>
        <v>0</v>
      </c>
      <c r="F176" s="84">
        <f>'дод 2 '!G37</f>
        <v>0</v>
      </c>
      <c r="G176" s="220">
        <f>'дод 2 '!H37</f>
        <v>0</v>
      </c>
      <c r="H176" s="84">
        <f>'дод 2 '!I37</f>
        <v>0</v>
      </c>
      <c r="I176" s="84">
        <f>'дод 2 '!J37</f>
        <v>0</v>
      </c>
      <c r="J176" s="134" t="e">
        <f t="shared" si="60"/>
        <v>#DIV/0!</v>
      </c>
      <c r="K176" s="84">
        <f>'дод 2 '!L37</f>
        <v>0</v>
      </c>
      <c r="L176" s="84">
        <f>'дод 2 '!M37</f>
        <v>0</v>
      </c>
      <c r="M176" s="84">
        <f>'дод 2 '!N37</f>
        <v>0</v>
      </c>
      <c r="N176" s="84">
        <f>'дод 2 '!O37</f>
        <v>0</v>
      </c>
      <c r="O176" s="84">
        <f>'дод 2 '!P37</f>
        <v>0</v>
      </c>
      <c r="P176" s="84">
        <f>'дод 2 '!Q37</f>
        <v>0</v>
      </c>
      <c r="Q176" s="220">
        <f>'дод 2 '!R37</f>
        <v>0</v>
      </c>
      <c r="R176" s="220">
        <f>'дод 2 '!S37</f>
        <v>0</v>
      </c>
      <c r="S176" s="84">
        <f>'дод 2 '!T37</f>
        <v>0</v>
      </c>
      <c r="T176" s="84">
        <f>'дод 2 '!U37</f>
        <v>0</v>
      </c>
      <c r="U176" s="84">
        <f>'дод 2 '!V37</f>
        <v>0</v>
      </c>
      <c r="V176" s="84">
        <f>'дод 2 '!W37</f>
        <v>0</v>
      </c>
      <c r="W176" s="134" t="e">
        <f t="shared" si="61"/>
        <v>#DIV/0!</v>
      </c>
      <c r="X176" s="84">
        <f t="shared" si="62"/>
        <v>0</v>
      </c>
      <c r="Y176" s="215"/>
    </row>
    <row r="177" spans="1:25" s="5" customFormat="1" ht="31.5" x14ac:dyDescent="0.25">
      <c r="A177" s="101" t="s">
        <v>509</v>
      </c>
      <c r="B177" s="101" t="s">
        <v>410</v>
      </c>
      <c r="C177" s="7" t="s">
        <v>510</v>
      </c>
      <c r="D177" s="84">
        <f>'дод 2 '!E256+'дод 2 '!E261</f>
        <v>0</v>
      </c>
      <c r="E177" s="84">
        <f>'дод 2 '!F256+'дод 2 '!F261</f>
        <v>0</v>
      </c>
      <c r="F177" s="84">
        <f>'дод 2 '!G256+'дод 2 '!G261</f>
        <v>0</v>
      </c>
      <c r="G177" s="220">
        <f>'дод 2 '!H256+'дод 2 '!H261</f>
        <v>0</v>
      </c>
      <c r="H177" s="84">
        <f>'дод 2 '!I256+'дод 2 '!I261</f>
        <v>0</v>
      </c>
      <c r="I177" s="84">
        <f>'дод 2 '!J256+'дод 2 '!J261</f>
        <v>0</v>
      </c>
      <c r="J177" s="134"/>
      <c r="K177" s="84">
        <f>'дод 2 '!L256+'дод 2 '!L261</f>
        <v>70472.47</v>
      </c>
      <c r="L177" s="84">
        <f>'дод 2 '!M256+'дод 2 '!M261</f>
        <v>0</v>
      </c>
      <c r="M177" s="84">
        <f>'дод 2 '!N256+'дод 2 '!N261</f>
        <v>0</v>
      </c>
      <c r="N177" s="84">
        <f>'дод 2 '!O256+'дод 2 '!O261</f>
        <v>0</v>
      </c>
      <c r="O177" s="84">
        <f>'дод 2 '!P256+'дод 2 '!P261</f>
        <v>0</v>
      </c>
      <c r="P177" s="84">
        <f>'дод 2 '!Q256+'дод 2 '!Q261</f>
        <v>70472.47</v>
      </c>
      <c r="Q177" s="220">
        <f>'дод 2 '!R256+'дод 2 '!R261</f>
        <v>0</v>
      </c>
      <c r="R177" s="220">
        <f>'дод 2 '!S256+'дод 2 '!S261</f>
        <v>0</v>
      </c>
      <c r="S177" s="84">
        <f>'дод 2 '!T256+'дод 2 '!T261</f>
        <v>0</v>
      </c>
      <c r="T177" s="84">
        <f>'дод 2 '!U256+'дод 2 '!U261</f>
        <v>0</v>
      </c>
      <c r="U177" s="84">
        <f>'дод 2 '!V256+'дод 2 '!V261</f>
        <v>0</v>
      </c>
      <c r="V177" s="84">
        <f>'дод 2 '!W256+'дод 2 '!W261</f>
        <v>0</v>
      </c>
      <c r="W177" s="134">
        <f t="shared" si="61"/>
        <v>0</v>
      </c>
      <c r="X177" s="84">
        <f t="shared" si="62"/>
        <v>0</v>
      </c>
      <c r="Y177" s="215"/>
    </row>
    <row r="178" spans="1:25" ht="15.75" hidden="1" customHeight="1" x14ac:dyDescent="0.25">
      <c r="A178" s="101" t="s">
        <v>409</v>
      </c>
      <c r="B178" s="101" t="s">
        <v>410</v>
      </c>
      <c r="C178" s="7" t="s">
        <v>411</v>
      </c>
      <c r="D178" s="84">
        <f>'дод 2 '!E38</f>
        <v>0</v>
      </c>
      <c r="E178" s="84">
        <f>'дод 2 '!F38</f>
        <v>0</v>
      </c>
      <c r="F178" s="84">
        <f>'дод 2 '!G38</f>
        <v>0</v>
      </c>
      <c r="G178" s="220">
        <f>'дод 2 '!H38</f>
        <v>0</v>
      </c>
      <c r="H178" s="84">
        <f>'дод 2 '!I38</f>
        <v>0</v>
      </c>
      <c r="I178" s="84">
        <f>'дод 2 '!J38</f>
        <v>0</v>
      </c>
      <c r="J178" s="133" t="e">
        <f t="shared" si="60"/>
        <v>#DIV/0!</v>
      </c>
      <c r="K178" s="84">
        <f>'дод 2 '!L38</f>
        <v>0</v>
      </c>
      <c r="L178" s="84">
        <f>'дод 2 '!M38</f>
        <v>0</v>
      </c>
      <c r="M178" s="84">
        <f>'дод 2 '!N38</f>
        <v>0</v>
      </c>
      <c r="N178" s="84">
        <f>'дод 2 '!O38</f>
        <v>0</v>
      </c>
      <c r="O178" s="84">
        <f>'дод 2 '!P38</f>
        <v>0</v>
      </c>
      <c r="P178" s="84">
        <f>'дод 2 '!Q38</f>
        <v>0</v>
      </c>
      <c r="Q178" s="220">
        <f>'дод 2 '!R38</f>
        <v>0</v>
      </c>
      <c r="R178" s="220">
        <f>'дод 2 '!S38</f>
        <v>0</v>
      </c>
      <c r="S178" s="84">
        <f>'дод 2 '!T38</f>
        <v>0</v>
      </c>
      <c r="T178" s="84">
        <f>'дод 2 '!U38</f>
        <v>0</v>
      </c>
      <c r="U178" s="84">
        <f>'дод 2 '!V38</f>
        <v>0</v>
      </c>
      <c r="V178" s="84">
        <f>'дод 2 '!W38</f>
        <v>0</v>
      </c>
      <c r="W178" s="133" t="e">
        <f t="shared" si="61"/>
        <v>#DIV/0!</v>
      </c>
      <c r="X178" s="83">
        <f t="shared" si="62"/>
        <v>0</v>
      </c>
      <c r="Y178" s="215"/>
    </row>
    <row r="179" spans="1:25" ht="47.25" hidden="1" customHeight="1" x14ac:dyDescent="0.25">
      <c r="A179" s="101" t="s">
        <v>528</v>
      </c>
      <c r="B179" s="101" t="s">
        <v>410</v>
      </c>
      <c r="C179" s="7" t="s">
        <v>529</v>
      </c>
      <c r="D179" s="84">
        <f>'дод 2 '!E262</f>
        <v>0</v>
      </c>
      <c r="E179" s="84">
        <f>'дод 2 '!F262</f>
        <v>0</v>
      </c>
      <c r="F179" s="84">
        <f>'дод 2 '!G262</f>
        <v>0</v>
      </c>
      <c r="G179" s="220">
        <f>'дод 2 '!H262</f>
        <v>0</v>
      </c>
      <c r="H179" s="84">
        <f>'дод 2 '!I262</f>
        <v>0</v>
      </c>
      <c r="I179" s="84">
        <f>'дод 2 '!J262</f>
        <v>0</v>
      </c>
      <c r="J179" s="133" t="e">
        <f t="shared" si="60"/>
        <v>#DIV/0!</v>
      </c>
      <c r="K179" s="84">
        <f>'дод 2 '!L262</f>
        <v>0</v>
      </c>
      <c r="L179" s="84">
        <f>'дод 2 '!M262</f>
        <v>0</v>
      </c>
      <c r="M179" s="84">
        <f>'дод 2 '!N262</f>
        <v>0</v>
      </c>
      <c r="N179" s="84">
        <f>'дод 2 '!O262</f>
        <v>0</v>
      </c>
      <c r="O179" s="84">
        <f>'дод 2 '!P262</f>
        <v>0</v>
      </c>
      <c r="P179" s="84">
        <f>'дод 2 '!Q262</f>
        <v>0</v>
      </c>
      <c r="Q179" s="220">
        <f>'дод 2 '!R262</f>
        <v>0</v>
      </c>
      <c r="R179" s="220">
        <f>'дод 2 '!S262</f>
        <v>0</v>
      </c>
      <c r="S179" s="84">
        <f>'дод 2 '!T262</f>
        <v>0</v>
      </c>
      <c r="T179" s="84">
        <f>'дод 2 '!U262</f>
        <v>0</v>
      </c>
      <c r="U179" s="84">
        <f>'дод 2 '!V262</f>
        <v>0</v>
      </c>
      <c r="V179" s="84">
        <f>'дод 2 '!W262</f>
        <v>0</v>
      </c>
      <c r="W179" s="133" t="e">
        <f t="shared" si="61"/>
        <v>#DIV/0!</v>
      </c>
      <c r="X179" s="83">
        <f t="shared" si="62"/>
        <v>0</v>
      </c>
      <c r="Y179" s="215"/>
    </row>
    <row r="180" spans="1:25" ht="15.75" hidden="1" customHeight="1" x14ac:dyDescent="0.25">
      <c r="A180" s="101"/>
      <c r="B180" s="101"/>
      <c r="C180" s="7" t="s">
        <v>344</v>
      </c>
      <c r="D180" s="84">
        <f>'дод 2 '!E263</f>
        <v>0</v>
      </c>
      <c r="E180" s="84">
        <f>'дод 2 '!F263</f>
        <v>0</v>
      </c>
      <c r="F180" s="84">
        <f>'дод 2 '!G263</f>
        <v>0</v>
      </c>
      <c r="G180" s="220">
        <f>'дод 2 '!H263</f>
        <v>0</v>
      </c>
      <c r="H180" s="84">
        <f>'дод 2 '!I263</f>
        <v>0</v>
      </c>
      <c r="I180" s="84">
        <f>'дод 2 '!J263</f>
        <v>0</v>
      </c>
      <c r="J180" s="133" t="e">
        <f t="shared" si="60"/>
        <v>#DIV/0!</v>
      </c>
      <c r="K180" s="84">
        <f>'дод 2 '!L263</f>
        <v>0</v>
      </c>
      <c r="L180" s="84">
        <f>'дод 2 '!M263</f>
        <v>0</v>
      </c>
      <c r="M180" s="84">
        <f>'дод 2 '!N263</f>
        <v>0</v>
      </c>
      <c r="N180" s="84">
        <f>'дод 2 '!O263</f>
        <v>0</v>
      </c>
      <c r="O180" s="84">
        <f>'дод 2 '!P263</f>
        <v>0</v>
      </c>
      <c r="P180" s="84">
        <f>'дод 2 '!Q263</f>
        <v>0</v>
      </c>
      <c r="Q180" s="220">
        <f>'дод 2 '!R263</f>
        <v>0</v>
      </c>
      <c r="R180" s="220">
        <f>'дод 2 '!S263</f>
        <v>0</v>
      </c>
      <c r="S180" s="84">
        <f>'дод 2 '!T263</f>
        <v>0</v>
      </c>
      <c r="T180" s="84">
        <f>'дод 2 '!U263</f>
        <v>0</v>
      </c>
      <c r="U180" s="84">
        <f>'дод 2 '!V263</f>
        <v>0</v>
      </c>
      <c r="V180" s="84">
        <f>'дод 2 '!W263</f>
        <v>0</v>
      </c>
      <c r="W180" s="133" t="e">
        <f t="shared" si="61"/>
        <v>#DIV/0!</v>
      </c>
      <c r="X180" s="83">
        <f t="shared" si="62"/>
        <v>0</v>
      </c>
      <c r="Y180" s="215"/>
    </row>
    <row r="181" spans="1:25" s="11" customFormat="1" ht="28.5" customHeight="1" x14ac:dyDescent="0.25">
      <c r="A181" s="103" t="s">
        <v>311</v>
      </c>
      <c r="B181" s="105"/>
      <c r="C181" s="6" t="s">
        <v>312</v>
      </c>
      <c r="D181" s="83">
        <f>D182</f>
        <v>10063860</v>
      </c>
      <c r="E181" s="83">
        <f t="shared" ref="E181:V181" si="88">E182</f>
        <v>0</v>
      </c>
      <c r="F181" s="83">
        <f t="shared" si="88"/>
        <v>0</v>
      </c>
      <c r="G181" s="219">
        <f t="shared" si="88"/>
        <v>661527.02</v>
      </c>
      <c r="H181" s="83">
        <f t="shared" si="88"/>
        <v>0</v>
      </c>
      <c r="I181" s="83">
        <f t="shared" si="88"/>
        <v>0</v>
      </c>
      <c r="J181" s="133">
        <f t="shared" si="60"/>
        <v>6.5732931499444547</v>
      </c>
      <c r="K181" s="83">
        <f t="shared" si="88"/>
        <v>3787500</v>
      </c>
      <c r="L181" s="83">
        <f t="shared" si="88"/>
        <v>3787500</v>
      </c>
      <c r="M181" s="83">
        <f t="shared" si="88"/>
        <v>0</v>
      </c>
      <c r="N181" s="83">
        <f t="shared" si="88"/>
        <v>0</v>
      </c>
      <c r="O181" s="83">
        <f t="shared" si="88"/>
        <v>0</v>
      </c>
      <c r="P181" s="83">
        <f t="shared" si="88"/>
        <v>3787500</v>
      </c>
      <c r="Q181" s="219">
        <f t="shared" si="88"/>
        <v>0</v>
      </c>
      <c r="R181" s="219">
        <f t="shared" si="88"/>
        <v>0</v>
      </c>
      <c r="S181" s="83">
        <f t="shared" si="88"/>
        <v>0</v>
      </c>
      <c r="T181" s="83">
        <f t="shared" si="88"/>
        <v>0</v>
      </c>
      <c r="U181" s="83">
        <f t="shared" si="88"/>
        <v>0</v>
      </c>
      <c r="V181" s="83">
        <f t="shared" si="88"/>
        <v>0</v>
      </c>
      <c r="W181" s="133">
        <f t="shared" si="61"/>
        <v>0</v>
      </c>
      <c r="X181" s="83">
        <f t="shared" si="62"/>
        <v>661527.02</v>
      </c>
      <c r="Y181" s="215"/>
    </row>
    <row r="182" spans="1:25" ht="37.5" customHeight="1" x14ac:dyDescent="0.25">
      <c r="A182" s="104" t="s">
        <v>309</v>
      </c>
      <c r="B182" s="104" t="s">
        <v>310</v>
      </c>
      <c r="C182" s="18" t="s">
        <v>308</v>
      </c>
      <c r="D182" s="84">
        <f>'дод 2 '!E39</f>
        <v>10063860</v>
      </c>
      <c r="E182" s="84">
        <f>'дод 2 '!F39</f>
        <v>0</v>
      </c>
      <c r="F182" s="84">
        <f>'дод 2 '!G39</f>
        <v>0</v>
      </c>
      <c r="G182" s="220">
        <f>'дод 2 '!H39</f>
        <v>661527.02</v>
      </c>
      <c r="H182" s="84">
        <f>'дод 2 '!I39</f>
        <v>0</v>
      </c>
      <c r="I182" s="84">
        <f>'дод 2 '!J39</f>
        <v>0</v>
      </c>
      <c r="J182" s="134">
        <f t="shared" si="60"/>
        <v>6.5732931499444547</v>
      </c>
      <c r="K182" s="84">
        <f>'дод 2 '!L39</f>
        <v>3787500</v>
      </c>
      <c r="L182" s="84">
        <f>'дод 2 '!M39</f>
        <v>3787500</v>
      </c>
      <c r="M182" s="84">
        <f>'дод 2 '!N39</f>
        <v>0</v>
      </c>
      <c r="N182" s="84">
        <f>'дод 2 '!O39</f>
        <v>0</v>
      </c>
      <c r="O182" s="84">
        <f>'дод 2 '!P39</f>
        <v>0</v>
      </c>
      <c r="P182" s="84">
        <f>'дод 2 '!Q39</f>
        <v>3787500</v>
      </c>
      <c r="Q182" s="220">
        <f>'дод 2 '!R39</f>
        <v>0</v>
      </c>
      <c r="R182" s="220">
        <f>'дод 2 '!S39</f>
        <v>0</v>
      </c>
      <c r="S182" s="84">
        <f>'дод 2 '!T39</f>
        <v>0</v>
      </c>
      <c r="T182" s="84">
        <f>'дод 2 '!U39</f>
        <v>0</v>
      </c>
      <c r="U182" s="84">
        <f>'дод 2 '!V39</f>
        <v>0</v>
      </c>
      <c r="V182" s="84">
        <f>'дод 2 '!W39</f>
        <v>0</v>
      </c>
      <c r="W182" s="134">
        <f t="shared" si="61"/>
        <v>0</v>
      </c>
      <c r="X182" s="84">
        <f t="shared" si="62"/>
        <v>661527.02</v>
      </c>
      <c r="Y182" s="215"/>
    </row>
    <row r="183" spans="1:25" s="11" customFormat="1" ht="38.25" customHeight="1" x14ac:dyDescent="0.25">
      <c r="A183" s="102" t="s">
        <v>120</v>
      </c>
      <c r="B183" s="105"/>
      <c r="C183" s="6" t="s">
        <v>7</v>
      </c>
      <c r="D183" s="83">
        <f>D184+D185+D186+D187+D188+D189+D190+D191</f>
        <v>6746790</v>
      </c>
      <c r="E183" s="83">
        <f t="shared" ref="E183:P183" si="89">E184+E185+E186+E187+E188+E189+E190+E191</f>
        <v>37557</v>
      </c>
      <c r="F183" s="83">
        <f t="shared" si="89"/>
        <v>0</v>
      </c>
      <c r="G183" s="219">
        <f t="shared" ref="G183:I183" si="90">G184+G185+G186+G187+G188+G189+G190+G191</f>
        <v>466150.95999999996</v>
      </c>
      <c r="H183" s="83">
        <f t="shared" si="90"/>
        <v>0</v>
      </c>
      <c r="I183" s="83">
        <f t="shared" si="90"/>
        <v>0</v>
      </c>
      <c r="J183" s="133">
        <f t="shared" si="60"/>
        <v>6.9092258688946888</v>
      </c>
      <c r="K183" s="83">
        <f t="shared" si="89"/>
        <v>189117103.87</v>
      </c>
      <c r="L183" s="83">
        <f t="shared" ref="L183" si="91">L184+L185+L186+L187+L188+L189+L190+L191</f>
        <v>154973427</v>
      </c>
      <c r="M183" s="83">
        <f t="shared" si="89"/>
        <v>1301106.7499999998</v>
      </c>
      <c r="N183" s="83">
        <f t="shared" si="89"/>
        <v>0</v>
      </c>
      <c r="O183" s="83">
        <f t="shared" si="89"/>
        <v>0</v>
      </c>
      <c r="P183" s="83">
        <f t="shared" si="89"/>
        <v>187815997.12</v>
      </c>
      <c r="Q183" s="219">
        <f t="shared" ref="Q183:V183" si="92">Q184+Q185+Q186+Q187+Q188+Q189+Q190+Q191</f>
        <v>952573.64</v>
      </c>
      <c r="R183" s="219">
        <f t="shared" ref="R183" si="93">R184+R185+R186+R187+R188+R189+R190+R191</f>
        <v>928410.64</v>
      </c>
      <c r="S183" s="83">
        <f t="shared" si="92"/>
        <v>24163</v>
      </c>
      <c r="T183" s="83">
        <f t="shared" si="92"/>
        <v>0</v>
      </c>
      <c r="U183" s="83">
        <f t="shared" si="92"/>
        <v>0</v>
      </c>
      <c r="V183" s="83">
        <f t="shared" si="92"/>
        <v>928410.64</v>
      </c>
      <c r="W183" s="133">
        <f t="shared" si="61"/>
        <v>0.50369512884186485</v>
      </c>
      <c r="X183" s="83">
        <f t="shared" si="62"/>
        <v>1418724.6</v>
      </c>
      <c r="Y183" s="215"/>
    </row>
    <row r="184" spans="1:25" ht="24" customHeight="1" x14ac:dyDescent="0.25">
      <c r="A184" s="101" t="s">
        <v>8</v>
      </c>
      <c r="B184" s="101" t="s">
        <v>119</v>
      </c>
      <c r="C184" s="7" t="s">
        <v>39</v>
      </c>
      <c r="D184" s="84">
        <f>'дод 2 '!E40+'дод 2 '!E281</f>
        <v>422000</v>
      </c>
      <c r="E184" s="84">
        <f>'дод 2 '!F40+'дод 2 '!F281</f>
        <v>0</v>
      </c>
      <c r="F184" s="84">
        <f>'дод 2 '!G40+'дод 2 '!G281</f>
        <v>0</v>
      </c>
      <c r="G184" s="220">
        <f>'дод 2 '!H40+'дод 2 '!H281</f>
        <v>9085</v>
      </c>
      <c r="H184" s="84">
        <f>'дод 2 '!I40+'дод 2 '!I281</f>
        <v>0</v>
      </c>
      <c r="I184" s="84">
        <f>'дод 2 '!J40+'дод 2 '!J281</f>
        <v>0</v>
      </c>
      <c r="J184" s="134">
        <f t="shared" si="60"/>
        <v>2.1528436018957349</v>
      </c>
      <c r="K184" s="84">
        <f>'дод 2 '!L40+'дод 2 '!L281</f>
        <v>0</v>
      </c>
      <c r="L184" s="84">
        <f>'дод 2 '!M40+'дод 2 '!M281</f>
        <v>0</v>
      </c>
      <c r="M184" s="84">
        <f>'дод 2 '!N40+'дод 2 '!N281</f>
        <v>0</v>
      </c>
      <c r="N184" s="84">
        <f>'дод 2 '!O40+'дод 2 '!O281</f>
        <v>0</v>
      </c>
      <c r="O184" s="84">
        <f>'дод 2 '!P40+'дод 2 '!P281</f>
        <v>0</v>
      </c>
      <c r="P184" s="84">
        <f>'дод 2 '!Q40+'дод 2 '!Q281</f>
        <v>0</v>
      </c>
      <c r="Q184" s="220">
        <f>'дод 2 '!R40+'дод 2 '!R281</f>
        <v>0</v>
      </c>
      <c r="R184" s="220">
        <f>'дод 2 '!S40+'дод 2 '!S281</f>
        <v>0</v>
      </c>
      <c r="S184" s="84">
        <f>'дод 2 '!T40+'дод 2 '!T281</f>
        <v>0</v>
      </c>
      <c r="T184" s="84">
        <f>'дод 2 '!U40+'дод 2 '!U281</f>
        <v>0</v>
      </c>
      <c r="U184" s="84">
        <f>'дод 2 '!V40+'дод 2 '!V281</f>
        <v>0</v>
      </c>
      <c r="V184" s="84">
        <f>'дод 2 '!W40+'дод 2 '!W281</f>
        <v>0</v>
      </c>
      <c r="W184" s="134"/>
      <c r="X184" s="84">
        <f t="shared" si="62"/>
        <v>9085</v>
      </c>
      <c r="Y184" s="215"/>
    </row>
    <row r="185" spans="1:25" ht="24.75" customHeight="1" x14ac:dyDescent="0.25">
      <c r="A185" s="101" t="s">
        <v>3</v>
      </c>
      <c r="B185" s="101" t="s">
        <v>118</v>
      </c>
      <c r="C185" s="7" t="s">
        <v>55</v>
      </c>
      <c r="D185" s="84">
        <f>'дод 2 '!E41+'дод 2 '!E79+'дод 2 '!E108+'дод 2 '!E182+'дод 2 '!E205+'дод 2 '!E228+'дод 2 '!E264+'дод 2 '!E290</f>
        <v>2753000</v>
      </c>
      <c r="E185" s="84">
        <f>'дод 2 '!F41+'дод 2 '!F79+'дод 2 '!F108+'дод 2 '!F182+'дод 2 '!F205+'дод 2 '!F228+'дод 2 '!F264+'дод 2 '!F290</f>
        <v>0</v>
      </c>
      <c r="F185" s="84">
        <f>'дод 2 '!G41+'дод 2 '!G79+'дод 2 '!G108+'дод 2 '!G182+'дод 2 '!G205+'дод 2 '!G228+'дод 2 '!G264+'дод 2 '!G290</f>
        <v>0</v>
      </c>
      <c r="G185" s="220">
        <f>'дод 2 '!H41+'дод 2 '!H79+'дод 2 '!H108+'дод 2 '!H182+'дод 2 '!H205+'дод 2 '!H228+'дод 2 '!H264+'дод 2 '!H290</f>
        <v>303442.32999999996</v>
      </c>
      <c r="H185" s="84">
        <f>'дод 2 '!I41+'дод 2 '!I79+'дод 2 '!I108+'дод 2 '!I182+'дод 2 '!I205+'дод 2 '!I228+'дод 2 '!I264+'дод 2 '!I290</f>
        <v>0</v>
      </c>
      <c r="I185" s="84">
        <f>'дод 2 '!J41+'дод 2 '!J79+'дод 2 '!J108+'дод 2 '!J182+'дод 2 '!J205+'дод 2 '!J228+'дод 2 '!J264+'дод 2 '!J290</f>
        <v>0</v>
      </c>
      <c r="J185" s="134">
        <f t="shared" si="60"/>
        <v>11.022242281147838</v>
      </c>
      <c r="K185" s="84">
        <f>'дод 2 '!L41+'дод 2 '!L79+'дод 2 '!L108+'дод 2 '!L182+'дод 2 '!L205+'дод 2 '!L228+'дод 2 '!L264+'дод 2 '!L290</f>
        <v>123763680</v>
      </c>
      <c r="L185" s="84">
        <f>'дод 2 '!M41+'дод 2 '!M79+'дод 2 '!M108+'дод 2 '!M182+'дод 2 '!M205+'дод 2 '!M228+'дод 2 '!M264+'дод 2 '!M290</f>
        <v>92820227</v>
      </c>
      <c r="M185" s="84">
        <f>'дод 2 '!N41+'дод 2 '!N79+'дод 2 '!N108+'дод 2 '!N182+'дод 2 '!N205+'дод 2 '!N228+'дод 2 '!N264+'дод 2 '!N290</f>
        <v>0</v>
      </c>
      <c r="N185" s="84">
        <f>'дод 2 '!O41+'дод 2 '!O79+'дод 2 '!O108+'дод 2 '!O182+'дод 2 '!O205+'дод 2 '!O228+'дод 2 '!O264+'дод 2 '!O290</f>
        <v>0</v>
      </c>
      <c r="O185" s="84">
        <f>'дод 2 '!P41+'дод 2 '!P79+'дод 2 '!P108+'дод 2 '!P182+'дод 2 '!P205+'дод 2 '!P228+'дод 2 '!P264+'дод 2 '!P290</f>
        <v>0</v>
      </c>
      <c r="P185" s="84">
        <f>'дод 2 '!Q41+'дод 2 '!Q79+'дод 2 '!Q108+'дод 2 '!Q182+'дод 2 '!Q205+'дод 2 '!Q228+'дод 2 '!Q264+'дод 2 '!Q290</f>
        <v>123763680</v>
      </c>
      <c r="Q185" s="220">
        <f>'дод 2 '!R41+'дод 2 '!R79+'дод 2 '!R108+'дод 2 '!R182+'дод 2 '!R205+'дод 2 '!R228+'дод 2 '!R264+'дод 2 '!R290</f>
        <v>928410.64</v>
      </c>
      <c r="R185" s="220">
        <f>'дод 2 '!S41+'дод 2 '!S79+'дод 2 '!S108+'дод 2 '!S182+'дод 2 '!S205+'дод 2 '!S228+'дод 2 '!S264+'дод 2 '!S290</f>
        <v>928410.64</v>
      </c>
      <c r="S185" s="84">
        <f>'дод 2 '!T41+'дод 2 '!T79+'дод 2 '!T108+'дод 2 '!T182+'дод 2 '!T205+'дод 2 '!T228+'дод 2 '!T264+'дод 2 '!T290</f>
        <v>0</v>
      </c>
      <c r="T185" s="84">
        <f>'дод 2 '!U41+'дод 2 '!U79+'дод 2 '!U108+'дод 2 '!U182+'дод 2 '!U205+'дод 2 '!U228+'дод 2 '!U264+'дод 2 '!U290</f>
        <v>0</v>
      </c>
      <c r="U185" s="84">
        <f>'дод 2 '!V41+'дод 2 '!V79+'дод 2 '!V108+'дод 2 '!V182+'дод 2 '!V205+'дод 2 '!V228+'дод 2 '!V264+'дод 2 '!V290</f>
        <v>0</v>
      </c>
      <c r="V185" s="84">
        <f>'дод 2 '!W41+'дод 2 '!W79+'дод 2 '!W108+'дод 2 '!W182+'дод 2 '!W205+'дод 2 '!W228+'дод 2 '!W264+'дод 2 '!W290</f>
        <v>928410.64</v>
      </c>
      <c r="W185" s="134">
        <f t="shared" si="61"/>
        <v>0.75014789476201738</v>
      </c>
      <c r="X185" s="84">
        <f t="shared" si="62"/>
        <v>1231852.97</v>
      </c>
      <c r="Y185" s="215"/>
    </row>
    <row r="186" spans="1:25" ht="33.75" customHeight="1" x14ac:dyDescent="0.25">
      <c r="A186" s="101" t="s">
        <v>346</v>
      </c>
      <c r="B186" s="101" t="s">
        <v>113</v>
      </c>
      <c r="C186" s="7" t="s">
        <v>349</v>
      </c>
      <c r="D186" s="84">
        <f>'дод 2 '!E282</f>
        <v>0</v>
      </c>
      <c r="E186" s="84">
        <f>'дод 2 '!F282</f>
        <v>0</v>
      </c>
      <c r="F186" s="84">
        <f>'дод 2 '!G282</f>
        <v>0</v>
      </c>
      <c r="G186" s="220">
        <f>'дод 2 '!H282</f>
        <v>0</v>
      </c>
      <c r="H186" s="84">
        <f>'дод 2 '!I282</f>
        <v>0</v>
      </c>
      <c r="I186" s="84">
        <f>'дод 2 '!J282</f>
        <v>0</v>
      </c>
      <c r="J186" s="134"/>
      <c r="K186" s="84">
        <f>'дод 2 '!L282</f>
        <v>50000</v>
      </c>
      <c r="L186" s="84">
        <f>'дод 2 '!M282</f>
        <v>50000</v>
      </c>
      <c r="M186" s="84">
        <f>'дод 2 '!N282</f>
        <v>0</v>
      </c>
      <c r="N186" s="84">
        <f>'дод 2 '!O282</f>
        <v>0</v>
      </c>
      <c r="O186" s="84">
        <f>'дод 2 '!P282</f>
        <v>0</v>
      </c>
      <c r="P186" s="84">
        <f>'дод 2 '!Q282</f>
        <v>50000</v>
      </c>
      <c r="Q186" s="220">
        <f>'дод 2 '!R282</f>
        <v>0</v>
      </c>
      <c r="R186" s="220">
        <f>'дод 2 '!S282</f>
        <v>0</v>
      </c>
      <c r="S186" s="84">
        <f>'дод 2 '!T282</f>
        <v>0</v>
      </c>
      <c r="T186" s="84">
        <f>'дод 2 '!U282</f>
        <v>0</v>
      </c>
      <c r="U186" s="84">
        <f>'дод 2 '!V282</f>
        <v>0</v>
      </c>
      <c r="V186" s="84">
        <f>'дод 2 '!W282</f>
        <v>0</v>
      </c>
      <c r="W186" s="134">
        <f t="shared" si="61"/>
        <v>0</v>
      </c>
      <c r="X186" s="84">
        <f t="shared" si="62"/>
        <v>0</v>
      </c>
      <c r="Y186" s="215"/>
    </row>
    <row r="187" spans="1:25" ht="59.25" customHeight="1" x14ac:dyDescent="0.25">
      <c r="A187" s="101" t="s">
        <v>348</v>
      </c>
      <c r="B187" s="101" t="s">
        <v>113</v>
      </c>
      <c r="C187" s="7" t="s">
        <v>350</v>
      </c>
      <c r="D187" s="84">
        <f>'дод 2 '!E283</f>
        <v>0</v>
      </c>
      <c r="E187" s="84">
        <f>'дод 2 '!F283</f>
        <v>0</v>
      </c>
      <c r="F187" s="84">
        <f>'дод 2 '!G283</f>
        <v>0</v>
      </c>
      <c r="G187" s="220">
        <f>'дод 2 '!H283</f>
        <v>0</v>
      </c>
      <c r="H187" s="84">
        <f>'дод 2 '!I283</f>
        <v>0</v>
      </c>
      <c r="I187" s="84">
        <f>'дод 2 '!J283</f>
        <v>0</v>
      </c>
      <c r="J187" s="134"/>
      <c r="K187" s="84">
        <f>'дод 2 '!L283</f>
        <v>25000</v>
      </c>
      <c r="L187" s="84">
        <f>'дод 2 '!M283</f>
        <v>25000</v>
      </c>
      <c r="M187" s="84">
        <f>'дод 2 '!N283</f>
        <v>0</v>
      </c>
      <c r="N187" s="84">
        <f>'дод 2 '!O283</f>
        <v>0</v>
      </c>
      <c r="O187" s="84">
        <f>'дод 2 '!P283</f>
        <v>0</v>
      </c>
      <c r="P187" s="84">
        <f>'дод 2 '!Q283</f>
        <v>25000</v>
      </c>
      <c r="Q187" s="220">
        <f>'дод 2 '!R283</f>
        <v>0</v>
      </c>
      <c r="R187" s="220">
        <f>'дод 2 '!S283</f>
        <v>0</v>
      </c>
      <c r="S187" s="84">
        <f>'дод 2 '!T283</f>
        <v>0</v>
      </c>
      <c r="T187" s="84">
        <f>'дод 2 '!U283</f>
        <v>0</v>
      </c>
      <c r="U187" s="84">
        <f>'дод 2 '!V283</f>
        <v>0</v>
      </c>
      <c r="V187" s="84">
        <f>'дод 2 '!W283</f>
        <v>0</v>
      </c>
      <c r="W187" s="134">
        <f t="shared" si="61"/>
        <v>0</v>
      </c>
      <c r="X187" s="84">
        <f t="shared" si="62"/>
        <v>0</v>
      </c>
      <c r="Y187" s="215"/>
    </row>
    <row r="188" spans="1:25" ht="30.75" customHeight="1" x14ac:dyDescent="0.25">
      <c r="A188" s="101" t="s">
        <v>9</v>
      </c>
      <c r="B188" s="101" t="s">
        <v>113</v>
      </c>
      <c r="C188" s="7" t="s">
        <v>40</v>
      </c>
      <c r="D188" s="84">
        <f>'дод 2 '!E42+'дод 2 '!E229</f>
        <v>0</v>
      </c>
      <c r="E188" s="84">
        <f>'дод 2 '!F42+'дод 2 '!F229</f>
        <v>0</v>
      </c>
      <c r="F188" s="84">
        <f>'дод 2 '!G42+'дод 2 '!G229</f>
        <v>0</v>
      </c>
      <c r="G188" s="220">
        <f>'дод 2 '!H42+'дод 2 '!H229</f>
        <v>0</v>
      </c>
      <c r="H188" s="84">
        <f>'дод 2 '!I42+'дод 2 '!I229</f>
        <v>0</v>
      </c>
      <c r="I188" s="84">
        <f>'дод 2 '!J42+'дод 2 '!J229</f>
        <v>0</v>
      </c>
      <c r="J188" s="134"/>
      <c r="K188" s="84">
        <f>'дод 2 '!L42+'дод 2 '!L229</f>
        <v>62052300</v>
      </c>
      <c r="L188" s="84">
        <f>'дод 2 '!M42+'дод 2 '!M229</f>
        <v>62052300</v>
      </c>
      <c r="M188" s="84">
        <f>'дод 2 '!N42+'дод 2 '!N229</f>
        <v>0</v>
      </c>
      <c r="N188" s="84">
        <f>'дод 2 '!O42+'дод 2 '!O229</f>
        <v>0</v>
      </c>
      <c r="O188" s="84">
        <f>'дод 2 '!P42+'дод 2 '!P229</f>
        <v>0</v>
      </c>
      <c r="P188" s="84">
        <f>'дод 2 '!Q42+'дод 2 '!Q229</f>
        <v>62052300</v>
      </c>
      <c r="Q188" s="220">
        <f>'дод 2 '!R42+'дод 2 '!R229</f>
        <v>0</v>
      </c>
      <c r="R188" s="220">
        <f>'дод 2 '!S42+'дод 2 '!S229</f>
        <v>0</v>
      </c>
      <c r="S188" s="84">
        <f>'дод 2 '!T42+'дод 2 '!T229</f>
        <v>0</v>
      </c>
      <c r="T188" s="84">
        <f>'дод 2 '!U42+'дод 2 '!U229</f>
        <v>0</v>
      </c>
      <c r="U188" s="84">
        <f>'дод 2 '!V42+'дод 2 '!V229</f>
        <v>0</v>
      </c>
      <c r="V188" s="84">
        <f>'дод 2 '!W42+'дод 2 '!W229</f>
        <v>0</v>
      </c>
      <c r="W188" s="134">
        <f t="shared" si="61"/>
        <v>0</v>
      </c>
      <c r="X188" s="84">
        <f t="shared" si="62"/>
        <v>0</v>
      </c>
      <c r="Y188" s="215"/>
    </row>
    <row r="189" spans="1:25" ht="36.75" customHeight="1" x14ac:dyDescent="0.25">
      <c r="A189" s="101" t="s">
        <v>322</v>
      </c>
      <c r="B189" s="101" t="s">
        <v>113</v>
      </c>
      <c r="C189" s="7" t="s">
        <v>323</v>
      </c>
      <c r="D189" s="84">
        <f>'дод 2 '!E43</f>
        <v>243690</v>
      </c>
      <c r="E189" s="84">
        <f>'дод 2 '!F43</f>
        <v>0</v>
      </c>
      <c r="F189" s="84">
        <f>'дод 2 '!G43</f>
        <v>0</v>
      </c>
      <c r="G189" s="220">
        <f>'дод 2 '!H43</f>
        <v>39673</v>
      </c>
      <c r="H189" s="84">
        <f>'дод 2 '!I43</f>
        <v>0</v>
      </c>
      <c r="I189" s="84">
        <f>'дод 2 '!J43</f>
        <v>0</v>
      </c>
      <c r="J189" s="134">
        <f t="shared" si="60"/>
        <v>16.280109975788911</v>
      </c>
      <c r="K189" s="84">
        <f>'дод 2 '!L43</f>
        <v>0</v>
      </c>
      <c r="L189" s="84">
        <f>'дод 2 '!M43</f>
        <v>0</v>
      </c>
      <c r="M189" s="84">
        <f>'дод 2 '!N43</f>
        <v>0</v>
      </c>
      <c r="N189" s="84">
        <f>'дод 2 '!O43</f>
        <v>0</v>
      </c>
      <c r="O189" s="84">
        <f>'дод 2 '!P43</f>
        <v>0</v>
      </c>
      <c r="P189" s="84">
        <f>'дод 2 '!Q43</f>
        <v>0</v>
      </c>
      <c r="Q189" s="220">
        <f>'дод 2 '!R43</f>
        <v>0</v>
      </c>
      <c r="R189" s="220">
        <f>'дод 2 '!S43</f>
        <v>0</v>
      </c>
      <c r="S189" s="84">
        <f>'дод 2 '!T43</f>
        <v>0</v>
      </c>
      <c r="T189" s="84">
        <f>'дод 2 '!U43</f>
        <v>0</v>
      </c>
      <c r="U189" s="84">
        <f>'дод 2 '!V43</f>
        <v>0</v>
      </c>
      <c r="V189" s="84">
        <f>'дод 2 '!W43</f>
        <v>0</v>
      </c>
      <c r="W189" s="134"/>
      <c r="X189" s="84">
        <f t="shared" si="62"/>
        <v>39673</v>
      </c>
      <c r="Y189" s="214"/>
    </row>
    <row r="190" spans="1:25" s="5" customFormat="1" ht="122.25" customHeight="1" x14ac:dyDescent="0.25">
      <c r="A190" s="101" t="s">
        <v>388</v>
      </c>
      <c r="B190" s="101" t="s">
        <v>113</v>
      </c>
      <c r="C190" s="7" t="s">
        <v>415</v>
      </c>
      <c r="D190" s="84">
        <f>'дод 2 '!E44+'дод 2 '!E272+'дод 2 '!E265+'дод 2 '!E230</f>
        <v>0</v>
      </c>
      <c r="E190" s="84">
        <f>'дод 2 '!F44+'дод 2 '!F272+'дод 2 '!F265+'дод 2 '!F230</f>
        <v>0</v>
      </c>
      <c r="F190" s="84">
        <f>'дод 2 '!G44+'дод 2 '!G272+'дод 2 '!G265+'дод 2 '!G230</f>
        <v>0</v>
      </c>
      <c r="G190" s="220">
        <f>'дод 2 '!H44+'дод 2 '!H272+'дод 2 '!H265+'дод 2 '!H230</f>
        <v>0</v>
      </c>
      <c r="H190" s="84">
        <f>'дод 2 '!I44+'дод 2 '!I272+'дод 2 '!I265+'дод 2 '!I230</f>
        <v>0</v>
      </c>
      <c r="I190" s="84">
        <f>'дод 2 '!J44+'дод 2 '!J272+'дод 2 '!J265+'дод 2 '!J230</f>
        <v>0</v>
      </c>
      <c r="J190" s="134"/>
      <c r="K190" s="84">
        <f>'дод 2 '!L44+'дод 2 '!L272+'дод 2 '!L265+'дод 2 '!L230</f>
        <v>3200223.87</v>
      </c>
      <c r="L190" s="84">
        <f>'дод 2 '!M44+'дод 2 '!M272+'дод 2 '!M265+'дод 2 '!M230</f>
        <v>0</v>
      </c>
      <c r="M190" s="84">
        <f>'дод 2 '!N44+'дод 2 '!N272+'дод 2 '!N265+'дод 2 '!N230</f>
        <v>1301106.7499999998</v>
      </c>
      <c r="N190" s="84">
        <f>'дод 2 '!O44+'дод 2 '!O272+'дод 2 '!O265+'дод 2 '!O230</f>
        <v>0</v>
      </c>
      <c r="O190" s="84">
        <f>'дод 2 '!P44+'дод 2 '!P272+'дод 2 '!P265+'дод 2 '!P230</f>
        <v>0</v>
      </c>
      <c r="P190" s="84">
        <f>'дод 2 '!Q44+'дод 2 '!Q272+'дод 2 '!Q265+'дод 2 '!Q230</f>
        <v>1899117.12</v>
      </c>
      <c r="Q190" s="220">
        <f>'дод 2 '!R44+'дод 2 '!R272+'дод 2 '!R265+'дод 2 '!R230</f>
        <v>24163</v>
      </c>
      <c r="R190" s="220">
        <f>'дод 2 '!S44+'дод 2 '!S272+'дод 2 '!S265+'дод 2 '!S230</f>
        <v>0</v>
      </c>
      <c r="S190" s="84">
        <f>'дод 2 '!T44+'дод 2 '!T272+'дод 2 '!T265+'дод 2 '!T230</f>
        <v>24163</v>
      </c>
      <c r="T190" s="84">
        <f>'дод 2 '!U44+'дод 2 '!U272+'дод 2 '!U265+'дод 2 '!U230</f>
        <v>0</v>
      </c>
      <c r="U190" s="84">
        <f>'дод 2 '!V44+'дод 2 '!V272+'дод 2 '!V265+'дод 2 '!V230</f>
        <v>0</v>
      </c>
      <c r="V190" s="84">
        <f>'дод 2 '!W44+'дод 2 '!W272+'дод 2 '!W265+'дод 2 '!W230</f>
        <v>0</v>
      </c>
      <c r="W190" s="134">
        <f t="shared" si="61"/>
        <v>0.755040927808591</v>
      </c>
      <c r="X190" s="84">
        <f t="shared" si="62"/>
        <v>24163</v>
      </c>
      <c r="Y190" s="214"/>
    </row>
    <row r="191" spans="1:25" s="5" customFormat="1" ht="30.75" customHeight="1" x14ac:dyDescent="0.25">
      <c r="A191" s="101" t="s">
        <v>313</v>
      </c>
      <c r="B191" s="101" t="s">
        <v>113</v>
      </c>
      <c r="C191" s="7" t="s">
        <v>29</v>
      </c>
      <c r="D191" s="84">
        <f>'дод 2 '!E45+'дод 2 '!E284+'дод 2 '!E291</f>
        <v>3328100</v>
      </c>
      <c r="E191" s="84">
        <f>'дод 2 '!F45+'дод 2 '!F284+'дод 2 '!F291</f>
        <v>37557</v>
      </c>
      <c r="F191" s="84">
        <f>'дод 2 '!G45+'дод 2 '!G284+'дод 2 '!G291</f>
        <v>0</v>
      </c>
      <c r="G191" s="220">
        <f>'дод 2 '!H45+'дод 2 '!H284+'дод 2 '!H291</f>
        <v>113950.63</v>
      </c>
      <c r="H191" s="84">
        <f>'дод 2 '!I45+'дод 2 '!I284+'дод 2 '!I291</f>
        <v>0</v>
      </c>
      <c r="I191" s="84">
        <f>'дод 2 '!J45+'дод 2 '!J284+'дод 2 '!J291</f>
        <v>0</v>
      </c>
      <c r="J191" s="134">
        <f t="shared" si="60"/>
        <v>3.4238944142303418</v>
      </c>
      <c r="K191" s="84">
        <f>'дод 2 '!L45+'дод 2 '!L284+'дод 2 '!L291</f>
        <v>25900</v>
      </c>
      <c r="L191" s="84">
        <f>'дод 2 '!M45+'дод 2 '!M284+'дод 2 '!M291</f>
        <v>25900</v>
      </c>
      <c r="M191" s="84">
        <f>'дод 2 '!N45+'дод 2 '!N284+'дод 2 '!N291</f>
        <v>0</v>
      </c>
      <c r="N191" s="84">
        <f>'дод 2 '!O45+'дод 2 '!O284+'дод 2 '!O291</f>
        <v>0</v>
      </c>
      <c r="O191" s="84">
        <f>'дод 2 '!P45+'дод 2 '!P284+'дод 2 '!P291</f>
        <v>0</v>
      </c>
      <c r="P191" s="84">
        <f>'дод 2 '!Q45+'дод 2 '!Q284+'дод 2 '!Q291</f>
        <v>25900</v>
      </c>
      <c r="Q191" s="220">
        <f>'дод 2 '!R45+'дод 2 '!R284+'дод 2 '!R291</f>
        <v>0</v>
      </c>
      <c r="R191" s="220">
        <f>'дод 2 '!S45+'дод 2 '!S284+'дод 2 '!S291</f>
        <v>0</v>
      </c>
      <c r="S191" s="84">
        <f>'дод 2 '!T45+'дод 2 '!T284+'дод 2 '!T291</f>
        <v>0</v>
      </c>
      <c r="T191" s="84">
        <f>'дод 2 '!U45+'дод 2 '!U284+'дод 2 '!U291</f>
        <v>0</v>
      </c>
      <c r="U191" s="84">
        <f>'дод 2 '!V45+'дод 2 '!V284+'дод 2 '!V291</f>
        <v>0</v>
      </c>
      <c r="V191" s="84">
        <f>'дод 2 '!W45+'дод 2 '!W284+'дод 2 '!W291</f>
        <v>0</v>
      </c>
      <c r="W191" s="134">
        <f t="shared" si="61"/>
        <v>0</v>
      </c>
      <c r="X191" s="84">
        <f t="shared" si="62"/>
        <v>113950.63</v>
      </c>
      <c r="Y191" s="214"/>
    </row>
    <row r="192" spans="1:25" s="13" customFormat="1" ht="61.5" customHeight="1" x14ac:dyDescent="0.25">
      <c r="A192" s="102" t="s">
        <v>565</v>
      </c>
      <c r="B192" s="102"/>
      <c r="C192" s="6" t="s">
        <v>566</v>
      </c>
      <c r="D192" s="83">
        <f>D193</f>
        <v>0</v>
      </c>
      <c r="E192" s="83">
        <f t="shared" ref="E192:V192" si="94">E193</f>
        <v>0</v>
      </c>
      <c r="F192" s="83">
        <f t="shared" si="94"/>
        <v>0</v>
      </c>
      <c r="G192" s="219">
        <f t="shared" si="94"/>
        <v>0</v>
      </c>
      <c r="H192" s="83">
        <f t="shared" si="94"/>
        <v>0</v>
      </c>
      <c r="I192" s="83">
        <f t="shared" si="94"/>
        <v>0</v>
      </c>
      <c r="J192" s="133"/>
      <c r="K192" s="83">
        <f t="shared" si="94"/>
        <v>9592653.5800000001</v>
      </c>
      <c r="L192" s="83">
        <f t="shared" si="94"/>
        <v>0</v>
      </c>
      <c r="M192" s="83">
        <f t="shared" si="94"/>
        <v>0</v>
      </c>
      <c r="N192" s="83">
        <f t="shared" si="94"/>
        <v>0</v>
      </c>
      <c r="O192" s="83">
        <f t="shared" si="94"/>
        <v>0</v>
      </c>
      <c r="P192" s="83">
        <f t="shared" si="94"/>
        <v>9592653.5800000001</v>
      </c>
      <c r="Q192" s="219">
        <f t="shared" si="94"/>
        <v>0</v>
      </c>
      <c r="R192" s="219">
        <f t="shared" si="94"/>
        <v>0</v>
      </c>
      <c r="S192" s="83">
        <f t="shared" si="94"/>
        <v>0</v>
      </c>
      <c r="T192" s="83">
        <f t="shared" si="94"/>
        <v>0</v>
      </c>
      <c r="U192" s="83">
        <f t="shared" si="94"/>
        <v>0</v>
      </c>
      <c r="V192" s="83">
        <f t="shared" si="94"/>
        <v>0</v>
      </c>
      <c r="W192" s="133">
        <f t="shared" si="61"/>
        <v>0</v>
      </c>
      <c r="X192" s="83">
        <f t="shared" si="62"/>
        <v>0</v>
      </c>
      <c r="Y192" s="214"/>
    </row>
    <row r="193" spans="1:25" s="5" customFormat="1" ht="52.5" customHeight="1" x14ac:dyDescent="0.25">
      <c r="A193" s="101" t="s">
        <v>565</v>
      </c>
      <c r="B193" s="101" t="s">
        <v>126</v>
      </c>
      <c r="C193" s="7" t="s">
        <v>566</v>
      </c>
      <c r="D193" s="84">
        <f>'дод 2 '!E109</f>
        <v>0</v>
      </c>
      <c r="E193" s="84">
        <f>'дод 2 '!F109</f>
        <v>0</v>
      </c>
      <c r="F193" s="84">
        <f>'дод 2 '!G109</f>
        <v>0</v>
      </c>
      <c r="G193" s="220">
        <f>'дод 2 '!H109</f>
        <v>0</v>
      </c>
      <c r="H193" s="84">
        <f>'дод 2 '!I109</f>
        <v>0</v>
      </c>
      <c r="I193" s="84">
        <f>'дод 2 '!J109</f>
        <v>0</v>
      </c>
      <c r="J193" s="134"/>
      <c r="K193" s="84">
        <f>'дод 2 '!L109</f>
        <v>9592653.5800000001</v>
      </c>
      <c r="L193" s="84">
        <f>'дод 2 '!M109</f>
        <v>0</v>
      </c>
      <c r="M193" s="84">
        <f>'дод 2 '!N109</f>
        <v>0</v>
      </c>
      <c r="N193" s="84">
        <f>'дод 2 '!O109</f>
        <v>0</v>
      </c>
      <c r="O193" s="84">
        <f>'дод 2 '!P109</f>
        <v>0</v>
      </c>
      <c r="P193" s="84">
        <f>'дод 2 '!Q109</f>
        <v>9592653.5800000001</v>
      </c>
      <c r="Q193" s="220">
        <f>'дод 2 '!R109</f>
        <v>0</v>
      </c>
      <c r="R193" s="220">
        <f>'дод 2 '!S109</f>
        <v>0</v>
      </c>
      <c r="S193" s="84">
        <f>'дод 2 '!T109</f>
        <v>0</v>
      </c>
      <c r="T193" s="84">
        <f>'дод 2 '!U109</f>
        <v>0</v>
      </c>
      <c r="U193" s="84">
        <f>'дод 2 '!V109</f>
        <v>0</v>
      </c>
      <c r="V193" s="84">
        <f>'дод 2 '!W109</f>
        <v>0</v>
      </c>
      <c r="W193" s="134">
        <f t="shared" si="61"/>
        <v>0</v>
      </c>
      <c r="X193" s="84">
        <f t="shared" si="62"/>
        <v>0</v>
      </c>
      <c r="Y193" s="214"/>
    </row>
    <row r="194" spans="1:25" s="11" customFormat="1" ht="23.25" customHeight="1" x14ac:dyDescent="0.25">
      <c r="A194" s="102" t="s">
        <v>127</v>
      </c>
      <c r="B194" s="103"/>
      <c r="C194" s="6" t="s">
        <v>11</v>
      </c>
      <c r="D194" s="83">
        <f>D195+D198+D200+D203+D205+D206</f>
        <v>10238996.66</v>
      </c>
      <c r="E194" s="83">
        <f t="shared" ref="E194:P194" si="95">E195+E198+E200+E203+E205+E206</f>
        <v>1284610</v>
      </c>
      <c r="F194" s="83">
        <f t="shared" si="95"/>
        <v>363589</v>
      </c>
      <c r="G194" s="219">
        <f t="shared" ref="G194:I194" si="96">G195+G198+G200+G203+G205+G206</f>
        <v>574517.11</v>
      </c>
      <c r="H194" s="83">
        <f t="shared" si="96"/>
        <v>301388.14</v>
      </c>
      <c r="I194" s="83">
        <f t="shared" si="96"/>
        <v>102582.56</v>
      </c>
      <c r="J194" s="133">
        <f t="shared" si="60"/>
        <v>5.611068438418652</v>
      </c>
      <c r="K194" s="83">
        <f>K195+K198+K200+K203+K205+K206</f>
        <v>7753400</v>
      </c>
      <c r="L194" s="83">
        <f>L195+L198+L200+L203+L205+L206</f>
        <v>2007200</v>
      </c>
      <c r="M194" s="83">
        <f t="shared" si="95"/>
        <v>2700300</v>
      </c>
      <c r="N194" s="83">
        <f t="shared" si="95"/>
        <v>0</v>
      </c>
      <c r="O194" s="83">
        <f t="shared" si="95"/>
        <v>1400</v>
      </c>
      <c r="P194" s="83">
        <f t="shared" si="95"/>
        <v>5053100</v>
      </c>
      <c r="Q194" s="219">
        <f t="shared" ref="Q194:V194" si="97">Q195+Q198+Q200+Q203+Q205+Q206</f>
        <v>325694.59999999998</v>
      </c>
      <c r="R194" s="219">
        <f t="shared" ref="R194" si="98">R195+R198+R200+R203+R205+R206</f>
        <v>101653.98</v>
      </c>
      <c r="S194" s="83">
        <f t="shared" si="97"/>
        <v>224040.62</v>
      </c>
      <c r="T194" s="83">
        <f t="shared" si="97"/>
        <v>0</v>
      </c>
      <c r="U194" s="83">
        <f t="shared" si="97"/>
        <v>0</v>
      </c>
      <c r="V194" s="83">
        <f t="shared" si="97"/>
        <v>101653.98</v>
      </c>
      <c r="W194" s="133">
        <f t="shared" si="61"/>
        <v>4.2006680939974723</v>
      </c>
      <c r="X194" s="83">
        <f t="shared" si="62"/>
        <v>900211.71</v>
      </c>
      <c r="Y194" s="214"/>
    </row>
    <row r="195" spans="1:25" s="11" customFormat="1" ht="49.5" customHeight="1" x14ac:dyDescent="0.25">
      <c r="A195" s="102" t="s">
        <v>129</v>
      </c>
      <c r="B195" s="110"/>
      <c r="C195" s="6" t="s">
        <v>12</v>
      </c>
      <c r="D195" s="83">
        <f>D196+D197</f>
        <v>2173800</v>
      </c>
      <c r="E195" s="83">
        <f t="shared" ref="E195:P195" si="99">E196+E197</f>
        <v>1284610</v>
      </c>
      <c r="F195" s="83">
        <f t="shared" si="99"/>
        <v>93093</v>
      </c>
      <c r="G195" s="219">
        <f t="shared" ref="G195:I195" si="100">G196+G197</f>
        <v>449972.82</v>
      </c>
      <c r="H195" s="83">
        <f t="shared" si="100"/>
        <v>301388.14</v>
      </c>
      <c r="I195" s="83">
        <f t="shared" si="100"/>
        <v>14170.23</v>
      </c>
      <c r="J195" s="133">
        <f t="shared" si="60"/>
        <v>20.699826110957769</v>
      </c>
      <c r="K195" s="83">
        <f t="shared" si="99"/>
        <v>2012500</v>
      </c>
      <c r="L195" s="83">
        <f t="shared" ref="L195" si="101">L196+L197</f>
        <v>2007200</v>
      </c>
      <c r="M195" s="83">
        <f t="shared" si="99"/>
        <v>5300</v>
      </c>
      <c r="N195" s="83">
        <f t="shared" si="99"/>
        <v>0</v>
      </c>
      <c r="O195" s="83">
        <f t="shared" si="99"/>
        <v>1400</v>
      </c>
      <c r="P195" s="83">
        <f t="shared" si="99"/>
        <v>2007200</v>
      </c>
      <c r="Q195" s="219">
        <f t="shared" ref="Q195:V195" si="102">Q196+Q197</f>
        <v>103513.98</v>
      </c>
      <c r="R195" s="219">
        <f t="shared" ref="R195" si="103">R196+R197</f>
        <v>101653.98</v>
      </c>
      <c r="S195" s="83">
        <f t="shared" si="102"/>
        <v>1860</v>
      </c>
      <c r="T195" s="83">
        <f t="shared" si="102"/>
        <v>0</v>
      </c>
      <c r="U195" s="83">
        <f t="shared" si="102"/>
        <v>0</v>
      </c>
      <c r="V195" s="83">
        <f t="shared" si="102"/>
        <v>101653.98</v>
      </c>
      <c r="W195" s="133">
        <f t="shared" si="61"/>
        <v>5.1435518012422365</v>
      </c>
      <c r="X195" s="83">
        <f t="shared" si="62"/>
        <v>553486.80000000005</v>
      </c>
      <c r="Y195" s="214"/>
    </row>
    <row r="196" spans="1:25" s="11" customFormat="1" ht="36.75" customHeight="1" x14ac:dyDescent="0.25">
      <c r="A196" s="104" t="s">
        <v>13</v>
      </c>
      <c r="B196" s="104" t="s">
        <v>122</v>
      </c>
      <c r="C196" s="7" t="s">
        <v>389</v>
      </c>
      <c r="D196" s="84">
        <f>'дод 2 '!E46+'дод 2 '!E183</f>
        <v>450600</v>
      </c>
      <c r="E196" s="84">
        <f>'дод 2 '!F46+'дод 2 '!F183</f>
        <v>0</v>
      </c>
      <c r="F196" s="84">
        <f>'дод 2 '!G46+'дод 2 '!G183</f>
        <v>6500</v>
      </c>
      <c r="G196" s="220">
        <f>'дод 2 '!H46+'дод 2 '!H183</f>
        <v>63609.95</v>
      </c>
      <c r="H196" s="84">
        <f>'дод 2 '!I46+'дод 2 '!I183</f>
        <v>0</v>
      </c>
      <c r="I196" s="84">
        <f>'дод 2 '!J46+'дод 2 '!J183</f>
        <v>279</v>
      </c>
      <c r="J196" s="134">
        <f t="shared" si="60"/>
        <v>14.116722148246783</v>
      </c>
      <c r="K196" s="84">
        <f>'дод 2 '!L46+'дод 2 '!L183</f>
        <v>2007200</v>
      </c>
      <c r="L196" s="84">
        <f>'дод 2 '!M46+'дод 2 '!M183</f>
        <v>2007200</v>
      </c>
      <c r="M196" s="84">
        <f>'дод 2 '!N46+'дод 2 '!N183</f>
        <v>0</v>
      </c>
      <c r="N196" s="84">
        <f>'дод 2 '!O46+'дод 2 '!O183</f>
        <v>0</v>
      </c>
      <c r="O196" s="84">
        <f>'дод 2 '!P46+'дод 2 '!P183</f>
        <v>0</v>
      </c>
      <c r="P196" s="84">
        <f>'дод 2 '!Q46+'дод 2 '!Q183</f>
        <v>2007200</v>
      </c>
      <c r="Q196" s="220">
        <f>'дод 2 '!R46+'дод 2 '!R183</f>
        <v>101653.98</v>
      </c>
      <c r="R196" s="220">
        <f>'дод 2 '!S46+'дод 2 '!S183</f>
        <v>101653.98</v>
      </c>
      <c r="S196" s="84">
        <f>'дод 2 '!T46+'дод 2 '!T183</f>
        <v>0</v>
      </c>
      <c r="T196" s="84">
        <f>'дод 2 '!U46+'дод 2 '!U183</f>
        <v>0</v>
      </c>
      <c r="U196" s="84">
        <f>'дод 2 '!V46+'дод 2 '!V183</f>
        <v>0</v>
      </c>
      <c r="V196" s="84">
        <f>'дод 2 '!W46+'дод 2 '!W183</f>
        <v>101653.98</v>
      </c>
      <c r="W196" s="134">
        <f t="shared" si="61"/>
        <v>5.064466919091271</v>
      </c>
      <c r="X196" s="84">
        <f t="shared" si="62"/>
        <v>165263.93</v>
      </c>
      <c r="Y196" s="214"/>
    </row>
    <row r="197" spans="1:25" ht="24.75" customHeight="1" x14ac:dyDescent="0.25">
      <c r="A197" s="101" t="s">
        <v>201</v>
      </c>
      <c r="B197" s="106" t="s">
        <v>122</v>
      </c>
      <c r="C197" s="7" t="s">
        <v>14</v>
      </c>
      <c r="D197" s="84">
        <f>'дод 2 '!E47</f>
        <v>1723200</v>
      </c>
      <c r="E197" s="84">
        <f>'дод 2 '!F47</f>
        <v>1284610</v>
      </c>
      <c r="F197" s="84">
        <f>'дод 2 '!G47</f>
        <v>86593</v>
      </c>
      <c r="G197" s="220">
        <f>'дод 2 '!H47</f>
        <v>386362.87</v>
      </c>
      <c r="H197" s="84">
        <f>'дод 2 '!I47</f>
        <v>301388.14</v>
      </c>
      <c r="I197" s="84">
        <f>'дод 2 '!J47</f>
        <v>13891.23</v>
      </c>
      <c r="J197" s="134">
        <f t="shared" si="60"/>
        <v>22.421243616527388</v>
      </c>
      <c r="K197" s="84">
        <f>'дод 2 '!L47</f>
        <v>5300</v>
      </c>
      <c r="L197" s="84">
        <f>'дод 2 '!M47</f>
        <v>0</v>
      </c>
      <c r="M197" s="84">
        <f>'дод 2 '!N47</f>
        <v>5300</v>
      </c>
      <c r="N197" s="84">
        <f>'дод 2 '!O47</f>
        <v>0</v>
      </c>
      <c r="O197" s="84">
        <f>'дод 2 '!P47</f>
        <v>1400</v>
      </c>
      <c r="P197" s="84">
        <f>'дод 2 '!Q47</f>
        <v>0</v>
      </c>
      <c r="Q197" s="220">
        <f>'дод 2 '!R47</f>
        <v>1860</v>
      </c>
      <c r="R197" s="220">
        <f>'дод 2 '!S47</f>
        <v>0</v>
      </c>
      <c r="S197" s="84">
        <f>'дод 2 '!T47</f>
        <v>1860</v>
      </c>
      <c r="T197" s="84">
        <f>'дод 2 '!U47</f>
        <v>0</v>
      </c>
      <c r="U197" s="84">
        <f>'дод 2 '!V47</f>
        <v>0</v>
      </c>
      <c r="V197" s="84">
        <f>'дод 2 '!W47</f>
        <v>0</v>
      </c>
      <c r="W197" s="134">
        <f t="shared" si="61"/>
        <v>35.094339622641506</v>
      </c>
      <c r="X197" s="84">
        <f t="shared" si="62"/>
        <v>388222.87</v>
      </c>
      <c r="Y197" s="214"/>
    </row>
    <row r="198" spans="1:25" s="11" customFormat="1" ht="30" customHeight="1" x14ac:dyDescent="0.25">
      <c r="A198" s="102" t="s">
        <v>324</v>
      </c>
      <c r="B198" s="102"/>
      <c r="C198" s="19" t="s">
        <v>325</v>
      </c>
      <c r="D198" s="83">
        <f>D199</f>
        <v>819800</v>
      </c>
      <c r="E198" s="83">
        <f t="shared" ref="E198:V198" si="104">E199</f>
        <v>0</v>
      </c>
      <c r="F198" s="83">
        <f t="shared" si="104"/>
        <v>270496</v>
      </c>
      <c r="G198" s="219">
        <f t="shared" si="104"/>
        <v>92198.64</v>
      </c>
      <c r="H198" s="83">
        <f t="shared" si="104"/>
        <v>0</v>
      </c>
      <c r="I198" s="83">
        <f t="shared" si="104"/>
        <v>88412.33</v>
      </c>
      <c r="J198" s="134">
        <f t="shared" si="60"/>
        <v>11.246479629177848</v>
      </c>
      <c r="K198" s="83">
        <f t="shared" si="104"/>
        <v>0</v>
      </c>
      <c r="L198" s="83">
        <f t="shared" si="104"/>
        <v>0</v>
      </c>
      <c r="M198" s="83">
        <f t="shared" si="104"/>
        <v>0</v>
      </c>
      <c r="N198" s="83">
        <f t="shared" si="104"/>
        <v>0</v>
      </c>
      <c r="O198" s="83">
        <f t="shared" si="104"/>
        <v>0</v>
      </c>
      <c r="P198" s="83">
        <f t="shared" si="104"/>
        <v>0</v>
      </c>
      <c r="Q198" s="219">
        <f t="shared" si="104"/>
        <v>0</v>
      </c>
      <c r="R198" s="219">
        <f t="shared" si="104"/>
        <v>0</v>
      </c>
      <c r="S198" s="83">
        <f t="shared" si="104"/>
        <v>0</v>
      </c>
      <c r="T198" s="83">
        <f t="shared" si="104"/>
        <v>0</v>
      </c>
      <c r="U198" s="83">
        <f t="shared" si="104"/>
        <v>0</v>
      </c>
      <c r="V198" s="83">
        <f t="shared" si="104"/>
        <v>0</v>
      </c>
      <c r="W198" s="134"/>
      <c r="X198" s="84">
        <f t="shared" si="62"/>
        <v>92198.64</v>
      </c>
      <c r="Y198" s="214"/>
    </row>
    <row r="199" spans="1:25" ht="30" customHeight="1" x14ac:dyDescent="0.25">
      <c r="A199" s="101" t="s">
        <v>318</v>
      </c>
      <c r="B199" s="106" t="s">
        <v>319</v>
      </c>
      <c r="C199" s="7" t="s">
        <v>320</v>
      </c>
      <c r="D199" s="84">
        <f>'дод 2 '!E48</f>
        <v>819800</v>
      </c>
      <c r="E199" s="84">
        <f>'дод 2 '!F48</f>
        <v>0</v>
      </c>
      <c r="F199" s="84">
        <f>'дод 2 '!G48</f>
        <v>270496</v>
      </c>
      <c r="G199" s="220">
        <f>'дод 2 '!H48</f>
        <v>92198.64</v>
      </c>
      <c r="H199" s="84">
        <f>'дод 2 '!I48</f>
        <v>0</v>
      </c>
      <c r="I199" s="84">
        <f>'дод 2 '!J48</f>
        <v>88412.33</v>
      </c>
      <c r="J199" s="134">
        <f t="shared" si="60"/>
        <v>11.246479629177848</v>
      </c>
      <c r="K199" s="84">
        <f>'дод 2 '!L48</f>
        <v>0</v>
      </c>
      <c r="L199" s="84">
        <f>'дод 2 '!M48</f>
        <v>0</v>
      </c>
      <c r="M199" s="84">
        <f>'дод 2 '!N48</f>
        <v>0</v>
      </c>
      <c r="N199" s="84">
        <f>'дод 2 '!O48</f>
        <v>0</v>
      </c>
      <c r="O199" s="84">
        <f>'дод 2 '!P48</f>
        <v>0</v>
      </c>
      <c r="P199" s="84">
        <f>'дод 2 '!Q48</f>
        <v>0</v>
      </c>
      <c r="Q199" s="220">
        <f>'дод 2 '!R48</f>
        <v>0</v>
      </c>
      <c r="R199" s="220">
        <f>'дод 2 '!S48</f>
        <v>0</v>
      </c>
      <c r="S199" s="84">
        <f>'дод 2 '!T48</f>
        <v>0</v>
      </c>
      <c r="T199" s="84">
        <f>'дод 2 '!U48</f>
        <v>0</v>
      </c>
      <c r="U199" s="84">
        <f>'дод 2 '!V48</f>
        <v>0</v>
      </c>
      <c r="V199" s="84">
        <f>'дод 2 '!W48</f>
        <v>0</v>
      </c>
      <c r="W199" s="134"/>
      <c r="X199" s="84">
        <f t="shared" si="62"/>
        <v>92198.64</v>
      </c>
      <c r="Y199" s="214"/>
    </row>
    <row r="200" spans="1:25" s="11" customFormat="1" ht="22.5" customHeight="1" x14ac:dyDescent="0.25">
      <c r="A200" s="102" t="s">
        <v>10</v>
      </c>
      <c r="B200" s="103"/>
      <c r="C200" s="6" t="s">
        <v>15</v>
      </c>
      <c r="D200" s="83">
        <f>D201+D202</f>
        <v>0</v>
      </c>
      <c r="E200" s="83">
        <f t="shared" ref="E200:P200" si="105">E201+E202</f>
        <v>0</v>
      </c>
      <c r="F200" s="83">
        <f t="shared" si="105"/>
        <v>0</v>
      </c>
      <c r="G200" s="219">
        <f t="shared" ref="G200:I200" si="106">G201+G202</f>
        <v>0</v>
      </c>
      <c r="H200" s="83">
        <f t="shared" si="106"/>
        <v>0</v>
      </c>
      <c r="I200" s="83">
        <f t="shared" si="106"/>
        <v>0</v>
      </c>
      <c r="J200" s="133"/>
      <c r="K200" s="83">
        <f t="shared" si="105"/>
        <v>5740900</v>
      </c>
      <c r="L200" s="83">
        <f t="shared" ref="L200" si="107">L201+L202</f>
        <v>0</v>
      </c>
      <c r="M200" s="83">
        <f t="shared" si="105"/>
        <v>2695000</v>
      </c>
      <c r="N200" s="83">
        <f t="shared" si="105"/>
        <v>0</v>
      </c>
      <c r="O200" s="83">
        <f t="shared" si="105"/>
        <v>0</v>
      </c>
      <c r="P200" s="83">
        <f t="shared" si="105"/>
        <v>3045900</v>
      </c>
      <c r="Q200" s="219">
        <f t="shared" ref="Q200:V200" si="108">Q201+Q202</f>
        <v>222180.62</v>
      </c>
      <c r="R200" s="219">
        <f t="shared" ref="R200" si="109">R201+R202</f>
        <v>0</v>
      </c>
      <c r="S200" s="83">
        <f t="shared" si="108"/>
        <v>222180.62</v>
      </c>
      <c r="T200" s="83">
        <f t="shared" si="108"/>
        <v>0</v>
      </c>
      <c r="U200" s="83">
        <f t="shared" si="108"/>
        <v>0</v>
      </c>
      <c r="V200" s="83">
        <f t="shared" si="108"/>
        <v>0</v>
      </c>
      <c r="W200" s="133">
        <f t="shared" si="61"/>
        <v>3.8701356930098068</v>
      </c>
      <c r="X200" s="83">
        <f t="shared" si="62"/>
        <v>222180.62</v>
      </c>
      <c r="Y200" s="214"/>
    </row>
    <row r="201" spans="1:25" s="11" customFormat="1" ht="15.75" hidden="1" customHeight="1" x14ac:dyDescent="0.25">
      <c r="A201" s="101" t="s">
        <v>16</v>
      </c>
      <c r="B201" s="101" t="s">
        <v>121</v>
      </c>
      <c r="C201" s="7" t="s">
        <v>30</v>
      </c>
      <c r="D201" s="84">
        <f>'дод 2 '!E231</f>
        <v>0</v>
      </c>
      <c r="E201" s="84">
        <f>'дод 2 '!F231</f>
        <v>0</v>
      </c>
      <c r="F201" s="84">
        <f>'дод 2 '!G231</f>
        <v>0</v>
      </c>
      <c r="G201" s="220">
        <f>'дод 2 '!H231</f>
        <v>0</v>
      </c>
      <c r="H201" s="84">
        <f>'дод 2 '!I231</f>
        <v>0</v>
      </c>
      <c r="I201" s="84">
        <f>'дод 2 '!J231</f>
        <v>0</v>
      </c>
      <c r="J201" s="133" t="e">
        <f t="shared" si="60"/>
        <v>#DIV/0!</v>
      </c>
      <c r="K201" s="84">
        <f>'дод 2 '!L231</f>
        <v>0</v>
      </c>
      <c r="L201" s="84">
        <f>'дод 2 '!M231</f>
        <v>0</v>
      </c>
      <c r="M201" s="84">
        <f>'дод 2 '!N231</f>
        <v>0</v>
      </c>
      <c r="N201" s="84">
        <f>'дод 2 '!O231</f>
        <v>0</v>
      </c>
      <c r="O201" s="84">
        <f>'дод 2 '!P231</f>
        <v>0</v>
      </c>
      <c r="P201" s="84">
        <f>'дод 2 '!Q231</f>
        <v>0</v>
      </c>
      <c r="Q201" s="220">
        <f>'дод 2 '!R231</f>
        <v>0</v>
      </c>
      <c r="R201" s="220">
        <f>'дод 2 '!S231</f>
        <v>0</v>
      </c>
      <c r="S201" s="84">
        <f>'дод 2 '!T231</f>
        <v>0</v>
      </c>
      <c r="T201" s="84">
        <f>'дод 2 '!U231</f>
        <v>0</v>
      </c>
      <c r="U201" s="84">
        <f>'дод 2 '!V231</f>
        <v>0</v>
      </c>
      <c r="V201" s="84">
        <f>'дод 2 '!W231</f>
        <v>0</v>
      </c>
      <c r="W201" s="133" t="e">
        <f t="shared" si="61"/>
        <v>#DIV/0!</v>
      </c>
      <c r="X201" s="83">
        <f t="shared" si="62"/>
        <v>0</v>
      </c>
      <c r="Y201" s="214"/>
    </row>
    <row r="202" spans="1:25" s="11" customFormat="1" ht="37.5" customHeight="1" x14ac:dyDescent="0.25">
      <c r="A202" s="101" t="s">
        <v>17</v>
      </c>
      <c r="B202" s="101" t="s">
        <v>125</v>
      </c>
      <c r="C202" s="7" t="s">
        <v>18</v>
      </c>
      <c r="D202" s="84">
        <f>'дод 2 '!E49+'дод 2 '!E80+'дод 2 '!E110+'дод 2 '!E232+'дод 2 '!E292</f>
        <v>0</v>
      </c>
      <c r="E202" s="84">
        <f>'дод 2 '!F49+'дод 2 '!F80+'дод 2 '!F110+'дод 2 '!F232+'дод 2 '!F292</f>
        <v>0</v>
      </c>
      <c r="F202" s="84">
        <f>'дод 2 '!G49+'дод 2 '!G80+'дод 2 '!G110+'дод 2 '!G232+'дод 2 '!G292</f>
        <v>0</v>
      </c>
      <c r="G202" s="220">
        <f>'дод 2 '!H49+'дод 2 '!H80+'дод 2 '!H110+'дод 2 '!H232+'дод 2 '!H292</f>
        <v>0</v>
      </c>
      <c r="H202" s="84">
        <f>'дод 2 '!I49+'дод 2 '!I80+'дод 2 '!I110+'дод 2 '!I232+'дод 2 '!I292</f>
        <v>0</v>
      </c>
      <c r="I202" s="84">
        <f>'дод 2 '!J49+'дод 2 '!J80+'дод 2 '!J110+'дод 2 '!J232+'дод 2 '!J292</f>
        <v>0</v>
      </c>
      <c r="J202" s="134"/>
      <c r="K202" s="84">
        <f>'дод 2 '!L49+'дод 2 '!L80+'дод 2 '!L110+'дод 2 '!L232+'дод 2 '!L292</f>
        <v>5740900</v>
      </c>
      <c r="L202" s="84">
        <f>'дод 2 '!M49+'дод 2 '!M80+'дод 2 '!M110+'дод 2 '!M232+'дод 2 '!M292</f>
        <v>0</v>
      </c>
      <c r="M202" s="84">
        <f>'дод 2 '!N49+'дод 2 '!N80+'дод 2 '!N110+'дод 2 '!N232+'дод 2 '!N292</f>
        <v>2695000</v>
      </c>
      <c r="N202" s="84">
        <f>'дод 2 '!O49+'дод 2 '!O80+'дод 2 '!O110+'дод 2 '!O232+'дод 2 '!O292</f>
        <v>0</v>
      </c>
      <c r="O202" s="84">
        <f>'дод 2 '!P49+'дод 2 '!P80+'дод 2 '!P110+'дод 2 '!P232+'дод 2 '!P292</f>
        <v>0</v>
      </c>
      <c r="P202" s="84">
        <f>'дод 2 '!Q49+'дод 2 '!Q80+'дод 2 '!Q110+'дод 2 '!Q232+'дод 2 '!Q292</f>
        <v>3045900</v>
      </c>
      <c r="Q202" s="220">
        <f>'дод 2 '!R49+'дод 2 '!R80+'дод 2 '!R110+'дод 2 '!R232+'дод 2 '!R292</f>
        <v>222180.62</v>
      </c>
      <c r="R202" s="220">
        <f>'дод 2 '!S49+'дод 2 '!S80+'дод 2 '!S110+'дод 2 '!S232+'дод 2 '!S292</f>
        <v>0</v>
      </c>
      <c r="S202" s="84">
        <f>'дод 2 '!T49+'дод 2 '!T80+'дод 2 '!T110+'дод 2 '!T232+'дод 2 '!T292</f>
        <v>222180.62</v>
      </c>
      <c r="T202" s="84">
        <f>'дод 2 '!U49+'дод 2 '!U80+'дод 2 '!U110+'дод 2 '!U232+'дод 2 '!U292</f>
        <v>0</v>
      </c>
      <c r="U202" s="84">
        <f>'дод 2 '!V49+'дод 2 '!V80+'дод 2 '!V110+'дод 2 '!V232+'дод 2 '!V292</f>
        <v>0</v>
      </c>
      <c r="V202" s="84">
        <f>'дод 2 '!W49+'дод 2 '!W80+'дод 2 '!W110+'дод 2 '!W232+'дод 2 '!W292</f>
        <v>0</v>
      </c>
      <c r="W202" s="134">
        <f t="shared" si="61"/>
        <v>3.8701356930098068</v>
      </c>
      <c r="X202" s="84">
        <f t="shared" si="62"/>
        <v>222180.62</v>
      </c>
      <c r="Y202" s="214"/>
    </row>
    <row r="203" spans="1:25" s="11" customFormat="1" ht="26.25" customHeight="1" x14ac:dyDescent="0.25">
      <c r="A203" s="102" t="s">
        <v>178</v>
      </c>
      <c r="B203" s="103"/>
      <c r="C203" s="6" t="s">
        <v>106</v>
      </c>
      <c r="D203" s="83">
        <f>D204</f>
        <v>193000</v>
      </c>
      <c r="E203" s="83">
        <f t="shared" ref="E203:V203" si="110">E204</f>
        <v>0</v>
      </c>
      <c r="F203" s="83">
        <f t="shared" si="110"/>
        <v>0</v>
      </c>
      <c r="G203" s="219">
        <f t="shared" si="110"/>
        <v>0</v>
      </c>
      <c r="H203" s="83">
        <f t="shared" si="110"/>
        <v>0</v>
      </c>
      <c r="I203" s="83">
        <f t="shared" si="110"/>
        <v>0</v>
      </c>
      <c r="J203" s="133">
        <f t="shared" si="60"/>
        <v>0</v>
      </c>
      <c r="K203" s="83">
        <f t="shared" si="110"/>
        <v>0</v>
      </c>
      <c r="L203" s="83">
        <f t="shared" si="110"/>
        <v>0</v>
      </c>
      <c r="M203" s="83">
        <f t="shared" si="110"/>
        <v>0</v>
      </c>
      <c r="N203" s="83">
        <f t="shared" si="110"/>
        <v>0</v>
      </c>
      <c r="O203" s="83">
        <f t="shared" si="110"/>
        <v>0</v>
      </c>
      <c r="P203" s="83">
        <f t="shared" si="110"/>
        <v>0</v>
      </c>
      <c r="Q203" s="219">
        <f t="shared" si="110"/>
        <v>0</v>
      </c>
      <c r="R203" s="219">
        <f t="shared" si="110"/>
        <v>0</v>
      </c>
      <c r="S203" s="83">
        <f t="shared" si="110"/>
        <v>0</v>
      </c>
      <c r="T203" s="83">
        <f t="shared" si="110"/>
        <v>0</v>
      </c>
      <c r="U203" s="83">
        <f t="shared" si="110"/>
        <v>0</v>
      </c>
      <c r="V203" s="83">
        <f t="shared" si="110"/>
        <v>0</v>
      </c>
      <c r="W203" s="133"/>
      <c r="X203" s="83">
        <f t="shared" si="62"/>
        <v>0</v>
      </c>
      <c r="Y203" s="214"/>
    </row>
    <row r="204" spans="1:25" s="11" customFormat="1" ht="25.5" customHeight="1" x14ac:dyDescent="0.25">
      <c r="A204" s="101" t="s">
        <v>329</v>
      </c>
      <c r="B204" s="106" t="s">
        <v>107</v>
      </c>
      <c r="C204" s="7" t="s">
        <v>330</v>
      </c>
      <c r="D204" s="84">
        <f>'дод 2 '!E50</f>
        <v>193000</v>
      </c>
      <c r="E204" s="84">
        <f>'дод 2 '!F50</f>
        <v>0</v>
      </c>
      <c r="F204" s="84">
        <f>'дод 2 '!G50</f>
        <v>0</v>
      </c>
      <c r="G204" s="220">
        <f>'дод 2 '!H50</f>
        <v>0</v>
      </c>
      <c r="H204" s="84">
        <f>'дод 2 '!I50</f>
        <v>0</v>
      </c>
      <c r="I204" s="84">
        <f>'дод 2 '!J50</f>
        <v>0</v>
      </c>
      <c r="J204" s="134">
        <f t="shared" si="60"/>
        <v>0</v>
      </c>
      <c r="K204" s="84">
        <f>'дод 2 '!L50</f>
        <v>0</v>
      </c>
      <c r="L204" s="84">
        <f>'дод 2 '!M50</f>
        <v>0</v>
      </c>
      <c r="M204" s="84">
        <f>'дод 2 '!N50</f>
        <v>0</v>
      </c>
      <c r="N204" s="84">
        <f>'дод 2 '!O50</f>
        <v>0</v>
      </c>
      <c r="O204" s="84">
        <f>'дод 2 '!P50</f>
        <v>0</v>
      </c>
      <c r="P204" s="84">
        <f>'дод 2 '!Q50</f>
        <v>0</v>
      </c>
      <c r="Q204" s="220">
        <f>'дод 2 '!R50</f>
        <v>0</v>
      </c>
      <c r="R204" s="220">
        <f>'дод 2 '!S50</f>
        <v>0</v>
      </c>
      <c r="S204" s="84">
        <f>'дод 2 '!T50</f>
        <v>0</v>
      </c>
      <c r="T204" s="84">
        <f>'дод 2 '!U50</f>
        <v>0</v>
      </c>
      <c r="U204" s="84">
        <f>'дод 2 '!V50</f>
        <v>0</v>
      </c>
      <c r="V204" s="84">
        <f>'дод 2 '!W50</f>
        <v>0</v>
      </c>
      <c r="W204" s="134"/>
      <c r="X204" s="84">
        <f t="shared" si="62"/>
        <v>0</v>
      </c>
      <c r="Y204" s="214"/>
    </row>
    <row r="205" spans="1:25" s="11" customFormat="1" ht="26.25" customHeight="1" x14ac:dyDescent="0.25">
      <c r="A205" s="102" t="s">
        <v>128</v>
      </c>
      <c r="B205" s="102" t="s">
        <v>123</v>
      </c>
      <c r="C205" s="6" t="s">
        <v>19</v>
      </c>
      <c r="D205" s="83">
        <f>'дод 2 '!E293</f>
        <v>186527.66</v>
      </c>
      <c r="E205" s="83">
        <f>'дод 2 '!F293</f>
        <v>0</v>
      </c>
      <c r="F205" s="83">
        <f>'дод 2 '!G293</f>
        <v>0</v>
      </c>
      <c r="G205" s="219">
        <f>'дод 2 '!H293</f>
        <v>32345.65</v>
      </c>
      <c r="H205" s="83">
        <f>'дод 2 '!I293</f>
        <v>0</v>
      </c>
      <c r="I205" s="83">
        <f>'дод 2 '!J293</f>
        <v>0</v>
      </c>
      <c r="J205" s="133">
        <f t="shared" si="60"/>
        <v>17.340940212298808</v>
      </c>
      <c r="K205" s="83">
        <f>'дод 2 '!L293</f>
        <v>0</v>
      </c>
      <c r="L205" s="83">
        <f>'дод 2 '!M293</f>
        <v>0</v>
      </c>
      <c r="M205" s="83">
        <f>'дод 2 '!N293</f>
        <v>0</v>
      </c>
      <c r="N205" s="83">
        <f>'дод 2 '!O293</f>
        <v>0</v>
      </c>
      <c r="O205" s="83">
        <f>'дод 2 '!P293</f>
        <v>0</v>
      </c>
      <c r="P205" s="83">
        <f>'дод 2 '!Q293</f>
        <v>0</v>
      </c>
      <c r="Q205" s="219">
        <f>'дод 2 '!R293</f>
        <v>0</v>
      </c>
      <c r="R205" s="219">
        <f>'дод 2 '!S293</f>
        <v>0</v>
      </c>
      <c r="S205" s="83">
        <f>'дод 2 '!T293</f>
        <v>0</v>
      </c>
      <c r="T205" s="83">
        <f>'дод 2 '!U293</f>
        <v>0</v>
      </c>
      <c r="U205" s="83">
        <f>'дод 2 '!V293</f>
        <v>0</v>
      </c>
      <c r="V205" s="83">
        <f>'дод 2 '!W293</f>
        <v>0</v>
      </c>
      <c r="W205" s="133"/>
      <c r="X205" s="83">
        <f t="shared" si="62"/>
        <v>32345.65</v>
      </c>
      <c r="Y205" s="214"/>
    </row>
    <row r="206" spans="1:25" s="11" customFormat="1" ht="26.25" customHeight="1" x14ac:dyDescent="0.25">
      <c r="A206" s="102" t="s">
        <v>20</v>
      </c>
      <c r="B206" s="102" t="s">
        <v>126</v>
      </c>
      <c r="C206" s="6" t="s">
        <v>33</v>
      </c>
      <c r="D206" s="83">
        <f>'дод 2 '!E294</f>
        <v>6865869</v>
      </c>
      <c r="E206" s="83">
        <f>'дод 2 '!F294</f>
        <v>0</v>
      </c>
      <c r="F206" s="83">
        <f>'дод 2 '!G294</f>
        <v>0</v>
      </c>
      <c r="G206" s="219">
        <f>'дод 2 '!H294</f>
        <v>0</v>
      </c>
      <c r="H206" s="83">
        <f>'дод 2 '!I294</f>
        <v>0</v>
      </c>
      <c r="I206" s="83">
        <f>'дод 2 '!J294</f>
        <v>0</v>
      </c>
      <c r="J206" s="133">
        <f t="shared" si="60"/>
        <v>0</v>
      </c>
      <c r="K206" s="83">
        <f>'дод 2 '!L294</f>
        <v>0</v>
      </c>
      <c r="L206" s="83">
        <f>'дод 2 '!M294</f>
        <v>0</v>
      </c>
      <c r="M206" s="83">
        <f>'дод 2 '!N294</f>
        <v>0</v>
      </c>
      <c r="N206" s="83">
        <f>'дод 2 '!O294</f>
        <v>0</v>
      </c>
      <c r="O206" s="83">
        <f>'дод 2 '!P294</f>
        <v>0</v>
      </c>
      <c r="P206" s="83">
        <f>'дод 2 '!Q294</f>
        <v>0</v>
      </c>
      <c r="Q206" s="219">
        <f>'дод 2 '!R294</f>
        <v>0</v>
      </c>
      <c r="R206" s="219">
        <f>'дод 2 '!S294</f>
        <v>0</v>
      </c>
      <c r="S206" s="83">
        <f>'дод 2 '!T294</f>
        <v>0</v>
      </c>
      <c r="T206" s="83">
        <f>'дод 2 '!U294</f>
        <v>0</v>
      </c>
      <c r="U206" s="83">
        <f>'дод 2 '!V294</f>
        <v>0</v>
      </c>
      <c r="V206" s="83">
        <f>'дод 2 '!W294</f>
        <v>0</v>
      </c>
      <c r="W206" s="133"/>
      <c r="X206" s="83">
        <f t="shared" si="62"/>
        <v>0</v>
      </c>
      <c r="Y206" s="214"/>
    </row>
    <row r="207" spans="1:25" s="11" customFormat="1" ht="27.75" customHeight="1" x14ac:dyDescent="0.25">
      <c r="A207" s="102" t="s">
        <v>21</v>
      </c>
      <c r="B207" s="102"/>
      <c r="C207" s="6" t="s">
        <v>144</v>
      </c>
      <c r="D207" s="83">
        <f>D209+D211+D219+D221</f>
        <v>112302202</v>
      </c>
      <c r="E207" s="83">
        <f t="shared" ref="E207:P207" si="111">E209+E211+E219+E221</f>
        <v>0</v>
      </c>
      <c r="F207" s="83">
        <f t="shared" si="111"/>
        <v>0</v>
      </c>
      <c r="G207" s="219">
        <f t="shared" ref="G207:I207" si="112">G209+G211+G219+G221</f>
        <v>27974700</v>
      </c>
      <c r="H207" s="83">
        <f t="shared" si="112"/>
        <v>0</v>
      </c>
      <c r="I207" s="83">
        <f t="shared" si="112"/>
        <v>0</v>
      </c>
      <c r="J207" s="133">
        <f t="shared" si="60"/>
        <v>24.910197219463249</v>
      </c>
      <c r="K207" s="83">
        <f t="shared" si="111"/>
        <v>8492500</v>
      </c>
      <c r="L207" s="83">
        <f t="shared" ref="L207" si="113">L209+L211+L219+L221</f>
        <v>8492500</v>
      </c>
      <c r="M207" s="83">
        <f t="shared" si="111"/>
        <v>0</v>
      </c>
      <c r="N207" s="83">
        <f t="shared" si="111"/>
        <v>0</v>
      </c>
      <c r="O207" s="83">
        <f t="shared" si="111"/>
        <v>0</v>
      </c>
      <c r="P207" s="83">
        <f t="shared" si="111"/>
        <v>8492500</v>
      </c>
      <c r="Q207" s="219">
        <f t="shared" ref="Q207:V207" si="114">Q209+Q211+Q219+Q221</f>
        <v>0</v>
      </c>
      <c r="R207" s="219">
        <f t="shared" ref="R207" si="115">R209+R211+R219+R221</f>
        <v>0</v>
      </c>
      <c r="S207" s="83">
        <f t="shared" si="114"/>
        <v>0</v>
      </c>
      <c r="T207" s="83">
        <f t="shared" si="114"/>
        <v>0</v>
      </c>
      <c r="U207" s="83">
        <f t="shared" si="114"/>
        <v>0</v>
      </c>
      <c r="V207" s="83">
        <f t="shared" si="114"/>
        <v>0</v>
      </c>
      <c r="W207" s="133">
        <f t="shared" si="61"/>
        <v>0</v>
      </c>
      <c r="X207" s="83">
        <f t="shared" si="62"/>
        <v>27974700</v>
      </c>
      <c r="Y207" s="214"/>
    </row>
    <row r="208" spans="1:25" s="11" customFormat="1" ht="15.75" hidden="1" customHeight="1" x14ac:dyDescent="0.25">
      <c r="A208" s="102"/>
      <c r="B208" s="102"/>
      <c r="C208" s="6" t="s">
        <v>344</v>
      </c>
      <c r="D208" s="83">
        <f>D212</f>
        <v>230000</v>
      </c>
      <c r="E208" s="83">
        <f t="shared" ref="E208:P208" si="116">E212</f>
        <v>0</v>
      </c>
      <c r="F208" s="83">
        <f t="shared" si="116"/>
        <v>0</v>
      </c>
      <c r="G208" s="219">
        <f t="shared" ref="G208:I208" si="117">G212</f>
        <v>0</v>
      </c>
      <c r="H208" s="83">
        <f t="shared" si="117"/>
        <v>0</v>
      </c>
      <c r="I208" s="83">
        <f t="shared" si="117"/>
        <v>0</v>
      </c>
      <c r="J208" s="133">
        <f t="shared" ref="J208:J224" si="118">SUM(G208/D208)*100</f>
        <v>0</v>
      </c>
      <c r="K208" s="83">
        <f t="shared" si="116"/>
        <v>0</v>
      </c>
      <c r="L208" s="83">
        <f t="shared" ref="L208" si="119">L212</f>
        <v>0</v>
      </c>
      <c r="M208" s="83">
        <f t="shared" si="116"/>
        <v>0</v>
      </c>
      <c r="N208" s="83">
        <f t="shared" si="116"/>
        <v>0</v>
      </c>
      <c r="O208" s="83">
        <f t="shared" si="116"/>
        <v>0</v>
      </c>
      <c r="P208" s="83">
        <f t="shared" si="116"/>
        <v>0</v>
      </c>
      <c r="Q208" s="219">
        <f t="shared" ref="Q208:V208" si="120">Q212</f>
        <v>0</v>
      </c>
      <c r="R208" s="219">
        <f t="shared" ref="R208" si="121">R212</f>
        <v>0</v>
      </c>
      <c r="S208" s="83">
        <f t="shared" si="120"/>
        <v>0</v>
      </c>
      <c r="T208" s="83">
        <f t="shared" si="120"/>
        <v>0</v>
      </c>
      <c r="U208" s="83">
        <f t="shared" si="120"/>
        <v>0</v>
      </c>
      <c r="V208" s="83">
        <f t="shared" si="120"/>
        <v>0</v>
      </c>
      <c r="W208" s="133" t="e">
        <f t="shared" ref="W208:W224" si="122">SUM(Q208/K208)*100</f>
        <v>#DIV/0!</v>
      </c>
      <c r="X208" s="83">
        <f t="shared" ref="X208:X224" si="123">SUM(Q208+G208)</f>
        <v>0</v>
      </c>
      <c r="Y208" s="214"/>
    </row>
    <row r="209" spans="1:25" s="11" customFormat="1" ht="27.75" customHeight="1" x14ac:dyDescent="0.25">
      <c r="A209" s="102" t="s">
        <v>327</v>
      </c>
      <c r="B209" s="102"/>
      <c r="C209" s="6" t="s">
        <v>390</v>
      </c>
      <c r="D209" s="83">
        <f>D210</f>
        <v>111090200</v>
      </c>
      <c r="E209" s="83">
        <f t="shared" ref="E209:V209" si="124">E210</f>
        <v>0</v>
      </c>
      <c r="F209" s="83">
        <f t="shared" si="124"/>
        <v>0</v>
      </c>
      <c r="G209" s="219">
        <f t="shared" si="124"/>
        <v>27772500</v>
      </c>
      <c r="H209" s="83">
        <f t="shared" si="124"/>
        <v>0</v>
      </c>
      <c r="I209" s="83">
        <f t="shared" si="124"/>
        <v>0</v>
      </c>
      <c r="J209" s="133">
        <f t="shared" si="118"/>
        <v>24.999954991529407</v>
      </c>
      <c r="K209" s="83">
        <f t="shared" si="124"/>
        <v>0</v>
      </c>
      <c r="L209" s="83">
        <f t="shared" si="124"/>
        <v>0</v>
      </c>
      <c r="M209" s="83">
        <f t="shared" si="124"/>
        <v>0</v>
      </c>
      <c r="N209" s="83">
        <f t="shared" si="124"/>
        <v>0</v>
      </c>
      <c r="O209" s="83">
        <f t="shared" si="124"/>
        <v>0</v>
      </c>
      <c r="P209" s="83">
        <f t="shared" si="124"/>
        <v>0</v>
      </c>
      <c r="Q209" s="219">
        <f t="shared" si="124"/>
        <v>0</v>
      </c>
      <c r="R209" s="219">
        <f t="shared" si="124"/>
        <v>0</v>
      </c>
      <c r="S209" s="83">
        <f t="shared" si="124"/>
        <v>0</v>
      </c>
      <c r="T209" s="83">
        <f t="shared" si="124"/>
        <v>0</v>
      </c>
      <c r="U209" s="83">
        <f t="shared" si="124"/>
        <v>0</v>
      </c>
      <c r="V209" s="83">
        <f t="shared" si="124"/>
        <v>0</v>
      </c>
      <c r="W209" s="133"/>
      <c r="X209" s="83">
        <f t="shared" si="123"/>
        <v>27772500</v>
      </c>
      <c r="Y209" s="214"/>
    </row>
    <row r="210" spans="1:25" s="11" customFormat="1" ht="21.75" customHeight="1" x14ac:dyDescent="0.25">
      <c r="A210" s="101" t="s">
        <v>124</v>
      </c>
      <c r="B210" s="106" t="s">
        <v>69</v>
      </c>
      <c r="C210" s="7" t="s">
        <v>143</v>
      </c>
      <c r="D210" s="84">
        <f>'дод 2 '!E295</f>
        <v>111090200</v>
      </c>
      <c r="E210" s="84">
        <f>'дод 2 '!F295</f>
        <v>0</v>
      </c>
      <c r="F210" s="84">
        <f>'дод 2 '!G295</f>
        <v>0</v>
      </c>
      <c r="G210" s="220">
        <f>'дод 2 '!H295</f>
        <v>27772500</v>
      </c>
      <c r="H210" s="84">
        <f>'дод 2 '!I295</f>
        <v>0</v>
      </c>
      <c r="I210" s="84">
        <f>'дод 2 '!J295</f>
        <v>0</v>
      </c>
      <c r="J210" s="134">
        <f t="shared" si="118"/>
        <v>24.999954991529407</v>
      </c>
      <c r="K210" s="84">
        <f>'дод 2 '!L295</f>
        <v>0</v>
      </c>
      <c r="L210" s="84">
        <f>'дод 2 '!M295</f>
        <v>0</v>
      </c>
      <c r="M210" s="84">
        <f>'дод 2 '!N295</f>
        <v>0</v>
      </c>
      <c r="N210" s="84">
        <f>'дод 2 '!O295</f>
        <v>0</v>
      </c>
      <c r="O210" s="84">
        <f>'дод 2 '!P295</f>
        <v>0</v>
      </c>
      <c r="P210" s="84">
        <f>'дод 2 '!Q295</f>
        <v>0</v>
      </c>
      <c r="Q210" s="220">
        <f>'дод 2 '!R295</f>
        <v>0</v>
      </c>
      <c r="R210" s="220">
        <f>'дод 2 '!S295</f>
        <v>0</v>
      </c>
      <c r="S210" s="84">
        <f>'дод 2 '!T295</f>
        <v>0</v>
      </c>
      <c r="T210" s="84">
        <f>'дод 2 '!U295</f>
        <v>0</v>
      </c>
      <c r="U210" s="84">
        <f>'дод 2 '!V295</f>
        <v>0</v>
      </c>
      <c r="V210" s="84">
        <f>'дод 2 '!W295</f>
        <v>0</v>
      </c>
      <c r="W210" s="134"/>
      <c r="X210" s="84">
        <f t="shared" si="123"/>
        <v>27772500</v>
      </c>
      <c r="Y210" s="214"/>
    </row>
    <row r="211" spans="1:25" s="11" customFormat="1" ht="60.75" customHeight="1" x14ac:dyDescent="0.25">
      <c r="A211" s="102" t="s">
        <v>535</v>
      </c>
      <c r="B211" s="106"/>
      <c r="C211" s="127" t="s">
        <v>536</v>
      </c>
      <c r="D211" s="83">
        <f>D213+D215+D217</f>
        <v>230000</v>
      </c>
      <c r="E211" s="83">
        <f t="shared" ref="E211:P211" si="125">E213+E215+E217</f>
        <v>0</v>
      </c>
      <c r="F211" s="83">
        <f t="shared" si="125"/>
        <v>0</v>
      </c>
      <c r="G211" s="219">
        <f t="shared" ref="G211:I211" si="126">G213+G215+G217</f>
        <v>0</v>
      </c>
      <c r="H211" s="83">
        <f t="shared" si="126"/>
        <v>0</v>
      </c>
      <c r="I211" s="83">
        <f t="shared" si="126"/>
        <v>0</v>
      </c>
      <c r="J211" s="133">
        <f t="shared" si="118"/>
        <v>0</v>
      </c>
      <c r="K211" s="83">
        <f t="shared" si="125"/>
        <v>0</v>
      </c>
      <c r="L211" s="83">
        <f t="shared" ref="L211" si="127">L213+L215+L217</f>
        <v>0</v>
      </c>
      <c r="M211" s="83">
        <f t="shared" si="125"/>
        <v>0</v>
      </c>
      <c r="N211" s="83">
        <f t="shared" si="125"/>
        <v>0</v>
      </c>
      <c r="O211" s="83">
        <f t="shared" si="125"/>
        <v>0</v>
      </c>
      <c r="P211" s="83">
        <f t="shared" si="125"/>
        <v>0</v>
      </c>
      <c r="Q211" s="219">
        <f t="shared" ref="Q211:V211" si="128">Q213+Q215+Q217</f>
        <v>0</v>
      </c>
      <c r="R211" s="219">
        <f t="shared" ref="R211" si="129">R213+R215+R217</f>
        <v>0</v>
      </c>
      <c r="S211" s="83">
        <f t="shared" si="128"/>
        <v>0</v>
      </c>
      <c r="T211" s="83">
        <f t="shared" si="128"/>
        <v>0</v>
      </c>
      <c r="U211" s="83">
        <f t="shared" si="128"/>
        <v>0</v>
      </c>
      <c r="V211" s="83">
        <f t="shared" si="128"/>
        <v>0</v>
      </c>
      <c r="W211" s="133"/>
      <c r="X211" s="83">
        <f t="shared" si="123"/>
        <v>0</v>
      </c>
      <c r="Y211" s="214"/>
    </row>
    <row r="212" spans="1:25" s="13" customFormat="1" x14ac:dyDescent="0.25">
      <c r="A212" s="102"/>
      <c r="B212" s="103"/>
      <c r="C212" s="6" t="s">
        <v>344</v>
      </c>
      <c r="D212" s="83">
        <f>D214+D216+D218</f>
        <v>230000</v>
      </c>
      <c r="E212" s="83">
        <f t="shared" ref="E212:P212" si="130">E214+E216+E218</f>
        <v>0</v>
      </c>
      <c r="F212" s="83">
        <f t="shared" si="130"/>
        <v>0</v>
      </c>
      <c r="G212" s="219">
        <f t="shared" ref="G212:I212" si="131">G214+G216+G218</f>
        <v>0</v>
      </c>
      <c r="H212" s="83">
        <f t="shared" si="131"/>
        <v>0</v>
      </c>
      <c r="I212" s="83">
        <f t="shared" si="131"/>
        <v>0</v>
      </c>
      <c r="J212" s="133">
        <f t="shared" si="118"/>
        <v>0</v>
      </c>
      <c r="K212" s="83">
        <f t="shared" si="130"/>
        <v>0</v>
      </c>
      <c r="L212" s="83">
        <f t="shared" ref="L212" si="132">L214+L216+L218</f>
        <v>0</v>
      </c>
      <c r="M212" s="83">
        <f t="shared" si="130"/>
        <v>0</v>
      </c>
      <c r="N212" s="83">
        <f t="shared" si="130"/>
        <v>0</v>
      </c>
      <c r="O212" s="83">
        <f t="shared" si="130"/>
        <v>0</v>
      </c>
      <c r="P212" s="83">
        <f t="shared" si="130"/>
        <v>0</v>
      </c>
      <c r="Q212" s="219">
        <f t="shared" ref="Q212:V212" si="133">Q214+Q216+Q218</f>
        <v>0</v>
      </c>
      <c r="R212" s="219">
        <f t="shared" ref="R212" si="134">R214+R216+R218</f>
        <v>0</v>
      </c>
      <c r="S212" s="83">
        <f t="shared" si="133"/>
        <v>0</v>
      </c>
      <c r="T212" s="83">
        <f t="shared" si="133"/>
        <v>0</v>
      </c>
      <c r="U212" s="83">
        <f t="shared" si="133"/>
        <v>0</v>
      </c>
      <c r="V212" s="83">
        <f t="shared" si="133"/>
        <v>0</v>
      </c>
      <c r="W212" s="133"/>
      <c r="X212" s="83">
        <f t="shared" si="123"/>
        <v>0</v>
      </c>
      <c r="Y212" s="214"/>
    </row>
    <row r="213" spans="1:25" s="11" customFormat="1" ht="94.5" hidden="1" customHeight="1" x14ac:dyDescent="0.25">
      <c r="A213" s="101" t="s">
        <v>534</v>
      </c>
      <c r="B213" s="106" t="s">
        <v>69</v>
      </c>
      <c r="C213" s="128" t="s">
        <v>533</v>
      </c>
      <c r="D213" s="84">
        <f>'дод 2 '!E296</f>
        <v>0</v>
      </c>
      <c r="E213" s="84">
        <f>'дод 2 '!F296</f>
        <v>0</v>
      </c>
      <c r="F213" s="84">
        <f>'дод 2 '!G296</f>
        <v>0</v>
      </c>
      <c r="G213" s="220">
        <f>'дод 2 '!H296</f>
        <v>0</v>
      </c>
      <c r="H213" s="84">
        <f>'дод 2 '!I296</f>
        <v>0</v>
      </c>
      <c r="I213" s="84">
        <f>'дод 2 '!J296</f>
        <v>0</v>
      </c>
      <c r="J213" s="133" t="e">
        <f t="shared" si="118"/>
        <v>#DIV/0!</v>
      </c>
      <c r="K213" s="84">
        <f>'дод 2 '!L296</f>
        <v>0</v>
      </c>
      <c r="L213" s="84">
        <f>'дод 2 '!M296</f>
        <v>0</v>
      </c>
      <c r="M213" s="84">
        <f>'дод 2 '!N296</f>
        <v>0</v>
      </c>
      <c r="N213" s="84">
        <f>'дод 2 '!O296</f>
        <v>0</v>
      </c>
      <c r="O213" s="84">
        <f>'дод 2 '!P296</f>
        <v>0</v>
      </c>
      <c r="P213" s="84">
        <f>'дод 2 '!Q296</f>
        <v>0</v>
      </c>
      <c r="Q213" s="220">
        <f>'дод 2 '!R296</f>
        <v>0</v>
      </c>
      <c r="R213" s="220">
        <f>'дод 2 '!S296</f>
        <v>0</v>
      </c>
      <c r="S213" s="84">
        <f>'дод 2 '!T296</f>
        <v>0</v>
      </c>
      <c r="T213" s="84">
        <f>'дод 2 '!U296</f>
        <v>0</v>
      </c>
      <c r="U213" s="84">
        <f>'дод 2 '!V296</f>
        <v>0</v>
      </c>
      <c r="V213" s="84">
        <f>'дод 2 '!W296</f>
        <v>0</v>
      </c>
      <c r="W213" s="133" t="e">
        <f t="shared" si="122"/>
        <v>#DIV/0!</v>
      </c>
      <c r="X213" s="83">
        <f t="shared" si="123"/>
        <v>0</v>
      </c>
      <c r="Y213" s="214"/>
    </row>
    <row r="214" spans="1:25" s="11" customFormat="1" ht="3" hidden="1" customHeight="1" x14ac:dyDescent="0.25">
      <c r="A214" s="101"/>
      <c r="B214" s="106"/>
      <c r="C214" s="6" t="s">
        <v>344</v>
      </c>
      <c r="D214" s="84">
        <f>'дод 2 '!E297</f>
        <v>0</v>
      </c>
      <c r="E214" s="84">
        <f>'дод 2 '!F297</f>
        <v>0</v>
      </c>
      <c r="F214" s="84">
        <f>'дод 2 '!G297</f>
        <v>0</v>
      </c>
      <c r="G214" s="220">
        <f>'дод 2 '!H297</f>
        <v>0</v>
      </c>
      <c r="H214" s="84">
        <f>'дод 2 '!I297</f>
        <v>0</v>
      </c>
      <c r="I214" s="84">
        <f>'дод 2 '!J297</f>
        <v>0</v>
      </c>
      <c r="J214" s="133" t="e">
        <f t="shared" si="118"/>
        <v>#DIV/0!</v>
      </c>
      <c r="K214" s="84">
        <f>'дод 2 '!L297</f>
        <v>0</v>
      </c>
      <c r="L214" s="84">
        <f>'дод 2 '!M297</f>
        <v>0</v>
      </c>
      <c r="M214" s="84">
        <f>'дод 2 '!N297</f>
        <v>0</v>
      </c>
      <c r="N214" s="84">
        <f>'дод 2 '!O297</f>
        <v>0</v>
      </c>
      <c r="O214" s="84">
        <f>'дод 2 '!P297</f>
        <v>0</v>
      </c>
      <c r="P214" s="84">
        <f>'дод 2 '!Q297</f>
        <v>0</v>
      </c>
      <c r="Q214" s="220">
        <f>'дод 2 '!R297</f>
        <v>0</v>
      </c>
      <c r="R214" s="220">
        <f>'дод 2 '!S297</f>
        <v>0</v>
      </c>
      <c r="S214" s="84">
        <f>'дод 2 '!T297</f>
        <v>0</v>
      </c>
      <c r="T214" s="84">
        <f>'дод 2 '!U297</f>
        <v>0</v>
      </c>
      <c r="U214" s="84">
        <f>'дод 2 '!V297</f>
        <v>0</v>
      </c>
      <c r="V214" s="84">
        <f>'дод 2 '!W297</f>
        <v>0</v>
      </c>
      <c r="W214" s="133" t="e">
        <f t="shared" si="122"/>
        <v>#DIV/0!</v>
      </c>
      <c r="X214" s="83">
        <f t="shared" si="123"/>
        <v>0</v>
      </c>
      <c r="Y214" s="214"/>
    </row>
    <row r="215" spans="1:25" s="11" customFormat="1" ht="66.75" customHeight="1" x14ac:dyDescent="0.25">
      <c r="A215" s="101" t="s">
        <v>573</v>
      </c>
      <c r="B215" s="106" t="s">
        <v>69</v>
      </c>
      <c r="C215" s="88" t="s">
        <v>574</v>
      </c>
      <c r="D215" s="84">
        <f>SUM('дод 2 '!E111)</f>
        <v>169000</v>
      </c>
      <c r="E215" s="84">
        <f>SUM('дод 2 '!F111)</f>
        <v>0</v>
      </c>
      <c r="F215" s="84">
        <f>SUM('дод 2 '!G111)</f>
        <v>0</v>
      </c>
      <c r="G215" s="220">
        <f>SUM('дод 2 '!H111)</f>
        <v>0</v>
      </c>
      <c r="H215" s="84">
        <f>SUM('дод 2 '!I111)</f>
        <v>0</v>
      </c>
      <c r="I215" s="84">
        <f>SUM('дод 2 '!J111)</f>
        <v>0</v>
      </c>
      <c r="J215" s="134">
        <f t="shared" si="118"/>
        <v>0</v>
      </c>
      <c r="K215" s="84">
        <f>SUM('дод 2 '!L111)</f>
        <v>0</v>
      </c>
      <c r="L215" s="84">
        <f>SUM('дод 2 '!M111)</f>
        <v>0</v>
      </c>
      <c r="M215" s="84">
        <f>SUM('дод 2 '!N111)</f>
        <v>0</v>
      </c>
      <c r="N215" s="84">
        <f>SUM('дод 2 '!O111)</f>
        <v>0</v>
      </c>
      <c r="O215" s="84">
        <f>SUM('дод 2 '!P111)</f>
        <v>0</v>
      </c>
      <c r="P215" s="84">
        <f>SUM('дод 2 '!Q111)</f>
        <v>0</v>
      </c>
      <c r="Q215" s="220">
        <f>SUM('дод 2 '!R111)</f>
        <v>0</v>
      </c>
      <c r="R215" s="220">
        <f>SUM('дод 2 '!S111)</f>
        <v>0</v>
      </c>
      <c r="S215" s="84">
        <f>SUM('дод 2 '!T111)</f>
        <v>0</v>
      </c>
      <c r="T215" s="84">
        <f>SUM('дод 2 '!U111)</f>
        <v>0</v>
      </c>
      <c r="U215" s="84">
        <f>SUM('дод 2 '!V111)</f>
        <v>0</v>
      </c>
      <c r="V215" s="84">
        <f>SUM('дод 2 '!W111)</f>
        <v>0</v>
      </c>
      <c r="W215" s="134"/>
      <c r="X215" s="84">
        <f t="shared" si="123"/>
        <v>0</v>
      </c>
      <c r="Y215" s="214"/>
    </row>
    <row r="216" spans="1:25" s="11" customFormat="1" x14ac:dyDescent="0.25">
      <c r="A216" s="101"/>
      <c r="B216" s="106"/>
      <c r="C216" s="7" t="s">
        <v>344</v>
      </c>
      <c r="D216" s="84">
        <f>SUM('дод 2 '!E112)</f>
        <v>169000</v>
      </c>
      <c r="E216" s="84">
        <f>SUM('дод 2 '!F112)</f>
        <v>0</v>
      </c>
      <c r="F216" s="84">
        <f>SUM('дод 2 '!G112)</f>
        <v>0</v>
      </c>
      <c r="G216" s="220">
        <f>SUM('дод 2 '!H112)</f>
        <v>0</v>
      </c>
      <c r="H216" s="84">
        <f>SUM('дод 2 '!I112)</f>
        <v>0</v>
      </c>
      <c r="I216" s="84">
        <f>SUM('дод 2 '!J112)</f>
        <v>0</v>
      </c>
      <c r="J216" s="134">
        <f t="shared" si="118"/>
        <v>0</v>
      </c>
      <c r="K216" s="84">
        <f>SUM('дод 2 '!L112)</f>
        <v>0</v>
      </c>
      <c r="L216" s="84">
        <f>SUM('дод 2 '!M112)</f>
        <v>0</v>
      </c>
      <c r="M216" s="84">
        <f>SUM('дод 2 '!N112)</f>
        <v>0</v>
      </c>
      <c r="N216" s="84">
        <f>SUM('дод 2 '!O112)</f>
        <v>0</v>
      </c>
      <c r="O216" s="84">
        <f>SUM('дод 2 '!P112)</f>
        <v>0</v>
      </c>
      <c r="P216" s="84">
        <f>SUM('дод 2 '!Q112)</f>
        <v>0</v>
      </c>
      <c r="Q216" s="220">
        <f>SUM('дод 2 '!R112)</f>
        <v>0</v>
      </c>
      <c r="R216" s="220">
        <f>SUM('дод 2 '!S112)</f>
        <v>0</v>
      </c>
      <c r="S216" s="84">
        <f>SUM('дод 2 '!T112)</f>
        <v>0</v>
      </c>
      <c r="T216" s="84">
        <f>SUM('дод 2 '!U112)</f>
        <v>0</v>
      </c>
      <c r="U216" s="84">
        <f>SUM('дод 2 '!V112)</f>
        <v>0</v>
      </c>
      <c r="V216" s="84">
        <f>SUM('дод 2 '!W112)</f>
        <v>0</v>
      </c>
      <c r="W216" s="134"/>
      <c r="X216" s="84">
        <f t="shared" si="123"/>
        <v>0</v>
      </c>
      <c r="Y216" s="214"/>
    </row>
    <row r="217" spans="1:25" s="11" customFormat="1" ht="60" x14ac:dyDescent="0.25">
      <c r="A217" s="101" t="s">
        <v>575</v>
      </c>
      <c r="B217" s="106" t="s">
        <v>69</v>
      </c>
      <c r="C217" s="40" t="s">
        <v>590</v>
      </c>
      <c r="D217" s="84">
        <f>SUM('дод 2 '!E113)</f>
        <v>61000</v>
      </c>
      <c r="E217" s="84">
        <f>SUM('дод 2 '!F113)</f>
        <v>0</v>
      </c>
      <c r="F217" s="84">
        <f>SUM('дод 2 '!G113)</f>
        <v>0</v>
      </c>
      <c r="G217" s="220">
        <f>SUM('дод 2 '!H113)</f>
        <v>0</v>
      </c>
      <c r="H217" s="84">
        <f>SUM('дод 2 '!I113)</f>
        <v>0</v>
      </c>
      <c r="I217" s="84">
        <f>SUM('дод 2 '!J113)</f>
        <v>0</v>
      </c>
      <c r="J217" s="134">
        <f t="shared" si="118"/>
        <v>0</v>
      </c>
      <c r="K217" s="84">
        <f>SUM('дод 2 '!L113)</f>
        <v>0</v>
      </c>
      <c r="L217" s="84">
        <f>SUM('дод 2 '!M113)</f>
        <v>0</v>
      </c>
      <c r="M217" s="84">
        <f>SUM('дод 2 '!N113)</f>
        <v>0</v>
      </c>
      <c r="N217" s="84">
        <f>SUM('дод 2 '!O113)</f>
        <v>0</v>
      </c>
      <c r="O217" s="84">
        <f>SUM('дод 2 '!P113)</f>
        <v>0</v>
      </c>
      <c r="P217" s="84">
        <f>SUM('дод 2 '!Q113)</f>
        <v>0</v>
      </c>
      <c r="Q217" s="220">
        <f>SUM('дод 2 '!R113)</f>
        <v>0</v>
      </c>
      <c r="R217" s="220">
        <f>SUM('дод 2 '!S113)</f>
        <v>0</v>
      </c>
      <c r="S217" s="84">
        <f>SUM('дод 2 '!T113)</f>
        <v>0</v>
      </c>
      <c r="T217" s="84">
        <f>SUM('дод 2 '!U113)</f>
        <v>0</v>
      </c>
      <c r="U217" s="84">
        <f>SUM('дод 2 '!V113)</f>
        <v>0</v>
      </c>
      <c r="V217" s="84">
        <f>SUM('дод 2 '!W113)</f>
        <v>0</v>
      </c>
      <c r="W217" s="134"/>
      <c r="X217" s="84">
        <f t="shared" si="123"/>
        <v>0</v>
      </c>
      <c r="Y217" s="214"/>
    </row>
    <row r="218" spans="1:25" s="11" customFormat="1" x14ac:dyDescent="0.25">
      <c r="A218" s="101"/>
      <c r="B218" s="106"/>
      <c r="C218" s="7" t="s">
        <v>344</v>
      </c>
      <c r="D218" s="84">
        <f>SUM('дод 2 '!E114)</f>
        <v>61000</v>
      </c>
      <c r="E218" s="84">
        <f>SUM('дод 2 '!F114)</f>
        <v>0</v>
      </c>
      <c r="F218" s="84">
        <f>SUM('дод 2 '!G114)</f>
        <v>0</v>
      </c>
      <c r="G218" s="220">
        <f>SUM('дод 2 '!H114)</f>
        <v>0</v>
      </c>
      <c r="H218" s="84">
        <f>SUM('дод 2 '!I114)</f>
        <v>0</v>
      </c>
      <c r="I218" s="84">
        <f>SUM('дод 2 '!J114)</f>
        <v>0</v>
      </c>
      <c r="J218" s="134">
        <f t="shared" si="118"/>
        <v>0</v>
      </c>
      <c r="K218" s="84">
        <f>SUM('дод 2 '!L114)</f>
        <v>0</v>
      </c>
      <c r="L218" s="84">
        <f>SUM('дод 2 '!M114)</f>
        <v>0</v>
      </c>
      <c r="M218" s="84">
        <f>SUM('дод 2 '!N114)</f>
        <v>0</v>
      </c>
      <c r="N218" s="84">
        <f>SUM('дод 2 '!O114)</f>
        <v>0</v>
      </c>
      <c r="O218" s="84">
        <f>SUM('дод 2 '!P114)</f>
        <v>0</v>
      </c>
      <c r="P218" s="84">
        <f>SUM('дод 2 '!Q114)</f>
        <v>0</v>
      </c>
      <c r="Q218" s="220">
        <f>SUM('дод 2 '!R114)</f>
        <v>0</v>
      </c>
      <c r="R218" s="220">
        <f>SUM('дод 2 '!S114)</f>
        <v>0</v>
      </c>
      <c r="S218" s="84">
        <f>SUM('дод 2 '!T114)</f>
        <v>0</v>
      </c>
      <c r="T218" s="84">
        <f>SUM('дод 2 '!U114)</f>
        <v>0</v>
      </c>
      <c r="U218" s="84">
        <f>SUM('дод 2 '!V114)</f>
        <v>0</v>
      </c>
      <c r="V218" s="84">
        <f>SUM('дод 2 '!W114)</f>
        <v>0</v>
      </c>
      <c r="W218" s="134"/>
      <c r="X218" s="84">
        <f t="shared" si="123"/>
        <v>0</v>
      </c>
      <c r="Y218" s="214"/>
    </row>
    <row r="219" spans="1:25" s="11" customFormat="1" ht="57" customHeight="1" x14ac:dyDescent="0.25">
      <c r="A219" s="102" t="s">
        <v>22</v>
      </c>
      <c r="B219" s="103"/>
      <c r="C219" s="6" t="s">
        <v>23</v>
      </c>
      <c r="D219" s="83">
        <f>D220</f>
        <v>664000</v>
      </c>
      <c r="E219" s="83">
        <f t="shared" ref="E219:V219" si="135">E220</f>
        <v>0</v>
      </c>
      <c r="F219" s="83">
        <f t="shared" si="135"/>
        <v>0</v>
      </c>
      <c r="G219" s="219">
        <f t="shared" si="135"/>
        <v>202200</v>
      </c>
      <c r="H219" s="83">
        <f t="shared" si="135"/>
        <v>0</v>
      </c>
      <c r="I219" s="83">
        <f t="shared" si="135"/>
        <v>0</v>
      </c>
      <c r="J219" s="133">
        <f t="shared" si="118"/>
        <v>30.451807228915662</v>
      </c>
      <c r="K219" s="83">
        <f t="shared" si="135"/>
        <v>8492500</v>
      </c>
      <c r="L219" s="83">
        <f t="shared" si="135"/>
        <v>8492500</v>
      </c>
      <c r="M219" s="83">
        <f t="shared" si="135"/>
        <v>0</v>
      </c>
      <c r="N219" s="83">
        <f t="shared" si="135"/>
        <v>0</v>
      </c>
      <c r="O219" s="83">
        <f t="shared" si="135"/>
        <v>0</v>
      </c>
      <c r="P219" s="83">
        <f t="shared" si="135"/>
        <v>8492500</v>
      </c>
      <c r="Q219" s="219">
        <f t="shared" si="135"/>
        <v>0</v>
      </c>
      <c r="R219" s="219">
        <f t="shared" si="135"/>
        <v>0</v>
      </c>
      <c r="S219" s="83">
        <f t="shared" si="135"/>
        <v>0</v>
      </c>
      <c r="T219" s="83">
        <f t="shared" si="135"/>
        <v>0</v>
      </c>
      <c r="U219" s="83">
        <f t="shared" si="135"/>
        <v>0</v>
      </c>
      <c r="V219" s="83">
        <f t="shared" si="135"/>
        <v>0</v>
      </c>
      <c r="W219" s="133">
        <f t="shared" si="122"/>
        <v>0</v>
      </c>
      <c r="X219" s="83">
        <f t="shared" si="123"/>
        <v>202200</v>
      </c>
      <c r="Y219" s="214"/>
    </row>
    <row r="220" spans="1:25" s="11" customFormat="1" ht="33.75" customHeight="1" x14ac:dyDescent="0.25">
      <c r="A220" s="101" t="s">
        <v>24</v>
      </c>
      <c r="B220" s="106" t="s">
        <v>69</v>
      </c>
      <c r="C220" s="10" t="s">
        <v>343</v>
      </c>
      <c r="D220" s="84">
        <f>'дод 2 '!E298+'дод 2 '!E233+'дод 2 '!E186+'дод 2 '!E115+'дод 2 '!E51</f>
        <v>664000</v>
      </c>
      <c r="E220" s="84">
        <f>'дод 2 '!F298+'дод 2 '!F233+'дод 2 '!F186+'дод 2 '!F115+'дод 2 '!F51</f>
        <v>0</v>
      </c>
      <c r="F220" s="84">
        <f>'дод 2 '!G298+'дод 2 '!G233+'дод 2 '!G186+'дод 2 '!G115+'дод 2 '!G51</f>
        <v>0</v>
      </c>
      <c r="G220" s="220">
        <f>'дод 2 '!H298+'дод 2 '!H233+'дод 2 '!H186+'дод 2 '!H115+'дод 2 '!H51</f>
        <v>202200</v>
      </c>
      <c r="H220" s="84">
        <f>'дод 2 '!I298+'дод 2 '!I233+'дод 2 '!I186+'дод 2 '!I115+'дод 2 '!I51</f>
        <v>0</v>
      </c>
      <c r="I220" s="84">
        <f>'дод 2 '!J298+'дод 2 '!J233+'дод 2 '!J186+'дод 2 '!J115+'дод 2 '!J51</f>
        <v>0</v>
      </c>
      <c r="J220" s="134">
        <f t="shared" si="118"/>
        <v>30.451807228915662</v>
      </c>
      <c r="K220" s="84">
        <f>'дод 2 '!L298+'дод 2 '!L233+'дод 2 '!L186+'дод 2 '!L115+'дод 2 '!L51</f>
        <v>8492500</v>
      </c>
      <c r="L220" s="84">
        <f>'дод 2 '!M298+'дод 2 '!M233+'дод 2 '!M186+'дод 2 '!M115+'дод 2 '!M51</f>
        <v>8492500</v>
      </c>
      <c r="M220" s="84">
        <f>'дод 2 '!N298+'дод 2 '!N233+'дод 2 '!N186+'дод 2 '!N115+'дод 2 '!N51</f>
        <v>0</v>
      </c>
      <c r="N220" s="84">
        <f>'дод 2 '!O298+'дод 2 '!O233+'дод 2 '!O186+'дод 2 '!O115+'дод 2 '!O51</f>
        <v>0</v>
      </c>
      <c r="O220" s="84">
        <f>'дод 2 '!P298+'дод 2 '!P233+'дод 2 '!P186+'дод 2 '!P115+'дод 2 '!P51</f>
        <v>0</v>
      </c>
      <c r="P220" s="84">
        <f>'дод 2 '!Q298+'дод 2 '!Q233+'дод 2 '!Q186+'дод 2 '!Q115+'дод 2 '!Q51</f>
        <v>8492500</v>
      </c>
      <c r="Q220" s="220">
        <f>'дод 2 '!R298+'дод 2 '!R233+'дод 2 '!R186+'дод 2 '!R115+'дод 2 '!R51</f>
        <v>0</v>
      </c>
      <c r="R220" s="220">
        <f>'дод 2 '!S298+'дод 2 '!S233+'дод 2 '!S186+'дод 2 '!S115+'дод 2 '!S51</f>
        <v>0</v>
      </c>
      <c r="S220" s="84">
        <f>'дод 2 '!T298+'дод 2 '!T233+'дод 2 '!T186+'дод 2 '!T115+'дод 2 '!T51</f>
        <v>0</v>
      </c>
      <c r="T220" s="84">
        <f>'дод 2 '!U298+'дод 2 '!U233+'дод 2 '!U186+'дод 2 '!U115+'дод 2 '!U51</f>
        <v>0</v>
      </c>
      <c r="U220" s="84">
        <f>'дод 2 '!V298+'дод 2 '!V233+'дод 2 '!V186+'дод 2 '!V115+'дод 2 '!V51</f>
        <v>0</v>
      </c>
      <c r="V220" s="84">
        <f>'дод 2 '!W298+'дод 2 '!W233+'дод 2 '!W186+'дод 2 '!W115+'дод 2 '!W51</f>
        <v>0</v>
      </c>
      <c r="W220" s="134">
        <f t="shared" si="122"/>
        <v>0</v>
      </c>
      <c r="X220" s="84">
        <f t="shared" si="123"/>
        <v>202200</v>
      </c>
      <c r="Y220" s="214"/>
    </row>
    <row r="221" spans="1:25" s="11" customFormat="1" ht="60" hidden="1" customHeight="1" x14ac:dyDescent="0.25">
      <c r="A221" s="102" t="s">
        <v>489</v>
      </c>
      <c r="B221" s="103"/>
      <c r="C221" s="15" t="s">
        <v>490</v>
      </c>
      <c r="D221" s="83">
        <f>D222</f>
        <v>318002</v>
      </c>
      <c r="E221" s="83">
        <f t="shared" ref="E221:V221" si="136">E222</f>
        <v>0</v>
      </c>
      <c r="F221" s="83">
        <f t="shared" si="136"/>
        <v>0</v>
      </c>
      <c r="G221" s="219">
        <f t="shared" si="136"/>
        <v>0</v>
      </c>
      <c r="H221" s="83">
        <f t="shared" si="136"/>
        <v>0</v>
      </c>
      <c r="I221" s="83">
        <f t="shared" si="136"/>
        <v>0</v>
      </c>
      <c r="J221" s="133">
        <f t="shared" si="118"/>
        <v>0</v>
      </c>
      <c r="K221" s="83">
        <f t="shared" si="136"/>
        <v>0</v>
      </c>
      <c r="L221" s="83">
        <f t="shared" si="136"/>
        <v>0</v>
      </c>
      <c r="M221" s="83">
        <f t="shared" si="136"/>
        <v>0</v>
      </c>
      <c r="N221" s="83">
        <f t="shared" si="136"/>
        <v>0</v>
      </c>
      <c r="O221" s="83">
        <f t="shared" si="136"/>
        <v>0</v>
      </c>
      <c r="P221" s="83">
        <f t="shared" si="136"/>
        <v>0</v>
      </c>
      <c r="Q221" s="219">
        <f t="shared" si="136"/>
        <v>0</v>
      </c>
      <c r="R221" s="219">
        <f t="shared" si="136"/>
        <v>0</v>
      </c>
      <c r="S221" s="83">
        <f t="shared" si="136"/>
        <v>0</v>
      </c>
      <c r="T221" s="83">
        <f t="shared" si="136"/>
        <v>0</v>
      </c>
      <c r="U221" s="83">
        <f t="shared" si="136"/>
        <v>0</v>
      </c>
      <c r="V221" s="83">
        <f t="shared" si="136"/>
        <v>0</v>
      </c>
      <c r="W221" s="133" t="e">
        <f t="shared" si="122"/>
        <v>#DIV/0!</v>
      </c>
      <c r="X221" s="83">
        <f t="shared" si="123"/>
        <v>0</v>
      </c>
      <c r="Y221" s="214"/>
    </row>
    <row r="222" spans="1:25" s="11" customFormat="1" ht="47.25" x14ac:dyDescent="0.25">
      <c r="A222" s="102" t="s">
        <v>489</v>
      </c>
      <c r="B222" s="103" t="s">
        <v>69</v>
      </c>
      <c r="C222" s="15" t="s">
        <v>490</v>
      </c>
      <c r="D222" s="83">
        <f>'дод 2 '!E52+'дод 2 '!E81+'дод 2 '!E285</f>
        <v>318002</v>
      </c>
      <c r="E222" s="83">
        <f>'дод 2 '!F52+'дод 2 '!F81+'дод 2 '!F285</f>
        <v>0</v>
      </c>
      <c r="F222" s="83">
        <f>'дод 2 '!G52+'дод 2 '!G81+'дод 2 '!G285</f>
        <v>0</v>
      </c>
      <c r="G222" s="219">
        <f>'дод 2 '!H52+'дод 2 '!H81+'дод 2 '!H285</f>
        <v>0</v>
      </c>
      <c r="H222" s="83">
        <f>'дод 2 '!I52+'дод 2 '!I81+'дод 2 '!I285</f>
        <v>0</v>
      </c>
      <c r="I222" s="83">
        <f>'дод 2 '!J52+'дод 2 '!J81+'дод 2 '!J285</f>
        <v>0</v>
      </c>
      <c r="J222" s="133">
        <f t="shared" si="118"/>
        <v>0</v>
      </c>
      <c r="K222" s="83">
        <f>'дод 2 '!L52+'дод 2 '!L81+'дод 2 '!L285</f>
        <v>0</v>
      </c>
      <c r="L222" s="83">
        <f>'дод 2 '!M52+'дод 2 '!M81+'дод 2 '!M285</f>
        <v>0</v>
      </c>
      <c r="M222" s="83">
        <f>'дод 2 '!N52+'дод 2 '!N81+'дод 2 '!N285</f>
        <v>0</v>
      </c>
      <c r="N222" s="83">
        <f>'дод 2 '!O52+'дод 2 '!O81+'дод 2 '!O285</f>
        <v>0</v>
      </c>
      <c r="O222" s="83">
        <f>'дод 2 '!P52+'дод 2 '!P81+'дод 2 '!P285</f>
        <v>0</v>
      </c>
      <c r="P222" s="83">
        <f>'дод 2 '!Q52+'дод 2 '!Q81+'дод 2 '!Q285</f>
        <v>0</v>
      </c>
      <c r="Q222" s="219">
        <f>'дод 2 '!R52+'дод 2 '!R81+'дод 2 '!R285</f>
        <v>0</v>
      </c>
      <c r="R222" s="219">
        <f>'дод 2 '!S52+'дод 2 '!S81+'дод 2 '!S285</f>
        <v>0</v>
      </c>
      <c r="S222" s="83">
        <f>'дод 2 '!T52+'дод 2 '!T81+'дод 2 '!T285</f>
        <v>0</v>
      </c>
      <c r="T222" s="83">
        <f>'дод 2 '!U52+'дод 2 '!U81+'дод 2 '!U285</f>
        <v>0</v>
      </c>
      <c r="U222" s="83">
        <f>'дод 2 '!V52+'дод 2 '!V81+'дод 2 '!V285</f>
        <v>0</v>
      </c>
      <c r="V222" s="83">
        <f>'дод 2 '!W52+'дод 2 '!W81+'дод 2 '!W285</f>
        <v>0</v>
      </c>
      <c r="W222" s="133"/>
      <c r="X222" s="83">
        <f t="shared" si="123"/>
        <v>0</v>
      </c>
      <c r="Y222" s="214"/>
    </row>
    <row r="223" spans="1:25" s="11" customFormat="1" ht="25.5" customHeight="1" x14ac:dyDescent="0.25">
      <c r="A223" s="12"/>
      <c r="B223" s="12"/>
      <c r="C223" s="6" t="s">
        <v>34</v>
      </c>
      <c r="D223" s="83">
        <f>D15+D18+D37+D59+D128+D133+D140+D156+D194+D207+D192</f>
        <v>2578610527.5299997</v>
      </c>
      <c r="E223" s="83">
        <f t="shared" ref="E223:P223" si="137">E15+E18+E37+E59+E128+E133+E140+E156+E194+E207+E192</f>
        <v>787688705</v>
      </c>
      <c r="F223" s="83">
        <f t="shared" si="137"/>
        <v>111362604</v>
      </c>
      <c r="G223" s="219">
        <f t="shared" ref="G223:I223" si="138">G15+G18+G37+G59+G128+G133+G140+G156+G194+G207+G192</f>
        <v>642050730.35000002</v>
      </c>
      <c r="H223" s="83">
        <f t="shared" si="138"/>
        <v>180852308.25999999</v>
      </c>
      <c r="I223" s="83">
        <f t="shared" si="138"/>
        <v>39900984.110000007</v>
      </c>
      <c r="J223" s="133">
        <f t="shared" si="118"/>
        <v>24.899096761425533</v>
      </c>
      <c r="K223" s="83">
        <f t="shared" si="137"/>
        <v>670737570.53000009</v>
      </c>
      <c r="L223" s="83">
        <f>L15+L18+L37+L59+L128+L133+L140+L156+L194+L207+L192</f>
        <v>551376524.47000003</v>
      </c>
      <c r="M223" s="83">
        <f t="shared" si="137"/>
        <v>73679172.079999998</v>
      </c>
      <c r="N223" s="83">
        <f t="shared" si="137"/>
        <v>7954920</v>
      </c>
      <c r="O223" s="83">
        <f t="shared" si="137"/>
        <v>2775444</v>
      </c>
      <c r="P223" s="83">
        <f t="shared" si="137"/>
        <v>597058398.45000005</v>
      </c>
      <c r="Q223" s="219">
        <f t="shared" ref="Q223:V223" si="139">Q15+Q18+Q37+Q59+Q128+Q133+Q140+Q156+Q194+Q207+Q192</f>
        <v>58381549.659999996</v>
      </c>
      <c r="R223" s="219">
        <f t="shared" ref="R223" si="140">R15+R18+R37+R59+R128+R133+R140+R156+R194+R207+R192</f>
        <v>38242226.119999997</v>
      </c>
      <c r="S223" s="83">
        <f t="shared" si="139"/>
        <v>19183712.199999996</v>
      </c>
      <c r="T223" s="83">
        <f t="shared" si="139"/>
        <v>2460937.4400000004</v>
      </c>
      <c r="U223" s="83">
        <f t="shared" si="139"/>
        <v>775077.7</v>
      </c>
      <c r="V223" s="83">
        <f t="shared" si="139"/>
        <v>39197837.460000001</v>
      </c>
      <c r="W223" s="133">
        <f t="shared" si="122"/>
        <v>8.7040822260587483</v>
      </c>
      <c r="X223" s="83">
        <f t="shared" si="123"/>
        <v>700432280.00999999</v>
      </c>
      <c r="Y223" s="214"/>
    </row>
    <row r="224" spans="1:25" s="11" customFormat="1" ht="25.5" customHeight="1" x14ac:dyDescent="0.25">
      <c r="A224" s="12"/>
      <c r="B224" s="12"/>
      <c r="C224" s="6" t="s">
        <v>344</v>
      </c>
      <c r="D224" s="83">
        <f t="shared" ref="D224:P224" si="141">D19+D38+D60+D141+D160+D173+D208</f>
        <v>1152992316</v>
      </c>
      <c r="E224" s="83">
        <f t="shared" si="141"/>
        <v>256919167</v>
      </c>
      <c r="F224" s="83">
        <f t="shared" si="141"/>
        <v>0</v>
      </c>
      <c r="G224" s="219">
        <f t="shared" ref="G224:I224" si="142">G19+G38+G60+G141+G160+G173+G208</f>
        <v>316436947.69</v>
      </c>
      <c r="H224" s="83">
        <f t="shared" si="142"/>
        <v>58821450.240000002</v>
      </c>
      <c r="I224" s="83">
        <f t="shared" si="142"/>
        <v>0</v>
      </c>
      <c r="J224" s="133">
        <f t="shared" si="118"/>
        <v>27.444844453759572</v>
      </c>
      <c r="K224" s="83">
        <f t="shared" si="141"/>
        <v>43321759.670000002</v>
      </c>
      <c r="L224" s="83">
        <f t="shared" ref="L224" si="143">L19+L38+L60+L141+L160+L173+L208</f>
        <v>43321759.670000002</v>
      </c>
      <c r="M224" s="83">
        <f t="shared" si="141"/>
        <v>0</v>
      </c>
      <c r="N224" s="83">
        <f t="shared" si="141"/>
        <v>0</v>
      </c>
      <c r="O224" s="83">
        <f t="shared" si="141"/>
        <v>0</v>
      </c>
      <c r="P224" s="83">
        <f t="shared" si="141"/>
        <v>43321759.670000002</v>
      </c>
      <c r="Q224" s="219">
        <f t="shared" ref="Q224:V224" si="144">Q19+Q38+Q60+Q141+Q160+Q173+Q208</f>
        <v>4990468.8599999994</v>
      </c>
      <c r="R224" s="219">
        <f t="shared" ref="R224" si="145">R19+R38+R60+R141+R160+R173+R208</f>
        <v>4990468.8599999994</v>
      </c>
      <c r="S224" s="83">
        <f t="shared" si="144"/>
        <v>0</v>
      </c>
      <c r="T224" s="83">
        <f t="shared" si="144"/>
        <v>0</v>
      </c>
      <c r="U224" s="83">
        <f t="shared" si="144"/>
        <v>0</v>
      </c>
      <c r="V224" s="83">
        <f t="shared" si="144"/>
        <v>4990468.8599999994</v>
      </c>
      <c r="W224" s="133">
        <f t="shared" si="122"/>
        <v>11.519543291903405</v>
      </c>
      <c r="X224" s="83">
        <f t="shared" si="123"/>
        <v>321427416.55000001</v>
      </c>
      <c r="Y224" s="214"/>
    </row>
    <row r="225" spans="1:25" s="11" customFormat="1" ht="25.5" customHeight="1" x14ac:dyDescent="0.25">
      <c r="A225" s="29"/>
      <c r="B225" s="29"/>
      <c r="C225" s="30"/>
      <c r="D225" s="150"/>
      <c r="E225" s="150"/>
      <c r="F225" s="150"/>
      <c r="G225" s="222"/>
      <c r="H225" s="150"/>
      <c r="I225" s="150"/>
      <c r="J225" s="151"/>
      <c r="K225" s="150"/>
      <c r="L225" s="150"/>
      <c r="M225" s="150"/>
      <c r="N225" s="150"/>
      <c r="O225" s="150"/>
      <c r="P225" s="150"/>
      <c r="Q225" s="222"/>
      <c r="R225" s="222"/>
      <c r="S225" s="150"/>
      <c r="T225" s="150"/>
      <c r="U225" s="150"/>
      <c r="V225" s="150"/>
      <c r="W225" s="151"/>
      <c r="X225" s="150"/>
      <c r="Y225" s="214"/>
    </row>
    <row r="226" spans="1:25" s="11" customFormat="1" ht="25.5" customHeight="1" x14ac:dyDescent="0.25">
      <c r="A226" s="29"/>
      <c r="B226" s="29"/>
      <c r="C226" s="30"/>
      <c r="D226" s="150"/>
      <c r="E226" s="150"/>
      <c r="F226" s="150"/>
      <c r="G226" s="222"/>
      <c r="H226" s="150"/>
      <c r="I226" s="150"/>
      <c r="J226" s="151"/>
      <c r="K226" s="150"/>
      <c r="L226" s="150"/>
      <c r="M226" s="150"/>
      <c r="N226" s="150"/>
      <c r="O226" s="150"/>
      <c r="P226" s="150"/>
      <c r="Q226" s="222"/>
      <c r="R226" s="222"/>
      <c r="S226" s="150"/>
      <c r="T226" s="150"/>
      <c r="U226" s="150"/>
      <c r="V226" s="150"/>
      <c r="W226" s="151"/>
      <c r="X226" s="150"/>
      <c r="Y226" s="214"/>
    </row>
    <row r="227" spans="1:25" s="11" customFormat="1" ht="25.5" customHeight="1" x14ac:dyDescent="0.25">
      <c r="A227" s="29"/>
      <c r="B227" s="29"/>
      <c r="C227" s="30"/>
      <c r="D227" s="150"/>
      <c r="E227" s="150"/>
      <c r="F227" s="150"/>
      <c r="G227" s="222"/>
      <c r="H227" s="150"/>
      <c r="I227" s="150"/>
      <c r="J227" s="151"/>
      <c r="K227" s="150"/>
      <c r="L227" s="150"/>
      <c r="M227" s="150"/>
      <c r="N227" s="150"/>
      <c r="O227" s="150"/>
      <c r="P227" s="150"/>
      <c r="Q227" s="222"/>
      <c r="R227" s="222"/>
      <c r="S227" s="150"/>
      <c r="T227" s="150"/>
      <c r="U227" s="150"/>
      <c r="V227" s="150"/>
      <c r="W227" s="151"/>
      <c r="X227" s="150"/>
      <c r="Y227" s="214"/>
    </row>
    <row r="228" spans="1:25" s="11" customFormat="1" ht="25.5" customHeight="1" x14ac:dyDescent="0.45">
      <c r="A228" s="154" t="s">
        <v>599</v>
      </c>
      <c r="B228" s="155"/>
      <c r="C228" s="154"/>
      <c r="D228" s="155"/>
      <c r="E228" s="155"/>
      <c r="F228" s="155"/>
      <c r="G228" s="232"/>
      <c r="H228" s="155"/>
      <c r="I228" s="156"/>
      <c r="J228" s="157"/>
      <c r="K228" s="157"/>
      <c r="L228" s="157"/>
      <c r="M228" s="157"/>
      <c r="N228" s="157"/>
      <c r="O228" s="157"/>
      <c r="P228" s="157"/>
      <c r="Q228" s="223"/>
      <c r="R228" s="244" t="s">
        <v>600</v>
      </c>
      <c r="S228" s="157"/>
      <c r="T228" s="156"/>
      <c r="U228" s="158"/>
      <c r="V228" s="115"/>
      <c r="W228" s="116"/>
      <c r="X228" s="115"/>
      <c r="Y228" s="214"/>
    </row>
    <row r="229" spans="1:25" s="146" customFormat="1" ht="38.25" x14ac:dyDescent="0.55000000000000004">
      <c r="A229" s="159"/>
      <c r="B229" s="160"/>
      <c r="C229" s="160"/>
      <c r="D229" s="160"/>
      <c r="E229" s="160"/>
      <c r="F229" s="160"/>
      <c r="G229" s="233"/>
      <c r="H229" s="160"/>
      <c r="I229" s="161"/>
      <c r="J229" s="66"/>
      <c r="K229" s="66"/>
      <c r="L229" s="66"/>
      <c r="M229" s="66"/>
      <c r="N229" s="66"/>
      <c r="O229" s="66"/>
      <c r="P229" s="66"/>
      <c r="Q229" s="224"/>
      <c r="R229" s="224"/>
      <c r="S229" s="66"/>
      <c r="T229" s="161"/>
      <c r="U229" s="158"/>
      <c r="V229" s="145"/>
      <c r="W229" s="148"/>
      <c r="X229" s="147"/>
      <c r="Y229" s="214"/>
    </row>
    <row r="230" spans="1:25" s="8" customFormat="1" ht="27.75" x14ac:dyDescent="0.4">
      <c r="A230" s="162" t="s">
        <v>601</v>
      </c>
      <c r="B230" s="162"/>
      <c r="C230" s="162"/>
      <c r="D230" s="162"/>
      <c r="E230" s="162"/>
      <c r="F230" s="162"/>
      <c r="G230" s="234"/>
      <c r="H230" s="162"/>
      <c r="I230" s="163"/>
      <c r="J230" s="164"/>
      <c r="K230" s="164"/>
      <c r="L230" s="164"/>
      <c r="M230" s="164"/>
      <c r="N230" s="164"/>
      <c r="O230" s="164"/>
      <c r="P230" s="164"/>
      <c r="Q230" s="225"/>
      <c r="R230" s="225"/>
      <c r="S230" s="164"/>
      <c r="T230" s="163"/>
      <c r="U230" s="165"/>
      <c r="V230" s="113"/>
      <c r="W230" s="117"/>
      <c r="X230" s="113"/>
      <c r="Y230" s="214"/>
    </row>
    <row r="231" spans="1:25" s="8" customFormat="1" ht="31.5" x14ac:dyDescent="0.35">
      <c r="A231" s="169"/>
      <c r="B231" s="170"/>
      <c r="C231" s="160"/>
      <c r="D231" s="160"/>
      <c r="E231" s="160"/>
      <c r="F231" s="160"/>
      <c r="G231" s="233"/>
      <c r="H231" s="160"/>
      <c r="I231" s="166"/>
      <c r="J231" s="167"/>
      <c r="K231" s="189"/>
      <c r="L231" s="167"/>
      <c r="M231" s="167"/>
      <c r="N231" s="167"/>
      <c r="O231" s="168"/>
      <c r="P231" s="192"/>
      <c r="Q231" s="192"/>
      <c r="R231" s="192"/>
      <c r="S231" s="192"/>
      <c r="T231" s="192"/>
      <c r="U231" s="165"/>
      <c r="V231" s="113"/>
      <c r="W231" s="117"/>
      <c r="X231" s="113"/>
      <c r="Y231" s="152"/>
    </row>
    <row r="232" spans="1:25" s="8" customFormat="1" x14ac:dyDescent="0.25">
      <c r="A232" s="66"/>
      <c r="B232" s="66"/>
      <c r="C232" s="66"/>
      <c r="D232" s="9"/>
      <c r="E232" s="9"/>
      <c r="F232" s="9"/>
      <c r="G232" s="226"/>
      <c r="H232" s="9"/>
      <c r="I232" s="9"/>
      <c r="J232" s="9"/>
      <c r="K232" s="9"/>
      <c r="L232" s="9"/>
      <c r="M232" s="9"/>
      <c r="N232" s="9"/>
      <c r="O232" s="9"/>
      <c r="P232" s="9"/>
      <c r="Q232" s="239"/>
      <c r="R232" s="239"/>
      <c r="S232" s="113"/>
      <c r="T232" s="113"/>
      <c r="U232" s="113"/>
      <c r="V232" s="113"/>
      <c r="W232" s="117"/>
      <c r="X232" s="113"/>
      <c r="Y232" s="152"/>
    </row>
    <row r="233" spans="1:25" s="8" customFormat="1" x14ac:dyDescent="0.25">
      <c r="A233" s="66"/>
      <c r="B233" s="66"/>
      <c r="C233" s="66"/>
      <c r="D233" s="9"/>
      <c r="E233" s="9"/>
      <c r="F233" s="9"/>
      <c r="G233" s="226"/>
      <c r="H233" s="9"/>
      <c r="I233" s="9"/>
      <c r="J233" s="9"/>
      <c r="K233" s="9"/>
      <c r="L233" s="9"/>
      <c r="M233" s="9"/>
      <c r="N233" s="9"/>
      <c r="O233" s="9"/>
      <c r="P233" s="9"/>
      <c r="Q233" s="239"/>
      <c r="R233" s="239"/>
      <c r="S233" s="113"/>
      <c r="T233" s="113"/>
      <c r="U233" s="113"/>
      <c r="V233" s="113"/>
      <c r="W233" s="117"/>
      <c r="X233" s="113"/>
      <c r="Y233" s="152"/>
    </row>
    <row r="234" spans="1:25" s="8" customFormat="1" x14ac:dyDescent="0.25">
      <c r="A234" s="66"/>
      <c r="B234" s="66"/>
      <c r="C234" s="66"/>
      <c r="D234" s="9"/>
      <c r="E234" s="9"/>
      <c r="F234" s="9"/>
      <c r="G234" s="226"/>
      <c r="H234" s="9"/>
      <c r="I234" s="9"/>
      <c r="J234" s="9"/>
      <c r="K234" s="9"/>
      <c r="L234" s="9"/>
      <c r="M234" s="9"/>
      <c r="N234" s="9"/>
      <c r="O234" s="9"/>
      <c r="P234" s="9"/>
      <c r="Q234" s="239"/>
      <c r="R234" s="239"/>
      <c r="S234" s="113"/>
      <c r="T234" s="113"/>
      <c r="U234" s="113"/>
      <c r="V234" s="113"/>
      <c r="W234" s="117"/>
      <c r="X234" s="113"/>
      <c r="Y234" s="152"/>
    </row>
    <row r="235" spans="1:25" s="8" customFormat="1" x14ac:dyDescent="0.25">
      <c r="A235" s="66"/>
      <c r="B235" s="66"/>
      <c r="C235" s="66"/>
      <c r="D235" s="9"/>
      <c r="E235" s="9"/>
      <c r="F235" s="9"/>
      <c r="G235" s="226"/>
      <c r="H235" s="9"/>
      <c r="I235" s="9"/>
      <c r="J235" s="9"/>
      <c r="K235" s="9"/>
      <c r="L235" s="9"/>
      <c r="M235" s="9"/>
      <c r="N235" s="9"/>
      <c r="O235" s="9"/>
      <c r="P235" s="9"/>
      <c r="Q235" s="239"/>
      <c r="R235" s="239"/>
      <c r="S235" s="113"/>
      <c r="T235" s="113"/>
      <c r="U235" s="113"/>
      <c r="V235" s="113"/>
      <c r="W235" s="117"/>
      <c r="X235" s="113"/>
      <c r="Y235" s="152"/>
    </row>
    <row r="236" spans="1:25" s="8" customFormat="1" x14ac:dyDescent="0.25">
      <c r="A236" s="9"/>
      <c r="B236" s="4"/>
      <c r="C236" s="17"/>
      <c r="D236" s="94"/>
      <c r="E236" s="113"/>
      <c r="F236" s="113"/>
      <c r="G236" s="227"/>
      <c r="H236" s="113"/>
      <c r="I236" s="113"/>
      <c r="J236" s="113"/>
      <c r="K236" s="113"/>
      <c r="L236" s="113"/>
      <c r="M236" s="94"/>
      <c r="N236" s="94"/>
      <c r="O236" s="113"/>
      <c r="P236" s="113"/>
      <c r="Q236" s="239"/>
      <c r="R236" s="239"/>
      <c r="S236" s="113"/>
      <c r="T236" s="113"/>
      <c r="U236" s="113"/>
      <c r="V236" s="113"/>
      <c r="W236" s="117"/>
      <c r="X236" s="113"/>
      <c r="Y236" s="152"/>
    </row>
    <row r="237" spans="1:25" s="8" customFormat="1" x14ac:dyDescent="0.25">
      <c r="A237" s="9"/>
      <c r="B237" s="4"/>
      <c r="C237" s="17"/>
      <c r="D237" s="113"/>
      <c r="E237" s="113"/>
      <c r="F237" s="113"/>
      <c r="G237" s="227"/>
      <c r="H237" s="113"/>
      <c r="I237" s="113"/>
      <c r="J237" s="113"/>
      <c r="K237" s="113"/>
      <c r="L237" s="113"/>
      <c r="M237" s="113"/>
      <c r="N237" s="113"/>
      <c r="O237" s="113"/>
      <c r="P237" s="113"/>
      <c r="Q237" s="239"/>
      <c r="R237" s="239"/>
      <c r="S237" s="113"/>
      <c r="T237" s="113"/>
      <c r="U237" s="113"/>
      <c r="V237" s="113"/>
      <c r="W237" s="117"/>
      <c r="X237" s="113"/>
      <c r="Y237" s="152"/>
    </row>
    <row r="238" spans="1:25" s="8" customFormat="1" x14ac:dyDescent="0.25">
      <c r="A238" s="9"/>
      <c r="B238" s="4"/>
      <c r="C238" s="17"/>
      <c r="D238" s="113"/>
      <c r="E238" s="113"/>
      <c r="F238" s="113"/>
      <c r="G238" s="227"/>
      <c r="H238" s="113"/>
      <c r="I238" s="113"/>
      <c r="J238" s="113"/>
      <c r="K238" s="113"/>
      <c r="L238" s="113"/>
      <c r="M238" s="113"/>
      <c r="N238" s="113"/>
      <c r="O238" s="113"/>
      <c r="P238" s="113"/>
      <c r="Q238" s="239"/>
      <c r="R238" s="239"/>
      <c r="S238" s="113"/>
      <c r="T238" s="113"/>
      <c r="U238" s="113"/>
      <c r="V238" s="113"/>
      <c r="W238" s="117"/>
      <c r="X238" s="113"/>
      <c r="Y238" s="152"/>
    </row>
    <row r="239" spans="1:25" s="8" customFormat="1" ht="27.75" x14ac:dyDescent="0.25">
      <c r="A239" s="205"/>
      <c r="B239" s="206"/>
      <c r="C239" s="206"/>
      <c r="D239" s="26"/>
      <c r="E239" s="124"/>
      <c r="F239" s="124"/>
      <c r="G239" s="228"/>
      <c r="H239" s="124"/>
      <c r="I239" s="124"/>
      <c r="J239" s="124"/>
      <c r="K239" s="124"/>
      <c r="L239" s="124"/>
      <c r="M239" s="124"/>
      <c r="N239" s="124"/>
      <c r="O239" s="124"/>
      <c r="P239" s="118"/>
      <c r="Q239" s="239"/>
      <c r="R239" s="239"/>
      <c r="S239" s="113"/>
      <c r="T239" s="113"/>
      <c r="U239" s="113"/>
      <c r="V239" s="113"/>
      <c r="W239" s="117"/>
      <c r="X239" s="113"/>
      <c r="Y239" s="152"/>
    </row>
    <row r="240" spans="1:25" s="8" customFormat="1" ht="27.75" x14ac:dyDescent="0.4">
      <c r="A240" s="23"/>
      <c r="B240" s="25"/>
      <c r="C240" s="25"/>
      <c r="D240" s="26"/>
      <c r="E240" s="26"/>
      <c r="F240" s="26"/>
      <c r="G240" s="235"/>
      <c r="H240" s="26"/>
      <c r="I240" s="26"/>
      <c r="J240" s="26"/>
      <c r="K240" s="124"/>
      <c r="L240" s="124"/>
      <c r="M240" s="124"/>
      <c r="N240" s="119"/>
      <c r="O240" s="124"/>
      <c r="P240" s="24"/>
      <c r="Q240" s="239"/>
      <c r="R240" s="239"/>
      <c r="S240" s="113"/>
      <c r="T240" s="113"/>
      <c r="U240" s="113"/>
      <c r="V240" s="113"/>
      <c r="W240" s="117"/>
      <c r="X240" s="113"/>
      <c r="Y240" s="152"/>
    </row>
    <row r="241" spans="1:25" s="8" customFormat="1" ht="26.25" x14ac:dyDescent="0.4">
      <c r="A241" s="204"/>
      <c r="B241" s="204"/>
      <c r="C241" s="204"/>
      <c r="D241" s="120"/>
      <c r="E241" s="22"/>
      <c r="F241" s="22"/>
      <c r="G241" s="229"/>
      <c r="H241" s="22"/>
      <c r="I241" s="22"/>
      <c r="J241" s="22"/>
      <c r="K241" s="22"/>
      <c r="L241" s="22"/>
      <c r="M241" s="22"/>
      <c r="N241" s="22"/>
      <c r="O241" s="22"/>
      <c r="P241" s="22"/>
      <c r="Q241" s="239"/>
      <c r="R241" s="239"/>
      <c r="S241" s="113"/>
      <c r="T241" s="113"/>
      <c r="U241" s="113"/>
      <c r="V241" s="113"/>
      <c r="W241" s="117"/>
      <c r="X241" s="113"/>
      <c r="Y241" s="152"/>
    </row>
    <row r="242" spans="1:25" s="8" customFormat="1" ht="27.75" x14ac:dyDescent="0.4">
      <c r="A242" s="28"/>
      <c r="B242" s="27"/>
      <c r="C242" s="27"/>
      <c r="D242" s="24"/>
      <c r="E242" s="24"/>
      <c r="F242" s="24"/>
      <c r="G242" s="230"/>
      <c r="H242" s="24"/>
      <c r="I242" s="24"/>
      <c r="J242" s="24"/>
      <c r="K242" s="24"/>
      <c r="L242" s="24"/>
      <c r="M242" s="24"/>
      <c r="N242" s="24"/>
      <c r="O242" s="24"/>
      <c r="P242" s="24"/>
      <c r="Q242" s="239"/>
      <c r="R242" s="239"/>
      <c r="S242" s="113"/>
      <c r="T242" s="113"/>
      <c r="U242" s="113"/>
      <c r="V242" s="113"/>
      <c r="W242" s="117"/>
      <c r="X242" s="113"/>
      <c r="Y242" s="152"/>
    </row>
    <row r="243" spans="1:25" s="8" customFormat="1" x14ac:dyDescent="0.25">
      <c r="A243" s="9"/>
      <c r="B243" s="4"/>
      <c r="C243" s="17"/>
      <c r="D243" s="20"/>
      <c r="E243" s="113"/>
      <c r="F243" s="113"/>
      <c r="G243" s="227"/>
      <c r="H243" s="113"/>
      <c r="I243" s="113"/>
      <c r="J243" s="113"/>
      <c r="K243" s="113"/>
      <c r="L243" s="113"/>
      <c r="M243" s="121"/>
      <c r="N243" s="121"/>
      <c r="O243" s="113"/>
      <c r="P243" s="113"/>
      <c r="Q243" s="239"/>
      <c r="R243" s="239"/>
      <c r="S243" s="113"/>
      <c r="T243" s="113"/>
      <c r="U243" s="113"/>
      <c r="V243" s="113"/>
      <c r="W243" s="117"/>
      <c r="X243" s="113"/>
      <c r="Y243" s="152"/>
    </row>
    <row r="244" spans="1:25" s="8" customFormat="1" x14ac:dyDescent="0.25">
      <c r="A244" s="9"/>
      <c r="B244" s="4"/>
      <c r="C244" s="17"/>
      <c r="D244" s="113"/>
      <c r="E244" s="113"/>
      <c r="F244" s="113"/>
      <c r="G244" s="227"/>
      <c r="H244" s="113"/>
      <c r="I244" s="113"/>
      <c r="J244" s="113"/>
      <c r="K244" s="113"/>
      <c r="L244" s="113"/>
      <c r="M244" s="121"/>
      <c r="N244" s="121"/>
      <c r="O244" s="113"/>
      <c r="P244" s="113"/>
      <c r="Q244" s="239"/>
      <c r="R244" s="239"/>
      <c r="S244" s="113"/>
      <c r="T244" s="113"/>
      <c r="U244" s="113"/>
      <c r="V244" s="113"/>
      <c r="W244" s="117"/>
      <c r="X244" s="113"/>
      <c r="Y244" s="152"/>
    </row>
    <row r="245" spans="1:25" s="8" customFormat="1" x14ac:dyDescent="0.25">
      <c r="A245" s="9"/>
      <c r="B245" s="4"/>
      <c r="C245" s="17"/>
      <c r="D245" s="113"/>
      <c r="E245" s="113"/>
      <c r="F245" s="113"/>
      <c r="G245" s="227"/>
      <c r="H245" s="113"/>
      <c r="I245" s="113"/>
      <c r="J245" s="113"/>
      <c r="K245" s="113"/>
      <c r="L245" s="113"/>
      <c r="M245" s="113"/>
      <c r="N245" s="113"/>
      <c r="O245" s="113"/>
      <c r="P245" s="113"/>
      <c r="Q245" s="239"/>
      <c r="R245" s="239"/>
      <c r="S245" s="113"/>
      <c r="T245" s="113"/>
      <c r="U245" s="113"/>
      <c r="V245" s="113"/>
      <c r="W245" s="117"/>
      <c r="X245" s="113"/>
      <c r="Y245" s="152"/>
    </row>
    <row r="246" spans="1:25" s="8" customFormat="1" x14ac:dyDescent="0.25">
      <c r="A246" s="9"/>
      <c r="B246" s="4"/>
      <c r="C246" s="17"/>
      <c r="D246" s="113"/>
      <c r="E246" s="113"/>
      <c r="F246" s="113"/>
      <c r="G246" s="227"/>
      <c r="H246" s="113"/>
      <c r="I246" s="113"/>
      <c r="J246" s="113"/>
      <c r="K246" s="113"/>
      <c r="L246" s="113"/>
      <c r="M246" s="113"/>
      <c r="N246" s="113"/>
      <c r="O246" s="113"/>
      <c r="P246" s="113"/>
      <c r="Q246" s="239"/>
      <c r="R246" s="239"/>
      <c r="S246" s="113"/>
      <c r="T246" s="113"/>
      <c r="U246" s="113"/>
      <c r="V246" s="113"/>
      <c r="W246" s="117"/>
      <c r="X246" s="113"/>
      <c r="Y246" s="152"/>
    </row>
    <row r="247" spans="1:25" s="8" customFormat="1" x14ac:dyDescent="0.25">
      <c r="A247" s="9"/>
      <c r="B247" s="4"/>
      <c r="C247" s="17"/>
      <c r="D247" s="113"/>
      <c r="E247" s="113"/>
      <c r="F247" s="113"/>
      <c r="G247" s="227"/>
      <c r="H247" s="113"/>
      <c r="I247" s="113"/>
      <c r="J247" s="113"/>
      <c r="K247" s="113"/>
      <c r="L247" s="113"/>
      <c r="M247" s="113"/>
      <c r="N247" s="113"/>
      <c r="O247" s="113"/>
      <c r="P247" s="113"/>
      <c r="Q247" s="239"/>
      <c r="R247" s="239"/>
      <c r="S247" s="113"/>
      <c r="T247" s="113"/>
      <c r="U247" s="113"/>
      <c r="V247" s="113"/>
      <c r="W247" s="117"/>
      <c r="X247" s="113"/>
      <c r="Y247" s="152"/>
    </row>
    <row r="248" spans="1:25" s="8" customFormat="1" x14ac:dyDescent="0.25">
      <c r="A248" s="9"/>
      <c r="B248" s="4"/>
      <c r="C248" s="17"/>
      <c r="D248" s="113"/>
      <c r="E248" s="113"/>
      <c r="F248" s="113"/>
      <c r="G248" s="227"/>
      <c r="H248" s="113"/>
      <c r="I248" s="113"/>
      <c r="J248" s="113"/>
      <c r="K248" s="113"/>
      <c r="L248" s="113"/>
      <c r="M248" s="113"/>
      <c r="N248" s="113"/>
      <c r="O248" s="113"/>
      <c r="P248" s="113"/>
      <c r="Q248" s="239"/>
      <c r="R248" s="239"/>
      <c r="S248" s="113"/>
      <c r="T248" s="113"/>
      <c r="U248" s="113"/>
      <c r="V248" s="113"/>
      <c r="W248" s="117"/>
      <c r="X248" s="113"/>
      <c r="Y248" s="152"/>
    </row>
    <row r="249" spans="1:25" s="8" customFormat="1" x14ac:dyDescent="0.25">
      <c r="A249" s="9"/>
      <c r="B249" s="4"/>
      <c r="C249" s="17"/>
      <c r="D249" s="113"/>
      <c r="E249" s="113"/>
      <c r="F249" s="113"/>
      <c r="G249" s="227"/>
      <c r="H249" s="113"/>
      <c r="I249" s="113"/>
      <c r="J249" s="113"/>
      <c r="K249" s="113"/>
      <c r="L249" s="113"/>
      <c r="M249" s="113"/>
      <c r="N249" s="113"/>
      <c r="O249" s="113"/>
      <c r="P249" s="113"/>
      <c r="Q249" s="239"/>
      <c r="R249" s="239"/>
      <c r="S249" s="113"/>
      <c r="T249" s="113"/>
      <c r="U249" s="113"/>
      <c r="V249" s="113"/>
      <c r="W249" s="117"/>
      <c r="X249" s="113"/>
      <c r="Y249" s="152"/>
    </row>
    <row r="250" spans="1:25" s="8" customFormat="1" ht="6.75" customHeight="1" x14ac:dyDescent="0.25">
      <c r="A250" s="9"/>
      <c r="B250" s="4"/>
      <c r="C250" s="17"/>
      <c r="D250" s="113"/>
      <c r="E250" s="113"/>
      <c r="F250" s="113"/>
      <c r="G250" s="227"/>
      <c r="H250" s="113"/>
      <c r="I250" s="113"/>
      <c r="J250" s="113"/>
      <c r="K250" s="113"/>
      <c r="L250" s="113"/>
      <c r="M250" s="113"/>
      <c r="N250" s="113"/>
      <c r="O250" s="113"/>
      <c r="P250" s="113"/>
      <c r="Q250" s="239"/>
      <c r="R250" s="239"/>
      <c r="S250" s="113"/>
      <c r="T250" s="113"/>
      <c r="U250" s="113"/>
      <c r="V250" s="113"/>
      <c r="W250" s="117"/>
      <c r="X250" s="113"/>
      <c r="Y250" s="152"/>
    </row>
    <row r="251" spans="1:25" s="8" customFormat="1" ht="1.5" customHeight="1" x14ac:dyDescent="0.25">
      <c r="A251" s="9"/>
      <c r="B251" s="4"/>
      <c r="C251" s="17"/>
      <c r="D251" s="94"/>
      <c r="E251" s="113"/>
      <c r="F251" s="113"/>
      <c r="G251" s="227"/>
      <c r="H251" s="113"/>
      <c r="I251" s="113"/>
      <c r="J251" s="113"/>
      <c r="K251" s="113"/>
      <c r="L251" s="113"/>
      <c r="M251" s="113"/>
      <c r="N251" s="113"/>
      <c r="O251" s="113"/>
      <c r="P251" s="113"/>
      <c r="Q251" s="239"/>
      <c r="R251" s="239"/>
      <c r="S251" s="113"/>
      <c r="T251" s="113"/>
      <c r="U251" s="113"/>
      <c r="V251" s="113"/>
      <c r="W251" s="117"/>
      <c r="X251" s="113"/>
      <c r="Y251" s="152"/>
    </row>
    <row r="252" spans="1:25" s="8" customFormat="1" ht="22.5" customHeight="1" x14ac:dyDescent="0.25">
      <c r="A252" s="9"/>
      <c r="B252" s="4"/>
      <c r="C252" s="17"/>
      <c r="D252" s="113"/>
      <c r="E252" s="113"/>
      <c r="F252" s="113"/>
      <c r="G252" s="227"/>
      <c r="H252" s="113"/>
      <c r="I252" s="113"/>
      <c r="J252" s="113"/>
      <c r="K252" s="113"/>
      <c r="L252" s="113"/>
      <c r="M252" s="113"/>
      <c r="N252" s="113"/>
      <c r="O252" s="113"/>
      <c r="P252" s="113"/>
      <c r="Q252" s="239"/>
      <c r="R252" s="239"/>
      <c r="S252" s="113"/>
      <c r="T252" s="113"/>
      <c r="U252" s="113"/>
      <c r="V252" s="113"/>
      <c r="W252" s="117"/>
      <c r="X252" s="113"/>
      <c r="Y252" s="152"/>
    </row>
    <row r="253" spans="1:25" s="8" customFormat="1" x14ac:dyDescent="0.25">
      <c r="A253" s="9"/>
      <c r="B253" s="4"/>
      <c r="C253" s="17"/>
      <c r="D253" s="113"/>
      <c r="E253" s="113"/>
      <c r="F253" s="113"/>
      <c r="G253" s="227"/>
      <c r="H253" s="113"/>
      <c r="I253" s="113"/>
      <c r="J253" s="113"/>
      <c r="K253" s="113"/>
      <c r="L253" s="113"/>
      <c r="M253" s="113"/>
      <c r="N253" s="113"/>
      <c r="O253" s="113"/>
      <c r="P253" s="113"/>
      <c r="Q253" s="239"/>
      <c r="R253" s="239"/>
      <c r="S253" s="113"/>
      <c r="T253" s="113"/>
      <c r="U253" s="113"/>
      <c r="V253" s="113"/>
      <c r="W253" s="117"/>
      <c r="X253" s="113"/>
      <c r="Y253" s="152"/>
    </row>
    <row r="254" spans="1:25" s="8" customFormat="1" x14ac:dyDescent="0.25">
      <c r="A254" s="9"/>
      <c r="B254" s="4"/>
      <c r="C254" s="17"/>
      <c r="D254" s="94"/>
      <c r="E254" s="113"/>
      <c r="F254" s="113"/>
      <c r="G254" s="227"/>
      <c r="H254" s="113"/>
      <c r="I254" s="113"/>
      <c r="J254" s="113"/>
      <c r="K254" s="113"/>
      <c r="L254" s="113"/>
      <c r="M254" s="113"/>
      <c r="N254" s="113"/>
      <c r="O254" s="113"/>
      <c r="P254" s="113"/>
      <c r="Q254" s="239"/>
      <c r="R254" s="239"/>
      <c r="S254" s="113"/>
      <c r="T254" s="113"/>
      <c r="U254" s="113"/>
      <c r="V254" s="113"/>
      <c r="W254" s="117"/>
      <c r="X254" s="113"/>
      <c r="Y254" s="152"/>
    </row>
    <row r="255" spans="1:25" s="8" customFormat="1" x14ac:dyDescent="0.25">
      <c r="A255" s="9"/>
      <c r="B255" s="4"/>
      <c r="C255" s="17"/>
      <c r="D255" s="113"/>
      <c r="E255" s="113"/>
      <c r="F255" s="113"/>
      <c r="G255" s="227"/>
      <c r="H255" s="113"/>
      <c r="I255" s="113"/>
      <c r="J255" s="113"/>
      <c r="K255" s="113"/>
      <c r="L255" s="113"/>
      <c r="M255" s="113"/>
      <c r="N255" s="113"/>
      <c r="O255" s="113"/>
      <c r="P255" s="113"/>
      <c r="Q255" s="239"/>
      <c r="R255" s="239"/>
      <c r="S255" s="113"/>
      <c r="T255" s="113"/>
      <c r="U255" s="113"/>
      <c r="V255" s="113"/>
      <c r="W255" s="117"/>
      <c r="X255" s="113"/>
      <c r="Y255" s="152"/>
    </row>
    <row r="256" spans="1:25" s="8" customFormat="1" x14ac:dyDescent="0.25">
      <c r="A256" s="9"/>
      <c r="B256" s="4"/>
      <c r="C256" s="17"/>
      <c r="D256" s="113"/>
      <c r="E256" s="113"/>
      <c r="F256" s="113"/>
      <c r="G256" s="227"/>
      <c r="H256" s="113"/>
      <c r="I256" s="113"/>
      <c r="J256" s="113"/>
      <c r="K256" s="113"/>
      <c r="L256" s="113"/>
      <c r="M256" s="113"/>
      <c r="N256" s="113"/>
      <c r="O256" s="113"/>
      <c r="P256" s="113"/>
      <c r="Q256" s="239"/>
      <c r="R256" s="239"/>
      <c r="S256" s="113"/>
      <c r="T256" s="113"/>
      <c r="U256" s="113"/>
      <c r="V256" s="113"/>
      <c r="W256" s="117"/>
      <c r="X256" s="113"/>
      <c r="Y256" s="152"/>
    </row>
    <row r="257" spans="1:25" s="8" customFormat="1" x14ac:dyDescent="0.25">
      <c r="A257" s="9"/>
      <c r="B257" s="4"/>
      <c r="C257" s="17"/>
      <c r="D257" s="113"/>
      <c r="E257" s="113"/>
      <c r="F257" s="113"/>
      <c r="G257" s="227"/>
      <c r="H257" s="113"/>
      <c r="I257" s="113"/>
      <c r="J257" s="113"/>
      <c r="K257" s="113"/>
      <c r="L257" s="113"/>
      <c r="M257" s="113"/>
      <c r="N257" s="113"/>
      <c r="O257" s="113"/>
      <c r="P257" s="113"/>
      <c r="Q257" s="239"/>
      <c r="R257" s="239"/>
      <c r="S257" s="113"/>
      <c r="T257" s="113"/>
      <c r="U257" s="113"/>
      <c r="V257" s="113"/>
      <c r="W257" s="117"/>
      <c r="X257" s="113"/>
      <c r="Y257" s="152"/>
    </row>
    <row r="258" spans="1:25" s="8" customFormat="1" x14ac:dyDescent="0.25">
      <c r="A258" s="9"/>
      <c r="B258" s="4"/>
      <c r="C258" s="17"/>
      <c r="D258" s="113"/>
      <c r="E258" s="113"/>
      <c r="F258" s="113"/>
      <c r="G258" s="227"/>
      <c r="H258" s="113"/>
      <c r="I258" s="113"/>
      <c r="J258" s="113"/>
      <c r="K258" s="113"/>
      <c r="L258" s="113"/>
      <c r="M258" s="113"/>
      <c r="N258" s="113"/>
      <c r="O258" s="113"/>
      <c r="P258" s="113"/>
      <c r="Q258" s="239"/>
      <c r="R258" s="239"/>
      <c r="S258" s="113"/>
      <c r="T258" s="113"/>
      <c r="U258" s="113"/>
      <c r="V258" s="113"/>
      <c r="W258" s="117"/>
      <c r="X258" s="113"/>
      <c r="Y258" s="152"/>
    </row>
    <row r="259" spans="1:25" s="8" customFormat="1" x14ac:dyDescent="0.25">
      <c r="A259" s="9"/>
      <c r="B259" s="4"/>
      <c r="C259" s="17"/>
      <c r="D259" s="113"/>
      <c r="E259" s="113"/>
      <c r="F259" s="113"/>
      <c r="G259" s="227"/>
      <c r="H259" s="113"/>
      <c r="I259" s="113"/>
      <c r="J259" s="113"/>
      <c r="K259" s="113"/>
      <c r="L259" s="113"/>
      <c r="M259" s="113"/>
      <c r="N259" s="113"/>
      <c r="O259" s="113"/>
      <c r="P259" s="113"/>
      <c r="Q259" s="239"/>
      <c r="R259" s="239"/>
      <c r="S259" s="113"/>
      <c r="T259" s="113"/>
      <c r="U259" s="113"/>
      <c r="V259" s="113"/>
      <c r="W259" s="117"/>
      <c r="X259" s="113"/>
      <c r="Y259" s="152"/>
    </row>
    <row r="260" spans="1:25" s="8" customFormat="1" x14ac:dyDescent="0.25">
      <c r="A260" s="9"/>
      <c r="B260" s="4"/>
      <c r="C260" s="17"/>
      <c r="D260" s="113"/>
      <c r="E260" s="113"/>
      <c r="F260" s="113"/>
      <c r="G260" s="227"/>
      <c r="H260" s="113"/>
      <c r="I260" s="113"/>
      <c r="J260" s="113"/>
      <c r="K260" s="113"/>
      <c r="L260" s="113"/>
      <c r="M260" s="113"/>
      <c r="N260" s="113"/>
      <c r="O260" s="113"/>
      <c r="P260" s="113"/>
      <c r="Q260" s="239"/>
      <c r="R260" s="239"/>
      <c r="S260" s="113"/>
      <c r="T260" s="113"/>
      <c r="U260" s="113"/>
      <c r="V260" s="113"/>
      <c r="W260" s="117"/>
      <c r="X260" s="113"/>
      <c r="Y260" s="152"/>
    </row>
    <row r="261" spans="1:25" s="8" customFormat="1" x14ac:dyDescent="0.25">
      <c r="A261" s="9"/>
      <c r="B261" s="4"/>
      <c r="C261" s="17"/>
      <c r="D261" s="113"/>
      <c r="E261" s="113"/>
      <c r="F261" s="113"/>
      <c r="G261" s="227"/>
      <c r="H261" s="113"/>
      <c r="I261" s="113"/>
      <c r="J261" s="113"/>
      <c r="K261" s="113"/>
      <c r="L261" s="113"/>
      <c r="M261" s="113"/>
      <c r="N261" s="113"/>
      <c r="O261" s="113"/>
      <c r="P261" s="113"/>
      <c r="Q261" s="239"/>
      <c r="R261" s="239"/>
      <c r="S261" s="113"/>
      <c r="T261" s="113"/>
      <c r="U261" s="113"/>
      <c r="V261" s="113"/>
      <c r="W261" s="117"/>
      <c r="X261" s="113"/>
      <c r="Y261" s="152"/>
    </row>
    <row r="262" spans="1:25" s="8" customFormat="1" x14ac:dyDescent="0.25">
      <c r="A262" s="9"/>
      <c r="B262" s="4"/>
      <c r="C262" s="17"/>
      <c r="D262" s="113"/>
      <c r="E262" s="113"/>
      <c r="F262" s="113"/>
      <c r="G262" s="227"/>
      <c r="H262" s="113"/>
      <c r="I262" s="113"/>
      <c r="J262" s="113"/>
      <c r="K262" s="113"/>
      <c r="L262" s="113"/>
      <c r="M262" s="113"/>
      <c r="N262" s="113"/>
      <c r="O262" s="113"/>
      <c r="P262" s="113"/>
      <c r="Q262" s="239"/>
      <c r="R262" s="239"/>
      <c r="S262" s="113"/>
      <c r="T262" s="113"/>
      <c r="U262" s="113"/>
      <c r="V262" s="113"/>
      <c r="W262" s="117"/>
      <c r="X262" s="113"/>
      <c r="Y262" s="152"/>
    </row>
    <row r="263" spans="1:25" s="8" customFormat="1" x14ac:dyDescent="0.25">
      <c r="A263" s="9"/>
      <c r="B263" s="4"/>
      <c r="C263" s="17"/>
      <c r="D263" s="113"/>
      <c r="E263" s="113"/>
      <c r="F263" s="113"/>
      <c r="G263" s="227"/>
      <c r="H263" s="113"/>
      <c r="I263" s="113"/>
      <c r="J263" s="113"/>
      <c r="K263" s="113"/>
      <c r="L263" s="113"/>
      <c r="M263" s="113"/>
      <c r="N263" s="113"/>
      <c r="O263" s="113"/>
      <c r="P263" s="113"/>
      <c r="Q263" s="239"/>
      <c r="R263" s="239"/>
      <c r="S263" s="113"/>
      <c r="T263" s="113"/>
      <c r="U263" s="113"/>
      <c r="V263" s="113"/>
      <c r="W263" s="117"/>
      <c r="X263" s="113"/>
      <c r="Y263" s="152"/>
    </row>
    <row r="264" spans="1:25" s="8" customFormat="1" x14ac:dyDescent="0.25">
      <c r="A264" s="9"/>
      <c r="B264" s="4"/>
      <c r="C264" s="17"/>
      <c r="D264" s="113"/>
      <c r="E264" s="113"/>
      <c r="F264" s="113"/>
      <c r="G264" s="227"/>
      <c r="H264" s="113"/>
      <c r="I264" s="113"/>
      <c r="J264" s="113"/>
      <c r="K264" s="113"/>
      <c r="L264" s="113"/>
      <c r="M264" s="113"/>
      <c r="N264" s="113"/>
      <c r="O264" s="113"/>
      <c r="P264" s="113"/>
      <c r="Q264" s="239"/>
      <c r="R264" s="239"/>
      <c r="S264" s="113"/>
      <c r="T264" s="113"/>
      <c r="U264" s="113"/>
      <c r="V264" s="113"/>
      <c r="W264" s="117"/>
      <c r="X264" s="113"/>
      <c r="Y264" s="152"/>
    </row>
    <row r="265" spans="1:25" s="8" customFormat="1" x14ac:dyDescent="0.25">
      <c r="A265" s="9"/>
      <c r="B265" s="4"/>
      <c r="C265" s="17"/>
      <c r="D265" s="113"/>
      <c r="E265" s="113"/>
      <c r="F265" s="113"/>
      <c r="G265" s="227"/>
      <c r="H265" s="113"/>
      <c r="I265" s="113"/>
      <c r="J265" s="113"/>
      <c r="K265" s="113"/>
      <c r="L265" s="113"/>
      <c r="M265" s="113"/>
      <c r="N265" s="113"/>
      <c r="O265" s="113"/>
      <c r="P265" s="113"/>
      <c r="Q265" s="239"/>
      <c r="R265" s="239"/>
      <c r="S265" s="113"/>
      <c r="T265" s="113"/>
      <c r="U265" s="113"/>
      <c r="V265" s="113"/>
      <c r="W265" s="117"/>
      <c r="X265" s="113"/>
      <c r="Y265" s="152"/>
    </row>
    <row r="266" spans="1:25" s="8" customFormat="1" x14ac:dyDescent="0.25">
      <c r="A266" s="9"/>
      <c r="B266" s="4"/>
      <c r="C266" s="17"/>
      <c r="D266" s="113"/>
      <c r="E266" s="113"/>
      <c r="F266" s="113"/>
      <c r="G266" s="227"/>
      <c r="H266" s="113"/>
      <c r="I266" s="113"/>
      <c r="J266" s="113"/>
      <c r="K266" s="113"/>
      <c r="L266" s="113"/>
      <c r="M266" s="113"/>
      <c r="N266" s="113"/>
      <c r="O266" s="113"/>
      <c r="P266" s="113"/>
      <c r="Q266" s="239"/>
      <c r="R266" s="239"/>
      <c r="S266" s="113"/>
      <c r="T266" s="113"/>
      <c r="U266" s="113"/>
      <c r="V266" s="113"/>
      <c r="W266" s="117"/>
      <c r="X266" s="113"/>
      <c r="Y266" s="152"/>
    </row>
    <row r="267" spans="1:25" s="8" customFormat="1" x14ac:dyDescent="0.25">
      <c r="A267" s="9"/>
      <c r="B267" s="4"/>
      <c r="C267" s="17"/>
      <c r="D267" s="113"/>
      <c r="E267" s="113"/>
      <c r="F267" s="113"/>
      <c r="G267" s="227"/>
      <c r="H267" s="113"/>
      <c r="I267" s="113"/>
      <c r="J267" s="113"/>
      <c r="K267" s="113"/>
      <c r="L267" s="113"/>
      <c r="M267" s="113"/>
      <c r="N267" s="113"/>
      <c r="O267" s="113"/>
      <c r="P267" s="113"/>
      <c r="Q267" s="239"/>
      <c r="R267" s="239"/>
      <c r="S267" s="113"/>
      <c r="T267" s="113"/>
      <c r="U267" s="113"/>
      <c r="V267" s="113"/>
      <c r="W267" s="117"/>
      <c r="X267" s="113"/>
      <c r="Y267" s="152"/>
    </row>
    <row r="268" spans="1:25" s="8" customFormat="1" x14ac:dyDescent="0.25">
      <c r="A268" s="9"/>
      <c r="B268" s="4"/>
      <c r="C268" s="17"/>
      <c r="D268" s="113"/>
      <c r="E268" s="113"/>
      <c r="F268" s="113"/>
      <c r="G268" s="227"/>
      <c r="H268" s="113"/>
      <c r="I268" s="113"/>
      <c r="J268" s="113"/>
      <c r="K268" s="113"/>
      <c r="L268" s="113"/>
      <c r="M268" s="113"/>
      <c r="N268" s="113"/>
      <c r="O268" s="113"/>
      <c r="P268" s="113"/>
      <c r="Q268" s="239"/>
      <c r="R268" s="239"/>
      <c r="S268" s="113"/>
      <c r="T268" s="113"/>
      <c r="U268" s="113"/>
      <c r="V268" s="113"/>
      <c r="W268" s="117"/>
      <c r="X268" s="113"/>
      <c r="Y268" s="152"/>
    </row>
    <row r="269" spans="1:25" s="8" customFormat="1" x14ac:dyDescent="0.25">
      <c r="A269" s="9"/>
      <c r="B269" s="4"/>
      <c r="C269" s="17"/>
      <c r="D269" s="113"/>
      <c r="E269" s="113"/>
      <c r="F269" s="113"/>
      <c r="G269" s="227"/>
      <c r="H269" s="113"/>
      <c r="I269" s="113"/>
      <c r="J269" s="113"/>
      <c r="K269" s="113"/>
      <c r="L269" s="113"/>
      <c r="M269" s="113"/>
      <c r="N269" s="113"/>
      <c r="O269" s="113"/>
      <c r="P269" s="113"/>
      <c r="Q269" s="239"/>
      <c r="R269" s="239"/>
      <c r="S269" s="113"/>
      <c r="T269" s="113"/>
      <c r="U269" s="113"/>
      <c r="V269" s="113"/>
      <c r="W269" s="117"/>
      <c r="X269" s="113"/>
      <c r="Y269" s="152"/>
    </row>
    <row r="270" spans="1:25" s="8" customFormat="1" x14ac:dyDescent="0.25">
      <c r="A270" s="9"/>
      <c r="B270" s="4"/>
      <c r="C270" s="17"/>
      <c r="D270" s="113"/>
      <c r="E270" s="113"/>
      <c r="F270" s="113"/>
      <c r="G270" s="227"/>
      <c r="H270" s="113"/>
      <c r="I270" s="113"/>
      <c r="J270" s="113"/>
      <c r="K270" s="113"/>
      <c r="L270" s="113"/>
      <c r="M270" s="113"/>
      <c r="N270" s="113"/>
      <c r="O270" s="113"/>
      <c r="P270" s="113"/>
      <c r="Q270" s="239"/>
      <c r="R270" s="239"/>
      <c r="S270" s="113"/>
      <c r="T270" s="113"/>
      <c r="U270" s="113"/>
      <c r="V270" s="113"/>
      <c r="W270" s="117"/>
      <c r="X270" s="113"/>
      <c r="Y270" s="152"/>
    </row>
    <row r="271" spans="1:25" s="8" customFormat="1" x14ac:dyDescent="0.25">
      <c r="A271" s="9"/>
      <c r="B271" s="4"/>
      <c r="C271" s="17"/>
      <c r="D271" s="113"/>
      <c r="E271" s="113"/>
      <c r="F271" s="113"/>
      <c r="G271" s="227"/>
      <c r="H271" s="113"/>
      <c r="I271" s="113"/>
      <c r="J271" s="113"/>
      <c r="K271" s="113"/>
      <c r="L271" s="113"/>
      <c r="M271" s="113"/>
      <c r="N271" s="113"/>
      <c r="O271" s="113"/>
      <c r="P271" s="113"/>
      <c r="Q271" s="239"/>
      <c r="R271" s="239"/>
      <c r="S271" s="113"/>
      <c r="T271" s="113"/>
      <c r="U271" s="113"/>
      <c r="V271" s="113"/>
      <c r="W271" s="117"/>
      <c r="X271" s="113"/>
      <c r="Y271" s="152"/>
    </row>
    <row r="272" spans="1:25" s="8" customFormat="1" x14ac:dyDescent="0.25">
      <c r="A272" s="9"/>
      <c r="B272" s="4"/>
      <c r="C272" s="17"/>
      <c r="D272" s="113"/>
      <c r="E272" s="113"/>
      <c r="F272" s="113"/>
      <c r="G272" s="227"/>
      <c r="H272" s="113"/>
      <c r="I272" s="113"/>
      <c r="J272" s="113"/>
      <c r="K272" s="113"/>
      <c r="L272" s="113"/>
      <c r="M272" s="113"/>
      <c r="N272" s="113"/>
      <c r="O272" s="113"/>
      <c r="P272" s="113"/>
      <c r="Q272" s="239"/>
      <c r="R272" s="239"/>
      <c r="S272" s="113"/>
      <c r="T272" s="113"/>
      <c r="U272" s="113"/>
      <c r="V272" s="113"/>
      <c r="W272" s="117"/>
      <c r="X272" s="113"/>
      <c r="Y272" s="152"/>
    </row>
    <row r="273" spans="1:25" s="8" customFormat="1" x14ac:dyDescent="0.25">
      <c r="A273" s="9"/>
      <c r="B273" s="4"/>
      <c r="C273" s="17"/>
      <c r="D273" s="113"/>
      <c r="E273" s="113"/>
      <c r="F273" s="113"/>
      <c r="G273" s="227"/>
      <c r="H273" s="113"/>
      <c r="I273" s="113"/>
      <c r="J273" s="113"/>
      <c r="K273" s="113"/>
      <c r="L273" s="113"/>
      <c r="M273" s="113"/>
      <c r="N273" s="113"/>
      <c r="O273" s="113"/>
      <c r="P273" s="113"/>
      <c r="Q273" s="239"/>
      <c r="R273" s="239"/>
      <c r="S273" s="113"/>
      <c r="T273" s="113"/>
      <c r="U273" s="113"/>
      <c r="V273" s="113"/>
      <c r="W273" s="117"/>
      <c r="X273" s="113"/>
      <c r="Y273" s="152"/>
    </row>
    <row r="274" spans="1:25" s="8" customFormat="1" x14ac:dyDescent="0.25">
      <c r="A274" s="9"/>
      <c r="B274" s="4"/>
      <c r="C274" s="17"/>
      <c r="D274" s="113"/>
      <c r="E274" s="113"/>
      <c r="F274" s="113"/>
      <c r="G274" s="227"/>
      <c r="H274" s="113"/>
      <c r="I274" s="113"/>
      <c r="J274" s="113"/>
      <c r="K274" s="113"/>
      <c r="L274" s="113"/>
      <c r="M274" s="113"/>
      <c r="N274" s="113"/>
      <c r="O274" s="113"/>
      <c r="P274" s="113"/>
      <c r="Q274" s="239"/>
      <c r="R274" s="239"/>
      <c r="S274" s="113"/>
      <c r="T274" s="113"/>
      <c r="U274" s="113"/>
      <c r="V274" s="113"/>
      <c r="W274" s="117"/>
      <c r="X274" s="113"/>
      <c r="Y274" s="152"/>
    </row>
    <row r="275" spans="1:25" s="8" customFormat="1" x14ac:dyDescent="0.25">
      <c r="A275" s="9"/>
      <c r="B275" s="4"/>
      <c r="C275" s="17"/>
      <c r="D275" s="113"/>
      <c r="E275" s="113"/>
      <c r="F275" s="113"/>
      <c r="G275" s="227"/>
      <c r="H275" s="113"/>
      <c r="I275" s="113"/>
      <c r="J275" s="113"/>
      <c r="K275" s="113"/>
      <c r="L275" s="113"/>
      <c r="M275" s="113"/>
      <c r="N275" s="113"/>
      <c r="O275" s="113"/>
      <c r="P275" s="113"/>
      <c r="Q275" s="239"/>
      <c r="R275" s="239"/>
      <c r="S275" s="113"/>
      <c r="T275" s="113"/>
      <c r="U275" s="113"/>
      <c r="V275" s="113"/>
      <c r="W275" s="117"/>
      <c r="X275" s="113"/>
      <c r="Y275" s="152"/>
    </row>
    <row r="276" spans="1:25" s="8" customFormat="1" x14ac:dyDescent="0.25">
      <c r="A276" s="9"/>
      <c r="B276" s="4"/>
      <c r="C276" s="17"/>
      <c r="D276" s="113"/>
      <c r="E276" s="113"/>
      <c r="F276" s="113"/>
      <c r="G276" s="227"/>
      <c r="H276" s="113"/>
      <c r="I276" s="113"/>
      <c r="J276" s="113"/>
      <c r="K276" s="113"/>
      <c r="L276" s="113"/>
      <c r="M276" s="113"/>
      <c r="N276" s="113"/>
      <c r="O276" s="113"/>
      <c r="P276" s="113"/>
      <c r="Q276" s="239"/>
      <c r="R276" s="239"/>
      <c r="S276" s="113"/>
      <c r="T276" s="113"/>
      <c r="U276" s="113"/>
      <c r="V276" s="113"/>
      <c r="W276" s="117"/>
      <c r="X276" s="113"/>
      <c r="Y276" s="152"/>
    </row>
    <row r="277" spans="1:25" s="8" customFormat="1" x14ac:dyDescent="0.25">
      <c r="A277" s="9"/>
      <c r="B277" s="4"/>
      <c r="C277" s="17"/>
      <c r="D277" s="113"/>
      <c r="E277" s="113"/>
      <c r="F277" s="113"/>
      <c r="G277" s="227"/>
      <c r="H277" s="113"/>
      <c r="I277" s="113"/>
      <c r="J277" s="113"/>
      <c r="K277" s="113"/>
      <c r="L277" s="113"/>
      <c r="M277" s="113"/>
      <c r="N277" s="113"/>
      <c r="O277" s="113"/>
      <c r="P277" s="113"/>
      <c r="Q277" s="239"/>
      <c r="R277" s="239"/>
      <c r="S277" s="113"/>
      <c r="T277" s="113"/>
      <c r="U277" s="113"/>
      <c r="V277" s="113"/>
      <c r="W277" s="117"/>
      <c r="X277" s="113"/>
      <c r="Y277" s="152"/>
    </row>
    <row r="278" spans="1:25" s="8" customFormat="1" x14ac:dyDescent="0.25">
      <c r="A278" s="9"/>
      <c r="B278" s="4"/>
      <c r="C278" s="17"/>
      <c r="D278" s="113"/>
      <c r="E278" s="113"/>
      <c r="F278" s="113"/>
      <c r="G278" s="227"/>
      <c r="H278" s="113"/>
      <c r="I278" s="113"/>
      <c r="J278" s="113"/>
      <c r="K278" s="113"/>
      <c r="L278" s="113"/>
      <c r="M278" s="113"/>
      <c r="N278" s="113"/>
      <c r="O278" s="113"/>
      <c r="P278" s="113"/>
      <c r="Q278" s="239"/>
      <c r="R278" s="239"/>
      <c r="S278" s="113"/>
      <c r="T278" s="113"/>
      <c r="U278" s="113"/>
      <c r="V278" s="113"/>
      <c r="W278" s="117"/>
      <c r="X278" s="113"/>
      <c r="Y278" s="152"/>
    </row>
    <row r="279" spans="1:25" s="8" customFormat="1" x14ac:dyDescent="0.25">
      <c r="A279" s="9"/>
      <c r="B279" s="4"/>
      <c r="C279" s="17"/>
      <c r="D279" s="113"/>
      <c r="E279" s="113"/>
      <c r="F279" s="113"/>
      <c r="G279" s="227"/>
      <c r="H279" s="113"/>
      <c r="I279" s="113"/>
      <c r="J279" s="113"/>
      <c r="K279" s="113"/>
      <c r="L279" s="113"/>
      <c r="M279" s="113"/>
      <c r="N279" s="113"/>
      <c r="O279" s="113"/>
      <c r="P279" s="113"/>
      <c r="Q279" s="239"/>
      <c r="R279" s="239"/>
      <c r="S279" s="113"/>
      <c r="T279" s="113"/>
      <c r="U279" s="113"/>
      <c r="V279" s="113"/>
      <c r="W279" s="117"/>
      <c r="X279" s="113"/>
      <c r="Y279" s="152"/>
    </row>
    <row r="280" spans="1:25" s="8" customFormat="1" x14ac:dyDescent="0.25">
      <c r="A280" s="9"/>
      <c r="B280" s="4"/>
      <c r="C280" s="17"/>
      <c r="D280" s="113"/>
      <c r="E280" s="113"/>
      <c r="F280" s="113"/>
      <c r="G280" s="227"/>
      <c r="H280" s="113"/>
      <c r="I280" s="113"/>
      <c r="J280" s="113"/>
      <c r="K280" s="113"/>
      <c r="L280" s="113"/>
      <c r="M280" s="113"/>
      <c r="N280" s="113"/>
      <c r="O280" s="113"/>
      <c r="P280" s="113"/>
      <c r="Q280" s="239"/>
      <c r="R280" s="239"/>
      <c r="S280" s="113"/>
      <c r="T280" s="113"/>
      <c r="U280" s="113"/>
      <c r="V280" s="113"/>
      <c r="W280" s="117"/>
      <c r="X280" s="113"/>
      <c r="Y280" s="152"/>
    </row>
    <row r="281" spans="1:25" s="8" customFormat="1" x14ac:dyDescent="0.25">
      <c r="A281" s="9"/>
      <c r="B281" s="4"/>
      <c r="C281" s="17"/>
      <c r="D281" s="113"/>
      <c r="E281" s="113"/>
      <c r="F281" s="113"/>
      <c r="G281" s="227"/>
      <c r="H281" s="113"/>
      <c r="I281" s="113"/>
      <c r="J281" s="113"/>
      <c r="K281" s="113"/>
      <c r="L281" s="113"/>
      <c r="M281" s="113"/>
      <c r="N281" s="113"/>
      <c r="O281" s="113"/>
      <c r="P281" s="113"/>
      <c r="Q281" s="239"/>
      <c r="R281" s="239"/>
      <c r="S281" s="113"/>
      <c r="T281" s="113"/>
      <c r="U281" s="113"/>
      <c r="V281" s="113"/>
      <c r="W281" s="117"/>
      <c r="X281" s="113"/>
      <c r="Y281" s="152"/>
    </row>
    <row r="282" spans="1:25" s="8" customFormat="1" x14ac:dyDescent="0.25">
      <c r="A282" s="9"/>
      <c r="B282" s="4"/>
      <c r="C282" s="17"/>
      <c r="D282" s="113"/>
      <c r="E282" s="113"/>
      <c r="F282" s="113"/>
      <c r="G282" s="227"/>
      <c r="H282" s="113"/>
      <c r="I282" s="113"/>
      <c r="J282" s="113"/>
      <c r="K282" s="113"/>
      <c r="L282" s="113"/>
      <c r="M282" s="113"/>
      <c r="N282" s="113"/>
      <c r="O282" s="113"/>
      <c r="P282" s="113"/>
      <c r="Q282" s="239"/>
      <c r="R282" s="239"/>
      <c r="S282" s="113"/>
      <c r="T282" s="113"/>
      <c r="U282" s="113"/>
      <c r="V282" s="113"/>
      <c r="W282" s="117"/>
      <c r="X282" s="113"/>
      <c r="Y282" s="152"/>
    </row>
    <row r="283" spans="1:25" s="8" customFormat="1" x14ac:dyDescent="0.25">
      <c r="A283" s="9"/>
      <c r="B283" s="4"/>
      <c r="C283" s="17"/>
      <c r="D283" s="113"/>
      <c r="E283" s="113"/>
      <c r="F283" s="113"/>
      <c r="G283" s="227"/>
      <c r="H283" s="113"/>
      <c r="I283" s="113"/>
      <c r="J283" s="113"/>
      <c r="K283" s="113"/>
      <c r="L283" s="113"/>
      <c r="M283" s="113"/>
      <c r="N283" s="113"/>
      <c r="O283" s="113"/>
      <c r="P283" s="113"/>
      <c r="Q283" s="239"/>
      <c r="R283" s="239"/>
      <c r="S283" s="113"/>
      <c r="T283" s="113"/>
      <c r="U283" s="113"/>
      <c r="V283" s="113"/>
      <c r="W283" s="117"/>
      <c r="X283" s="113"/>
      <c r="Y283" s="152"/>
    </row>
    <row r="284" spans="1:25" s="8" customFormat="1" x14ac:dyDescent="0.25">
      <c r="A284" s="9"/>
      <c r="B284" s="4"/>
      <c r="C284" s="17"/>
      <c r="D284" s="113"/>
      <c r="E284" s="113"/>
      <c r="F284" s="113"/>
      <c r="G284" s="227"/>
      <c r="H284" s="113"/>
      <c r="I284" s="113"/>
      <c r="J284" s="113"/>
      <c r="K284" s="113"/>
      <c r="L284" s="113"/>
      <c r="M284" s="113"/>
      <c r="N284" s="113"/>
      <c r="O284" s="113"/>
      <c r="P284" s="113"/>
      <c r="Q284" s="239"/>
      <c r="R284" s="239"/>
      <c r="S284" s="113"/>
      <c r="T284" s="113"/>
      <c r="U284" s="113"/>
      <c r="V284" s="113"/>
      <c r="W284" s="117"/>
      <c r="X284" s="113"/>
      <c r="Y284" s="152"/>
    </row>
    <row r="285" spans="1:25" s="8" customFormat="1" x14ac:dyDescent="0.25">
      <c r="A285" s="9"/>
      <c r="B285" s="4"/>
      <c r="C285" s="17"/>
      <c r="D285" s="113"/>
      <c r="E285" s="113"/>
      <c r="F285" s="113"/>
      <c r="G285" s="227"/>
      <c r="H285" s="113"/>
      <c r="I285" s="113"/>
      <c r="J285" s="113"/>
      <c r="K285" s="113"/>
      <c r="L285" s="113"/>
      <c r="M285" s="113"/>
      <c r="N285" s="113"/>
      <c r="O285" s="113"/>
      <c r="P285" s="113"/>
      <c r="Q285" s="239"/>
      <c r="R285" s="239"/>
      <c r="S285" s="113"/>
      <c r="T285" s="113"/>
      <c r="U285" s="113"/>
      <c r="V285" s="113"/>
      <c r="W285" s="117"/>
      <c r="X285" s="113"/>
      <c r="Y285" s="152"/>
    </row>
    <row r="286" spans="1:25" s="8" customFormat="1" x14ac:dyDescent="0.25">
      <c r="A286" s="9"/>
      <c r="B286" s="4"/>
      <c r="C286" s="17"/>
      <c r="D286" s="113"/>
      <c r="E286" s="113"/>
      <c r="F286" s="113"/>
      <c r="G286" s="227"/>
      <c r="H286" s="113"/>
      <c r="I286" s="113"/>
      <c r="J286" s="113"/>
      <c r="K286" s="113"/>
      <c r="L286" s="113"/>
      <c r="M286" s="113"/>
      <c r="N286" s="113"/>
      <c r="O286" s="113"/>
      <c r="P286" s="113"/>
      <c r="Q286" s="239"/>
      <c r="R286" s="239"/>
      <c r="S286" s="113"/>
      <c r="T286" s="113"/>
      <c r="U286" s="113"/>
      <c r="V286" s="113"/>
      <c r="W286" s="117"/>
      <c r="X286" s="113"/>
      <c r="Y286" s="152"/>
    </row>
    <row r="287" spans="1:25" s="8" customFormat="1" x14ac:dyDescent="0.25">
      <c r="A287" s="9"/>
      <c r="B287" s="4"/>
      <c r="C287" s="17"/>
      <c r="D287" s="113"/>
      <c r="E287" s="113"/>
      <c r="F287" s="113"/>
      <c r="G287" s="227"/>
      <c r="H287" s="113"/>
      <c r="I287" s="113"/>
      <c r="J287" s="113"/>
      <c r="K287" s="113"/>
      <c r="L287" s="113"/>
      <c r="M287" s="113"/>
      <c r="N287" s="113"/>
      <c r="O287" s="113"/>
      <c r="P287" s="113"/>
      <c r="Q287" s="239"/>
      <c r="R287" s="239"/>
      <c r="S287" s="113"/>
      <c r="T287" s="113"/>
      <c r="U287" s="113"/>
      <c r="V287" s="113"/>
      <c r="W287" s="117"/>
      <c r="X287" s="113"/>
      <c r="Y287" s="152"/>
    </row>
    <row r="288" spans="1:25" s="8" customFormat="1" x14ac:dyDescent="0.25">
      <c r="A288" s="9"/>
      <c r="B288" s="4"/>
      <c r="C288" s="17"/>
      <c r="D288" s="113"/>
      <c r="E288" s="113"/>
      <c r="F288" s="113"/>
      <c r="G288" s="227"/>
      <c r="H288" s="113"/>
      <c r="I288" s="113"/>
      <c r="J288" s="113"/>
      <c r="K288" s="113"/>
      <c r="L288" s="113"/>
      <c r="M288" s="113"/>
      <c r="N288" s="113"/>
      <c r="O288" s="113"/>
      <c r="P288" s="113"/>
      <c r="Q288" s="239"/>
      <c r="R288" s="239"/>
      <c r="S288" s="113"/>
      <c r="T288" s="113"/>
      <c r="U288" s="113"/>
      <c r="V288" s="113"/>
      <c r="W288" s="117"/>
      <c r="X288" s="113"/>
      <c r="Y288" s="152"/>
    </row>
    <row r="289" spans="1:25" s="8" customFormat="1" x14ac:dyDescent="0.25">
      <c r="A289" s="9"/>
      <c r="B289" s="4"/>
      <c r="C289" s="17"/>
      <c r="D289" s="113"/>
      <c r="E289" s="113"/>
      <c r="F289" s="113"/>
      <c r="G289" s="227"/>
      <c r="H289" s="113"/>
      <c r="I289" s="113"/>
      <c r="J289" s="113"/>
      <c r="K289" s="113"/>
      <c r="L289" s="113"/>
      <c r="M289" s="113"/>
      <c r="N289" s="113"/>
      <c r="O289" s="113"/>
      <c r="P289" s="113"/>
      <c r="Q289" s="239"/>
      <c r="R289" s="239"/>
      <c r="S289" s="113"/>
      <c r="T289" s="113"/>
      <c r="U289" s="113"/>
      <c r="V289" s="113"/>
      <c r="W289" s="117"/>
      <c r="X289" s="113"/>
      <c r="Y289" s="152"/>
    </row>
    <row r="290" spans="1:25" s="8" customFormat="1" x14ac:dyDescent="0.25">
      <c r="A290" s="9"/>
      <c r="B290" s="4"/>
      <c r="C290" s="17"/>
      <c r="D290" s="113"/>
      <c r="E290" s="113"/>
      <c r="F290" s="113"/>
      <c r="G290" s="227"/>
      <c r="H290" s="113"/>
      <c r="I290" s="113"/>
      <c r="J290" s="113"/>
      <c r="K290" s="113"/>
      <c r="L290" s="113"/>
      <c r="M290" s="113"/>
      <c r="N290" s="113"/>
      <c r="O290" s="113"/>
      <c r="P290" s="113"/>
      <c r="Q290" s="239"/>
      <c r="R290" s="239"/>
      <c r="S290" s="113"/>
      <c r="T290" s="113"/>
      <c r="U290" s="113"/>
      <c r="V290" s="113"/>
      <c r="W290" s="117"/>
      <c r="X290" s="113"/>
      <c r="Y290" s="152"/>
    </row>
    <row r="291" spans="1:25" s="8" customFormat="1" x14ac:dyDescent="0.25">
      <c r="A291" s="9"/>
      <c r="B291" s="4"/>
      <c r="C291" s="17"/>
      <c r="D291" s="113"/>
      <c r="E291" s="113"/>
      <c r="F291" s="113"/>
      <c r="G291" s="227"/>
      <c r="H291" s="113"/>
      <c r="I291" s="113"/>
      <c r="J291" s="113"/>
      <c r="K291" s="113"/>
      <c r="L291" s="113"/>
      <c r="M291" s="113"/>
      <c r="N291" s="113"/>
      <c r="O291" s="113"/>
      <c r="P291" s="113"/>
      <c r="Q291" s="239"/>
      <c r="R291" s="239"/>
      <c r="S291" s="113"/>
      <c r="T291" s="113"/>
      <c r="U291" s="113"/>
      <c r="V291" s="113"/>
      <c r="W291" s="117"/>
      <c r="X291" s="113"/>
      <c r="Y291" s="152"/>
    </row>
    <row r="292" spans="1:25" s="8" customFormat="1" x14ac:dyDescent="0.25">
      <c r="A292" s="9"/>
      <c r="B292" s="4"/>
      <c r="C292" s="17"/>
      <c r="D292" s="113"/>
      <c r="E292" s="113"/>
      <c r="F292" s="113"/>
      <c r="G292" s="227"/>
      <c r="H292" s="113"/>
      <c r="I292" s="113"/>
      <c r="J292" s="113"/>
      <c r="K292" s="113"/>
      <c r="L292" s="113"/>
      <c r="M292" s="113"/>
      <c r="N292" s="113"/>
      <c r="O292" s="113"/>
      <c r="P292" s="113"/>
      <c r="Q292" s="239"/>
      <c r="R292" s="239"/>
      <c r="S292" s="113"/>
      <c r="T292" s="113"/>
      <c r="U292" s="113"/>
      <c r="V292" s="113"/>
      <c r="W292" s="117"/>
      <c r="X292" s="113"/>
      <c r="Y292" s="152"/>
    </row>
    <row r="293" spans="1:25" s="8" customFormat="1" x14ac:dyDescent="0.25">
      <c r="A293" s="9"/>
      <c r="B293" s="4"/>
      <c r="C293" s="17"/>
      <c r="D293" s="113"/>
      <c r="E293" s="113"/>
      <c r="F293" s="113"/>
      <c r="G293" s="227"/>
      <c r="H293" s="113"/>
      <c r="I293" s="113"/>
      <c r="J293" s="113"/>
      <c r="K293" s="113"/>
      <c r="L293" s="113"/>
      <c r="M293" s="113"/>
      <c r="N293" s="113"/>
      <c r="O293" s="113"/>
      <c r="P293" s="113"/>
      <c r="Q293" s="239"/>
      <c r="R293" s="239"/>
      <c r="S293" s="113"/>
      <c r="T293" s="113"/>
      <c r="U293" s="113"/>
      <c r="V293" s="113"/>
      <c r="W293" s="117"/>
      <c r="X293" s="113"/>
      <c r="Y293" s="152"/>
    </row>
    <row r="294" spans="1:25" s="8" customFormat="1" x14ac:dyDescent="0.25">
      <c r="A294" s="9"/>
      <c r="B294" s="4"/>
      <c r="C294" s="17"/>
      <c r="D294" s="113"/>
      <c r="E294" s="113"/>
      <c r="F294" s="113"/>
      <c r="G294" s="227"/>
      <c r="H294" s="113"/>
      <c r="I294" s="113"/>
      <c r="J294" s="113"/>
      <c r="K294" s="113"/>
      <c r="L294" s="113"/>
      <c r="M294" s="113"/>
      <c r="N294" s="113"/>
      <c r="O294" s="113"/>
      <c r="P294" s="113"/>
      <c r="Q294" s="239"/>
      <c r="R294" s="239"/>
      <c r="S294" s="113"/>
      <c r="T294" s="113"/>
      <c r="U294" s="113"/>
      <c r="V294" s="113"/>
      <c r="W294" s="117"/>
      <c r="X294" s="113"/>
      <c r="Y294" s="152"/>
    </row>
    <row r="295" spans="1:25" s="8" customFormat="1" x14ac:dyDescent="0.25">
      <c r="A295" s="9"/>
      <c r="B295" s="4"/>
      <c r="C295" s="17"/>
      <c r="D295" s="113"/>
      <c r="E295" s="113"/>
      <c r="F295" s="113"/>
      <c r="G295" s="227"/>
      <c r="H295" s="113"/>
      <c r="I295" s="113"/>
      <c r="J295" s="113"/>
      <c r="K295" s="113"/>
      <c r="L295" s="113"/>
      <c r="M295" s="113"/>
      <c r="N295" s="113"/>
      <c r="O295" s="113"/>
      <c r="P295" s="113"/>
      <c r="Q295" s="239"/>
      <c r="R295" s="239"/>
      <c r="S295" s="113"/>
      <c r="T295" s="113"/>
      <c r="U295" s="113"/>
      <c r="V295" s="113"/>
      <c r="W295" s="117"/>
      <c r="X295" s="113"/>
      <c r="Y295" s="152"/>
    </row>
    <row r="296" spans="1:25" s="8" customFormat="1" x14ac:dyDescent="0.25">
      <c r="A296" s="9"/>
      <c r="B296" s="4"/>
      <c r="C296" s="17"/>
      <c r="D296" s="113"/>
      <c r="E296" s="113"/>
      <c r="F296" s="113"/>
      <c r="G296" s="227"/>
      <c r="H296" s="113"/>
      <c r="I296" s="113"/>
      <c r="J296" s="113"/>
      <c r="K296" s="113"/>
      <c r="L296" s="113"/>
      <c r="M296" s="113"/>
      <c r="N296" s="113"/>
      <c r="O296" s="113"/>
      <c r="P296" s="113"/>
      <c r="Q296" s="239"/>
      <c r="R296" s="239"/>
      <c r="S296" s="113"/>
      <c r="T296" s="113"/>
      <c r="U296" s="113"/>
      <c r="V296" s="113"/>
      <c r="W296" s="117"/>
      <c r="X296" s="113"/>
      <c r="Y296" s="152"/>
    </row>
    <row r="297" spans="1:25" s="8" customFormat="1" x14ac:dyDescent="0.25">
      <c r="A297" s="9"/>
      <c r="B297" s="4"/>
      <c r="C297" s="17"/>
      <c r="D297" s="113"/>
      <c r="E297" s="113"/>
      <c r="F297" s="113"/>
      <c r="G297" s="227"/>
      <c r="H297" s="113"/>
      <c r="I297" s="113"/>
      <c r="J297" s="113"/>
      <c r="K297" s="113"/>
      <c r="L297" s="113"/>
      <c r="M297" s="113"/>
      <c r="N297" s="113"/>
      <c r="O297" s="113"/>
      <c r="P297" s="113"/>
      <c r="Q297" s="239"/>
      <c r="R297" s="239"/>
      <c r="S297" s="113"/>
      <c r="T297" s="113"/>
      <c r="U297" s="113"/>
      <c r="V297" s="113"/>
      <c r="W297" s="117"/>
      <c r="X297" s="113"/>
      <c r="Y297" s="152"/>
    </row>
    <row r="298" spans="1:25" s="8" customFormat="1" x14ac:dyDescent="0.25">
      <c r="A298" s="9"/>
      <c r="B298" s="4"/>
      <c r="C298" s="17"/>
      <c r="D298" s="113"/>
      <c r="E298" s="113"/>
      <c r="F298" s="113"/>
      <c r="G298" s="227"/>
      <c r="H298" s="113"/>
      <c r="I298" s="113"/>
      <c r="J298" s="113"/>
      <c r="K298" s="113"/>
      <c r="L298" s="113"/>
      <c r="M298" s="113"/>
      <c r="N298" s="113"/>
      <c r="O298" s="113"/>
      <c r="P298" s="113"/>
      <c r="Q298" s="239"/>
      <c r="R298" s="239"/>
      <c r="S298" s="113"/>
      <c r="T298" s="113"/>
      <c r="U298" s="113"/>
      <c r="V298" s="113"/>
      <c r="W298" s="117"/>
      <c r="X298" s="113"/>
      <c r="Y298" s="152"/>
    </row>
    <row r="299" spans="1:25" s="8" customFormat="1" x14ac:dyDescent="0.25">
      <c r="A299" s="9"/>
      <c r="B299" s="4"/>
      <c r="C299" s="17"/>
      <c r="D299" s="113"/>
      <c r="E299" s="113"/>
      <c r="F299" s="113"/>
      <c r="G299" s="227"/>
      <c r="H299" s="113"/>
      <c r="I299" s="113"/>
      <c r="J299" s="113"/>
      <c r="K299" s="113"/>
      <c r="L299" s="113"/>
      <c r="M299" s="113"/>
      <c r="N299" s="113"/>
      <c r="O299" s="113"/>
      <c r="P299" s="113"/>
      <c r="Q299" s="239"/>
      <c r="R299" s="239"/>
      <c r="S299" s="113"/>
      <c r="T299" s="113"/>
      <c r="U299" s="113"/>
      <c r="V299" s="113"/>
      <c r="W299" s="117"/>
      <c r="X299" s="113"/>
      <c r="Y299" s="152"/>
    </row>
    <row r="300" spans="1:25" s="8" customFormat="1" x14ac:dyDescent="0.25">
      <c r="A300" s="9"/>
      <c r="B300" s="4"/>
      <c r="C300" s="17"/>
      <c r="D300" s="113"/>
      <c r="E300" s="113"/>
      <c r="F300" s="113"/>
      <c r="G300" s="227"/>
      <c r="H300" s="113"/>
      <c r="I300" s="113"/>
      <c r="J300" s="113"/>
      <c r="K300" s="113"/>
      <c r="L300" s="113"/>
      <c r="M300" s="113"/>
      <c r="N300" s="113"/>
      <c r="O300" s="113"/>
      <c r="P300" s="113"/>
      <c r="Q300" s="239"/>
      <c r="R300" s="239"/>
      <c r="S300" s="113"/>
      <c r="T300" s="113"/>
      <c r="U300" s="113"/>
      <c r="V300" s="113"/>
      <c r="W300" s="117"/>
      <c r="X300" s="113"/>
      <c r="Y300" s="152"/>
    </row>
    <row r="301" spans="1:25" s="8" customFormat="1" x14ac:dyDescent="0.25">
      <c r="A301" s="9"/>
      <c r="B301" s="4"/>
      <c r="C301" s="17"/>
      <c r="D301" s="113"/>
      <c r="E301" s="113"/>
      <c r="F301" s="113"/>
      <c r="G301" s="227"/>
      <c r="H301" s="113"/>
      <c r="I301" s="113"/>
      <c r="J301" s="113"/>
      <c r="K301" s="113"/>
      <c r="L301" s="113"/>
      <c r="M301" s="113"/>
      <c r="N301" s="113"/>
      <c r="O301" s="113"/>
      <c r="P301" s="113"/>
      <c r="Q301" s="239"/>
      <c r="R301" s="239"/>
      <c r="S301" s="113"/>
      <c r="T301" s="113"/>
      <c r="U301" s="113"/>
      <c r="V301" s="113"/>
      <c r="W301" s="117"/>
      <c r="X301" s="113"/>
      <c r="Y301" s="152"/>
    </row>
    <row r="302" spans="1:25" s="8" customFormat="1" x14ac:dyDescent="0.25">
      <c r="A302" s="9"/>
      <c r="B302" s="4"/>
      <c r="C302" s="17"/>
      <c r="D302" s="113"/>
      <c r="E302" s="113"/>
      <c r="F302" s="113"/>
      <c r="G302" s="227"/>
      <c r="H302" s="113"/>
      <c r="I302" s="113"/>
      <c r="J302" s="113"/>
      <c r="K302" s="113"/>
      <c r="L302" s="113"/>
      <c r="M302" s="113"/>
      <c r="N302" s="113"/>
      <c r="O302" s="113"/>
      <c r="P302" s="113"/>
      <c r="Q302" s="239"/>
      <c r="R302" s="239"/>
      <c r="S302" s="113"/>
      <c r="T302" s="113"/>
      <c r="U302" s="113"/>
      <c r="V302" s="113"/>
      <c r="W302" s="117"/>
      <c r="X302" s="113"/>
      <c r="Y302" s="152"/>
    </row>
    <row r="303" spans="1:25" s="8" customFormat="1" x14ac:dyDescent="0.25">
      <c r="A303" s="9"/>
      <c r="B303" s="4"/>
      <c r="C303" s="17"/>
      <c r="D303" s="113"/>
      <c r="E303" s="113"/>
      <c r="F303" s="113"/>
      <c r="G303" s="227"/>
      <c r="H303" s="113"/>
      <c r="I303" s="113"/>
      <c r="J303" s="113"/>
      <c r="K303" s="113"/>
      <c r="L303" s="113"/>
      <c r="M303" s="113"/>
      <c r="N303" s="113"/>
      <c r="O303" s="113"/>
      <c r="P303" s="113"/>
      <c r="Q303" s="239"/>
      <c r="R303" s="239"/>
      <c r="S303" s="113"/>
      <c r="T303" s="113"/>
      <c r="U303" s="113"/>
      <c r="V303" s="113"/>
      <c r="W303" s="117"/>
      <c r="X303" s="113"/>
      <c r="Y303" s="152"/>
    </row>
    <row r="304" spans="1:25" s="8" customFormat="1" x14ac:dyDescent="0.25">
      <c r="A304" s="9"/>
      <c r="B304" s="4"/>
      <c r="C304" s="17"/>
      <c r="D304" s="113"/>
      <c r="E304" s="113"/>
      <c r="F304" s="113"/>
      <c r="G304" s="227"/>
      <c r="H304" s="113"/>
      <c r="I304" s="113"/>
      <c r="J304" s="113"/>
      <c r="K304" s="113"/>
      <c r="L304" s="113"/>
      <c r="M304" s="113"/>
      <c r="N304" s="113"/>
      <c r="O304" s="113"/>
      <c r="P304" s="113"/>
      <c r="Q304" s="239"/>
      <c r="R304" s="239"/>
      <c r="S304" s="113"/>
      <c r="T304" s="113"/>
      <c r="U304" s="113"/>
      <c r="V304" s="113"/>
      <c r="W304" s="117"/>
      <c r="X304" s="113"/>
      <c r="Y304" s="152"/>
    </row>
    <row r="305" spans="1:25" s="8" customFormat="1" x14ac:dyDescent="0.25">
      <c r="A305" s="9"/>
      <c r="B305" s="4"/>
      <c r="C305" s="17"/>
      <c r="D305" s="113"/>
      <c r="E305" s="113"/>
      <c r="F305" s="113"/>
      <c r="G305" s="227"/>
      <c r="H305" s="113"/>
      <c r="I305" s="113"/>
      <c r="J305" s="113"/>
      <c r="K305" s="113"/>
      <c r="L305" s="113"/>
      <c r="M305" s="113"/>
      <c r="N305" s="113"/>
      <c r="O305" s="113"/>
      <c r="P305" s="113"/>
      <c r="Q305" s="239"/>
      <c r="R305" s="239"/>
      <c r="S305" s="113"/>
      <c r="T305" s="113"/>
      <c r="U305" s="113"/>
      <c r="V305" s="113"/>
      <c r="W305" s="117"/>
      <c r="X305" s="113"/>
      <c r="Y305" s="152"/>
    </row>
    <row r="306" spans="1:25" s="8" customFormat="1" x14ac:dyDescent="0.25">
      <c r="A306" s="9"/>
      <c r="B306" s="4"/>
      <c r="C306" s="17"/>
      <c r="D306" s="113"/>
      <c r="E306" s="113"/>
      <c r="F306" s="113"/>
      <c r="G306" s="227"/>
      <c r="H306" s="113"/>
      <c r="I306" s="113"/>
      <c r="J306" s="113"/>
      <c r="K306" s="113"/>
      <c r="L306" s="113"/>
      <c r="M306" s="113"/>
      <c r="N306" s="113"/>
      <c r="O306" s="113"/>
      <c r="P306" s="113"/>
      <c r="Q306" s="239"/>
      <c r="R306" s="239"/>
      <c r="S306" s="113"/>
      <c r="T306" s="113"/>
      <c r="U306" s="113"/>
      <c r="V306" s="113"/>
      <c r="W306" s="117"/>
      <c r="X306" s="113"/>
      <c r="Y306" s="152"/>
    </row>
    <row r="307" spans="1:25" s="8" customFormat="1" x14ac:dyDescent="0.25">
      <c r="A307" s="9"/>
      <c r="B307" s="4"/>
      <c r="C307" s="17"/>
      <c r="D307" s="113"/>
      <c r="E307" s="113"/>
      <c r="F307" s="113"/>
      <c r="G307" s="227"/>
      <c r="H307" s="113"/>
      <c r="I307" s="113"/>
      <c r="J307" s="113"/>
      <c r="K307" s="113"/>
      <c r="L307" s="113"/>
      <c r="M307" s="113"/>
      <c r="N307" s="113"/>
      <c r="O307" s="113"/>
      <c r="P307" s="113"/>
      <c r="Q307" s="239"/>
      <c r="R307" s="239"/>
      <c r="S307" s="113"/>
      <c r="T307" s="113"/>
      <c r="U307" s="113"/>
      <c r="V307" s="113"/>
      <c r="W307" s="117"/>
      <c r="X307" s="113"/>
      <c r="Y307" s="152"/>
    </row>
    <row r="308" spans="1:25" s="8" customFormat="1" x14ac:dyDescent="0.25">
      <c r="A308" s="9"/>
      <c r="B308" s="4"/>
      <c r="C308" s="17"/>
      <c r="D308" s="113"/>
      <c r="E308" s="113"/>
      <c r="F308" s="113"/>
      <c r="G308" s="227"/>
      <c r="H308" s="113"/>
      <c r="I308" s="113"/>
      <c r="J308" s="113"/>
      <c r="K308" s="113"/>
      <c r="L308" s="113"/>
      <c r="M308" s="113"/>
      <c r="N308" s="113"/>
      <c r="O308" s="113"/>
      <c r="P308" s="113"/>
      <c r="Q308" s="239"/>
      <c r="R308" s="239"/>
      <c r="S308" s="113"/>
      <c r="T308" s="113"/>
      <c r="U308" s="113"/>
      <c r="V308" s="113"/>
      <c r="W308" s="117"/>
      <c r="X308" s="113"/>
      <c r="Y308" s="152"/>
    </row>
    <row r="309" spans="1:25" s="8" customFormat="1" x14ac:dyDescent="0.25">
      <c r="A309" s="9"/>
      <c r="B309" s="4"/>
      <c r="C309" s="17"/>
      <c r="D309" s="113"/>
      <c r="E309" s="113"/>
      <c r="F309" s="113"/>
      <c r="G309" s="227"/>
      <c r="H309" s="113"/>
      <c r="I309" s="113"/>
      <c r="J309" s="113"/>
      <c r="K309" s="113"/>
      <c r="L309" s="113"/>
      <c r="M309" s="113"/>
      <c r="N309" s="113"/>
      <c r="O309" s="113"/>
      <c r="P309" s="113"/>
      <c r="Q309" s="239"/>
      <c r="R309" s="239"/>
      <c r="S309" s="113"/>
      <c r="T309" s="113"/>
      <c r="U309" s="113"/>
      <c r="V309" s="113"/>
      <c r="W309" s="117"/>
      <c r="X309" s="113"/>
      <c r="Y309" s="152"/>
    </row>
    <row r="310" spans="1:25" s="8" customFormat="1" x14ac:dyDescent="0.25">
      <c r="A310" s="9"/>
      <c r="B310" s="4"/>
      <c r="C310" s="17"/>
      <c r="D310" s="113"/>
      <c r="E310" s="113"/>
      <c r="F310" s="113"/>
      <c r="G310" s="227"/>
      <c r="H310" s="113"/>
      <c r="I310" s="113"/>
      <c r="J310" s="113"/>
      <c r="K310" s="113"/>
      <c r="L310" s="113"/>
      <c r="M310" s="113"/>
      <c r="N310" s="113"/>
      <c r="O310" s="113"/>
      <c r="P310" s="113"/>
      <c r="Q310" s="239"/>
      <c r="R310" s="239"/>
      <c r="S310" s="113"/>
      <c r="T310" s="113"/>
      <c r="U310" s="113"/>
      <c r="V310" s="113"/>
      <c r="W310" s="117"/>
      <c r="X310" s="113"/>
      <c r="Y310" s="152"/>
    </row>
    <row r="311" spans="1:25" s="8" customFormat="1" x14ac:dyDescent="0.25">
      <c r="A311" s="9"/>
      <c r="B311" s="4"/>
      <c r="C311" s="17"/>
      <c r="D311" s="113"/>
      <c r="E311" s="113"/>
      <c r="F311" s="113"/>
      <c r="G311" s="227"/>
      <c r="H311" s="113"/>
      <c r="I311" s="113"/>
      <c r="J311" s="113"/>
      <c r="K311" s="113"/>
      <c r="L311" s="113"/>
      <c r="M311" s="113"/>
      <c r="N311" s="113"/>
      <c r="O311" s="113"/>
      <c r="P311" s="113"/>
      <c r="Q311" s="239"/>
      <c r="R311" s="239"/>
      <c r="S311" s="113"/>
      <c r="T311" s="113"/>
      <c r="U311" s="113"/>
      <c r="V311" s="113"/>
      <c r="W311" s="117"/>
      <c r="X311" s="113"/>
      <c r="Y311" s="152"/>
    </row>
    <row r="312" spans="1:25" s="8" customFormat="1" x14ac:dyDescent="0.25">
      <c r="A312" s="9"/>
      <c r="B312" s="4"/>
      <c r="C312" s="17"/>
      <c r="D312" s="113"/>
      <c r="E312" s="113"/>
      <c r="F312" s="113"/>
      <c r="G312" s="227"/>
      <c r="H312" s="113"/>
      <c r="I312" s="113"/>
      <c r="J312" s="113"/>
      <c r="K312" s="113"/>
      <c r="L312" s="113"/>
      <c r="M312" s="113"/>
      <c r="N312" s="113"/>
      <c r="O312" s="113"/>
      <c r="P312" s="113"/>
      <c r="Q312" s="239"/>
      <c r="R312" s="239"/>
      <c r="S312" s="113"/>
      <c r="T312" s="113"/>
      <c r="U312" s="113"/>
      <c r="V312" s="113"/>
      <c r="W312" s="117"/>
      <c r="X312" s="113"/>
      <c r="Y312" s="152"/>
    </row>
    <row r="313" spans="1:25" s="8" customFormat="1" x14ac:dyDescent="0.25">
      <c r="A313" s="9"/>
      <c r="B313" s="4"/>
      <c r="C313" s="17"/>
      <c r="D313" s="113"/>
      <c r="E313" s="113"/>
      <c r="F313" s="113"/>
      <c r="G313" s="227"/>
      <c r="H313" s="113"/>
      <c r="I313" s="113"/>
      <c r="J313" s="113"/>
      <c r="K313" s="113"/>
      <c r="L313" s="113"/>
      <c r="M313" s="113"/>
      <c r="N313" s="113"/>
      <c r="O313" s="113"/>
      <c r="P313" s="113"/>
      <c r="Q313" s="239"/>
      <c r="R313" s="239"/>
      <c r="S313" s="113"/>
      <c r="T313" s="113"/>
      <c r="U313" s="113"/>
      <c r="V313" s="113"/>
      <c r="W313" s="117"/>
      <c r="X313" s="113"/>
      <c r="Y313" s="152"/>
    </row>
    <row r="314" spans="1:25" s="8" customFormat="1" x14ac:dyDescent="0.25">
      <c r="A314" s="9"/>
      <c r="B314" s="4"/>
      <c r="C314" s="17"/>
      <c r="D314" s="113"/>
      <c r="E314" s="113"/>
      <c r="F314" s="113"/>
      <c r="G314" s="227"/>
      <c r="H314" s="113"/>
      <c r="I314" s="113"/>
      <c r="J314" s="113"/>
      <c r="K314" s="113"/>
      <c r="L314" s="113"/>
      <c r="M314" s="113"/>
      <c r="N314" s="113"/>
      <c r="O314" s="113"/>
      <c r="P314" s="113"/>
      <c r="Q314" s="239"/>
      <c r="R314" s="239"/>
      <c r="S314" s="113"/>
      <c r="T314" s="113"/>
      <c r="U314" s="113"/>
      <c r="V314" s="113"/>
      <c r="W314" s="117"/>
      <c r="X314" s="113"/>
      <c r="Y314" s="152"/>
    </row>
    <row r="315" spans="1:25" s="8" customFormat="1" x14ac:dyDescent="0.25">
      <c r="A315" s="9"/>
      <c r="B315" s="4"/>
      <c r="C315" s="17"/>
      <c r="D315" s="113"/>
      <c r="E315" s="113"/>
      <c r="F315" s="113"/>
      <c r="G315" s="227"/>
      <c r="H315" s="113"/>
      <c r="I315" s="113"/>
      <c r="J315" s="113"/>
      <c r="K315" s="113"/>
      <c r="L315" s="113"/>
      <c r="M315" s="113"/>
      <c r="N315" s="113"/>
      <c r="O315" s="113"/>
      <c r="P315" s="113"/>
      <c r="Q315" s="239"/>
      <c r="R315" s="239"/>
      <c r="S315" s="113"/>
      <c r="T315" s="113"/>
      <c r="U315" s="113"/>
      <c r="V315" s="113"/>
      <c r="W315" s="117"/>
      <c r="X315" s="113"/>
      <c r="Y315" s="152"/>
    </row>
    <row r="316" spans="1:25" s="8" customFormat="1" x14ac:dyDescent="0.25">
      <c r="A316" s="9"/>
      <c r="B316" s="4"/>
      <c r="C316" s="17"/>
      <c r="D316" s="113"/>
      <c r="E316" s="113"/>
      <c r="F316" s="113"/>
      <c r="G316" s="227"/>
      <c r="H316" s="113"/>
      <c r="I316" s="113"/>
      <c r="J316" s="113"/>
      <c r="K316" s="113"/>
      <c r="L316" s="113"/>
      <c r="M316" s="113"/>
      <c r="N316" s="113"/>
      <c r="O316" s="113"/>
      <c r="P316" s="113"/>
      <c r="Q316" s="239"/>
      <c r="R316" s="239"/>
      <c r="S316" s="113"/>
      <c r="T316" s="113"/>
      <c r="U316" s="113"/>
      <c r="V316" s="113"/>
      <c r="W316" s="117"/>
      <c r="X316" s="113"/>
      <c r="Y316" s="152"/>
    </row>
    <row r="317" spans="1:25" s="8" customFormat="1" x14ac:dyDescent="0.25">
      <c r="A317" s="9"/>
      <c r="B317" s="4"/>
      <c r="C317" s="17"/>
      <c r="D317" s="113"/>
      <c r="E317" s="113"/>
      <c r="F317" s="113"/>
      <c r="G317" s="227"/>
      <c r="H317" s="113"/>
      <c r="I317" s="113"/>
      <c r="J317" s="113"/>
      <c r="K317" s="113"/>
      <c r="L317" s="113"/>
      <c r="M317" s="113"/>
      <c r="N317" s="113"/>
      <c r="O317" s="113"/>
      <c r="P317" s="113"/>
      <c r="Q317" s="239"/>
      <c r="R317" s="239"/>
      <c r="S317" s="113"/>
      <c r="T317" s="113"/>
      <c r="U317" s="113"/>
      <c r="V317" s="113"/>
      <c r="W317" s="117"/>
      <c r="X317" s="113"/>
      <c r="Y317" s="152"/>
    </row>
    <row r="318" spans="1:25" s="8" customFormat="1" x14ac:dyDescent="0.25">
      <c r="A318" s="9"/>
      <c r="B318" s="4"/>
      <c r="C318" s="17"/>
      <c r="D318" s="113"/>
      <c r="E318" s="113"/>
      <c r="F318" s="113"/>
      <c r="G318" s="227"/>
      <c r="H318" s="113"/>
      <c r="I318" s="113"/>
      <c r="J318" s="113"/>
      <c r="K318" s="113"/>
      <c r="L318" s="113"/>
      <c r="M318" s="113"/>
      <c r="N318" s="113"/>
      <c r="O318" s="113"/>
      <c r="P318" s="113"/>
      <c r="Q318" s="239"/>
      <c r="R318" s="239"/>
      <c r="S318" s="113"/>
      <c r="T318" s="113"/>
      <c r="U318" s="113"/>
      <c r="V318" s="113"/>
      <c r="W318" s="117"/>
      <c r="X318" s="113"/>
      <c r="Y318" s="152"/>
    </row>
    <row r="319" spans="1:25" s="8" customFormat="1" x14ac:dyDescent="0.25">
      <c r="A319" s="9"/>
      <c r="B319" s="4"/>
      <c r="C319" s="17"/>
      <c r="D319" s="113"/>
      <c r="E319" s="113"/>
      <c r="F319" s="113"/>
      <c r="G319" s="227"/>
      <c r="H319" s="113"/>
      <c r="I319" s="113"/>
      <c r="J319" s="113"/>
      <c r="K319" s="113"/>
      <c r="L319" s="113"/>
      <c r="M319" s="113"/>
      <c r="N319" s="113"/>
      <c r="O319" s="113"/>
      <c r="P319" s="113"/>
      <c r="Q319" s="239"/>
      <c r="R319" s="239"/>
      <c r="S319" s="113"/>
      <c r="T319" s="113"/>
      <c r="U319" s="113"/>
      <c r="V319" s="113"/>
      <c r="W319" s="117"/>
      <c r="X319" s="113"/>
      <c r="Y319" s="152"/>
    </row>
    <row r="320" spans="1:25" s="8" customFormat="1" x14ac:dyDescent="0.25">
      <c r="A320" s="9"/>
      <c r="B320" s="4"/>
      <c r="C320" s="17"/>
      <c r="D320" s="113"/>
      <c r="E320" s="113"/>
      <c r="F320" s="113"/>
      <c r="G320" s="227"/>
      <c r="H320" s="113"/>
      <c r="I320" s="113"/>
      <c r="J320" s="113"/>
      <c r="K320" s="113"/>
      <c r="L320" s="113"/>
      <c r="M320" s="113"/>
      <c r="N320" s="113"/>
      <c r="O320" s="113"/>
      <c r="P320" s="113"/>
      <c r="Q320" s="239"/>
      <c r="R320" s="239"/>
      <c r="S320" s="113"/>
      <c r="T320" s="113"/>
      <c r="U320" s="113"/>
      <c r="V320" s="113"/>
      <c r="W320" s="117"/>
      <c r="X320" s="113"/>
      <c r="Y320" s="152"/>
    </row>
    <row r="321" spans="1:25" s="8" customFormat="1" x14ac:dyDescent="0.25">
      <c r="A321" s="9"/>
      <c r="B321" s="4"/>
      <c r="C321" s="17"/>
      <c r="D321" s="113"/>
      <c r="E321" s="113"/>
      <c r="F321" s="113"/>
      <c r="G321" s="227"/>
      <c r="H321" s="113"/>
      <c r="I321" s="113"/>
      <c r="J321" s="113"/>
      <c r="K321" s="113"/>
      <c r="L321" s="113"/>
      <c r="M321" s="113"/>
      <c r="N321" s="113"/>
      <c r="O321" s="113"/>
      <c r="P321" s="113"/>
      <c r="Q321" s="239"/>
      <c r="R321" s="239"/>
      <c r="S321" s="113"/>
      <c r="T321" s="113"/>
      <c r="U321" s="113"/>
      <c r="V321" s="113"/>
      <c r="W321" s="117"/>
      <c r="X321" s="113"/>
      <c r="Y321" s="152"/>
    </row>
    <row r="322" spans="1:25" s="8" customFormat="1" x14ac:dyDescent="0.25">
      <c r="A322" s="9"/>
      <c r="B322" s="4"/>
      <c r="C322" s="17"/>
      <c r="D322" s="113"/>
      <c r="E322" s="113"/>
      <c r="F322" s="113"/>
      <c r="G322" s="227"/>
      <c r="H322" s="113"/>
      <c r="I322" s="113"/>
      <c r="J322" s="113"/>
      <c r="K322" s="113"/>
      <c r="L322" s="113"/>
      <c r="M322" s="113"/>
      <c r="N322" s="113"/>
      <c r="O322" s="113"/>
      <c r="P322" s="113"/>
      <c r="Q322" s="239"/>
      <c r="R322" s="239"/>
      <c r="S322" s="113"/>
      <c r="T322" s="113"/>
      <c r="U322" s="113"/>
      <c r="V322" s="113"/>
      <c r="W322" s="117"/>
      <c r="X322" s="113"/>
      <c r="Y322" s="152"/>
    </row>
    <row r="323" spans="1:25" s="8" customFormat="1" x14ac:dyDescent="0.25">
      <c r="A323" s="9"/>
      <c r="B323" s="4"/>
      <c r="C323" s="17"/>
      <c r="D323" s="113"/>
      <c r="E323" s="113"/>
      <c r="F323" s="113"/>
      <c r="G323" s="227"/>
      <c r="H323" s="113"/>
      <c r="I323" s="113"/>
      <c r="J323" s="113"/>
      <c r="K323" s="113"/>
      <c r="L323" s="113"/>
      <c r="M323" s="113"/>
      <c r="N323" s="113"/>
      <c r="O323" s="113"/>
      <c r="P323" s="113"/>
      <c r="Q323" s="239"/>
      <c r="R323" s="239"/>
      <c r="S323" s="113"/>
      <c r="T323" s="113"/>
      <c r="U323" s="113"/>
      <c r="V323" s="113"/>
      <c r="W323" s="117"/>
      <c r="X323" s="113"/>
      <c r="Y323" s="152"/>
    </row>
    <row r="324" spans="1:25" s="8" customFormat="1" x14ac:dyDescent="0.25">
      <c r="A324" s="9"/>
      <c r="B324" s="4"/>
      <c r="C324" s="17"/>
      <c r="D324" s="113"/>
      <c r="E324" s="113"/>
      <c r="F324" s="113"/>
      <c r="G324" s="227"/>
      <c r="H324" s="113"/>
      <c r="I324" s="113"/>
      <c r="J324" s="113"/>
      <c r="K324" s="113"/>
      <c r="L324" s="113"/>
      <c r="M324" s="113"/>
      <c r="N324" s="113"/>
      <c r="O324" s="113"/>
      <c r="P324" s="113"/>
      <c r="Q324" s="239"/>
      <c r="R324" s="239"/>
      <c r="S324" s="113"/>
      <c r="T324" s="113"/>
      <c r="U324" s="113"/>
      <c r="V324" s="113"/>
      <c r="W324" s="117"/>
      <c r="X324" s="113"/>
      <c r="Y324" s="152"/>
    </row>
    <row r="325" spans="1:25" s="8" customFormat="1" x14ac:dyDescent="0.25">
      <c r="A325" s="9"/>
      <c r="B325" s="4"/>
      <c r="C325" s="17"/>
      <c r="D325" s="113"/>
      <c r="E325" s="113"/>
      <c r="F325" s="113"/>
      <c r="G325" s="227"/>
      <c r="H325" s="113"/>
      <c r="I325" s="113"/>
      <c r="J325" s="113"/>
      <c r="K325" s="113"/>
      <c r="L325" s="113"/>
      <c r="M325" s="113"/>
      <c r="N325" s="113"/>
      <c r="O325" s="113"/>
      <c r="P325" s="113"/>
      <c r="Q325" s="239"/>
      <c r="R325" s="239"/>
      <c r="S325" s="113"/>
      <c r="T325" s="113"/>
      <c r="U325" s="113"/>
      <c r="V325" s="113"/>
      <c r="W325" s="117"/>
      <c r="X325" s="113"/>
      <c r="Y325" s="152"/>
    </row>
    <row r="326" spans="1:25" s="8" customFormat="1" x14ac:dyDescent="0.25">
      <c r="A326" s="9"/>
      <c r="B326" s="4"/>
      <c r="C326" s="17"/>
      <c r="D326" s="113"/>
      <c r="E326" s="113"/>
      <c r="F326" s="113"/>
      <c r="G326" s="227"/>
      <c r="H326" s="113"/>
      <c r="I326" s="113"/>
      <c r="J326" s="113"/>
      <c r="K326" s="113"/>
      <c r="L326" s="113"/>
      <c r="M326" s="113"/>
      <c r="N326" s="113"/>
      <c r="O326" s="113"/>
      <c r="P326" s="113"/>
      <c r="Q326" s="239"/>
      <c r="R326" s="239"/>
      <c r="S326" s="113"/>
      <c r="T326" s="113"/>
      <c r="U326" s="113"/>
      <c r="V326" s="113"/>
      <c r="W326" s="117"/>
      <c r="X326" s="113"/>
      <c r="Y326" s="152"/>
    </row>
    <row r="327" spans="1:25" s="8" customFormat="1" x14ac:dyDescent="0.25">
      <c r="A327" s="9"/>
      <c r="B327" s="4"/>
      <c r="C327" s="17"/>
      <c r="D327" s="113"/>
      <c r="E327" s="113"/>
      <c r="F327" s="113"/>
      <c r="G327" s="227"/>
      <c r="H327" s="113"/>
      <c r="I327" s="113"/>
      <c r="J327" s="113"/>
      <c r="K327" s="113"/>
      <c r="L327" s="113"/>
      <c r="M327" s="113"/>
      <c r="N327" s="113"/>
      <c r="O327" s="113"/>
      <c r="P327" s="113"/>
      <c r="Q327" s="239"/>
      <c r="R327" s="239"/>
      <c r="S327" s="113"/>
      <c r="T327" s="113"/>
      <c r="U327" s="113"/>
      <c r="V327" s="113"/>
      <c r="W327" s="117"/>
      <c r="X327" s="113"/>
      <c r="Y327" s="152"/>
    </row>
    <row r="328" spans="1:25" s="8" customFormat="1" x14ac:dyDescent="0.25">
      <c r="A328" s="9"/>
      <c r="B328" s="4"/>
      <c r="C328" s="17"/>
      <c r="D328" s="113"/>
      <c r="E328" s="113"/>
      <c r="F328" s="113"/>
      <c r="G328" s="227"/>
      <c r="H328" s="113"/>
      <c r="I328" s="113"/>
      <c r="J328" s="113"/>
      <c r="K328" s="113"/>
      <c r="L328" s="113"/>
      <c r="M328" s="113"/>
      <c r="N328" s="113"/>
      <c r="O328" s="113"/>
      <c r="P328" s="113"/>
      <c r="Q328" s="239"/>
      <c r="R328" s="239"/>
      <c r="S328" s="113"/>
      <c r="T328" s="113"/>
      <c r="U328" s="113"/>
      <c r="V328" s="113"/>
      <c r="W328" s="117"/>
      <c r="X328" s="113"/>
      <c r="Y328" s="152"/>
    </row>
    <row r="329" spans="1:25" s="8" customFormat="1" x14ac:dyDescent="0.25">
      <c r="A329" s="9"/>
      <c r="B329" s="4"/>
      <c r="C329" s="17"/>
      <c r="D329" s="113"/>
      <c r="E329" s="113"/>
      <c r="F329" s="113"/>
      <c r="G329" s="227"/>
      <c r="H329" s="113"/>
      <c r="I329" s="113"/>
      <c r="J329" s="113"/>
      <c r="K329" s="113"/>
      <c r="L329" s="113"/>
      <c r="M329" s="113"/>
      <c r="N329" s="113"/>
      <c r="O329" s="113"/>
      <c r="P329" s="113"/>
      <c r="Q329" s="239"/>
      <c r="R329" s="239"/>
      <c r="S329" s="113"/>
      <c r="T329" s="113"/>
      <c r="U329" s="113"/>
      <c r="V329" s="113"/>
      <c r="W329" s="117"/>
      <c r="X329" s="113"/>
      <c r="Y329" s="152"/>
    </row>
    <row r="330" spans="1:25" s="8" customFormat="1" x14ac:dyDescent="0.25">
      <c r="A330" s="9"/>
      <c r="B330" s="4"/>
      <c r="C330" s="17"/>
      <c r="D330" s="113"/>
      <c r="E330" s="113"/>
      <c r="F330" s="113"/>
      <c r="G330" s="227"/>
      <c r="H330" s="113"/>
      <c r="I330" s="113"/>
      <c r="J330" s="113"/>
      <c r="K330" s="113"/>
      <c r="L330" s="113"/>
      <c r="M330" s="113"/>
      <c r="N330" s="113"/>
      <c r="O330" s="113"/>
      <c r="P330" s="113"/>
      <c r="Q330" s="239"/>
      <c r="R330" s="239"/>
      <c r="S330" s="113"/>
      <c r="T330" s="113"/>
      <c r="U330" s="113"/>
      <c r="V330" s="113"/>
      <c r="W330" s="117"/>
      <c r="X330" s="113"/>
      <c r="Y330" s="152"/>
    </row>
    <row r="331" spans="1:25" s="8" customFormat="1" x14ac:dyDescent="0.25">
      <c r="A331" s="9"/>
      <c r="B331" s="4"/>
      <c r="C331" s="17"/>
      <c r="D331" s="113"/>
      <c r="E331" s="113"/>
      <c r="F331" s="113"/>
      <c r="G331" s="227"/>
      <c r="H331" s="113"/>
      <c r="I331" s="113"/>
      <c r="J331" s="113"/>
      <c r="K331" s="113"/>
      <c r="L331" s="113"/>
      <c r="M331" s="113"/>
      <c r="N331" s="113"/>
      <c r="O331" s="113"/>
      <c r="P331" s="113"/>
      <c r="Q331" s="239"/>
      <c r="R331" s="239"/>
      <c r="S331" s="113"/>
      <c r="T331" s="113"/>
      <c r="U331" s="113"/>
      <c r="V331" s="113"/>
      <c r="W331" s="117"/>
      <c r="X331" s="113"/>
      <c r="Y331" s="152"/>
    </row>
    <row r="332" spans="1:25" s="8" customFormat="1" x14ac:dyDescent="0.25">
      <c r="A332" s="9"/>
      <c r="B332" s="4"/>
      <c r="C332" s="17"/>
      <c r="D332" s="113"/>
      <c r="E332" s="113"/>
      <c r="F332" s="113"/>
      <c r="G332" s="227"/>
      <c r="H332" s="113"/>
      <c r="I332" s="113"/>
      <c r="J332" s="113"/>
      <c r="K332" s="113"/>
      <c r="L332" s="113"/>
      <c r="M332" s="113"/>
      <c r="N332" s="113"/>
      <c r="O332" s="113"/>
      <c r="P332" s="113"/>
      <c r="Q332" s="239"/>
      <c r="R332" s="239"/>
      <c r="S332" s="113"/>
      <c r="T332" s="113"/>
      <c r="U332" s="113"/>
      <c r="V332" s="113"/>
      <c r="W332" s="117"/>
      <c r="X332" s="113"/>
      <c r="Y332" s="152"/>
    </row>
    <row r="333" spans="1:25" s="8" customFormat="1" x14ac:dyDescent="0.25">
      <c r="A333" s="9"/>
      <c r="B333" s="4"/>
      <c r="C333" s="17"/>
      <c r="D333" s="113"/>
      <c r="E333" s="113"/>
      <c r="F333" s="113"/>
      <c r="G333" s="227"/>
      <c r="H333" s="113"/>
      <c r="I333" s="113"/>
      <c r="J333" s="113"/>
      <c r="K333" s="113"/>
      <c r="L333" s="113"/>
      <c r="M333" s="113"/>
      <c r="N333" s="113"/>
      <c r="O333" s="113"/>
      <c r="P333" s="113"/>
      <c r="Q333" s="239"/>
      <c r="R333" s="239"/>
      <c r="S333" s="113"/>
      <c r="T333" s="113"/>
      <c r="U333" s="113"/>
      <c r="V333" s="113"/>
      <c r="W333" s="117"/>
      <c r="X333" s="113"/>
      <c r="Y333" s="152"/>
    </row>
    <row r="334" spans="1:25" s="8" customFormat="1" x14ac:dyDescent="0.25">
      <c r="A334" s="9"/>
      <c r="B334" s="4"/>
      <c r="C334" s="17"/>
      <c r="D334" s="113"/>
      <c r="E334" s="113"/>
      <c r="F334" s="113"/>
      <c r="G334" s="227"/>
      <c r="H334" s="113"/>
      <c r="I334" s="113"/>
      <c r="J334" s="113"/>
      <c r="K334" s="113"/>
      <c r="L334" s="113"/>
      <c r="M334" s="113"/>
      <c r="N334" s="113"/>
      <c r="O334" s="113"/>
      <c r="P334" s="113"/>
      <c r="Q334" s="239"/>
      <c r="R334" s="239"/>
      <c r="S334" s="113"/>
      <c r="T334" s="113"/>
      <c r="U334" s="113"/>
      <c r="V334" s="113"/>
      <c r="W334" s="117"/>
      <c r="X334" s="113"/>
      <c r="Y334" s="152"/>
    </row>
    <row r="335" spans="1:25" s="8" customFormat="1" x14ac:dyDescent="0.25">
      <c r="A335" s="9"/>
      <c r="B335" s="4"/>
      <c r="C335" s="17"/>
      <c r="D335" s="113"/>
      <c r="E335" s="113"/>
      <c r="F335" s="113"/>
      <c r="G335" s="227"/>
      <c r="H335" s="113"/>
      <c r="I335" s="113"/>
      <c r="J335" s="113"/>
      <c r="K335" s="113"/>
      <c r="L335" s="113"/>
      <c r="M335" s="113"/>
      <c r="N335" s="113"/>
      <c r="O335" s="113"/>
      <c r="P335" s="113"/>
      <c r="Q335" s="239"/>
      <c r="R335" s="239"/>
      <c r="S335" s="113"/>
      <c r="T335" s="113"/>
      <c r="U335" s="113"/>
      <c r="V335" s="113"/>
      <c r="W335" s="117"/>
      <c r="X335" s="113"/>
      <c r="Y335" s="152"/>
    </row>
    <row r="336" spans="1:25" s="8" customFormat="1" x14ac:dyDescent="0.25">
      <c r="A336" s="9"/>
      <c r="B336" s="4"/>
      <c r="C336" s="17"/>
      <c r="D336" s="113"/>
      <c r="E336" s="113"/>
      <c r="F336" s="113"/>
      <c r="G336" s="227"/>
      <c r="H336" s="113"/>
      <c r="I336" s="113"/>
      <c r="J336" s="113"/>
      <c r="K336" s="113"/>
      <c r="L336" s="113"/>
      <c r="M336" s="113"/>
      <c r="N336" s="113"/>
      <c r="O336" s="113"/>
      <c r="P336" s="113"/>
      <c r="Q336" s="239"/>
      <c r="R336" s="239"/>
      <c r="S336" s="113"/>
      <c r="T336" s="113"/>
      <c r="U336" s="113"/>
      <c r="V336" s="113"/>
      <c r="W336" s="117"/>
      <c r="X336" s="113"/>
      <c r="Y336" s="152"/>
    </row>
    <row r="337" spans="1:25" s="8" customFormat="1" x14ac:dyDescent="0.25">
      <c r="A337" s="9"/>
      <c r="B337" s="4"/>
      <c r="C337" s="17"/>
      <c r="D337" s="113"/>
      <c r="E337" s="113"/>
      <c r="F337" s="113"/>
      <c r="G337" s="227"/>
      <c r="H337" s="113"/>
      <c r="I337" s="113"/>
      <c r="J337" s="113"/>
      <c r="K337" s="113"/>
      <c r="L337" s="113"/>
      <c r="M337" s="113"/>
      <c r="N337" s="113"/>
      <c r="O337" s="113"/>
      <c r="P337" s="113"/>
      <c r="Q337" s="239"/>
      <c r="R337" s="239"/>
      <c r="S337" s="113"/>
      <c r="T337" s="113"/>
      <c r="U337" s="113"/>
      <c r="V337" s="113"/>
      <c r="W337" s="117"/>
      <c r="X337" s="113"/>
      <c r="Y337" s="152"/>
    </row>
    <row r="338" spans="1:25" s="8" customFormat="1" x14ac:dyDescent="0.25">
      <c r="A338" s="9"/>
      <c r="B338" s="4"/>
      <c r="C338" s="17"/>
      <c r="D338" s="113"/>
      <c r="E338" s="113"/>
      <c r="F338" s="113"/>
      <c r="G338" s="227"/>
      <c r="H338" s="113"/>
      <c r="I338" s="113"/>
      <c r="J338" s="113"/>
      <c r="K338" s="113"/>
      <c r="L338" s="113"/>
      <c r="M338" s="113"/>
      <c r="N338" s="113"/>
      <c r="O338" s="113"/>
      <c r="P338" s="113"/>
      <c r="Q338" s="239"/>
      <c r="R338" s="239"/>
      <c r="S338" s="113"/>
      <c r="T338" s="113"/>
      <c r="U338" s="113"/>
      <c r="V338" s="113"/>
      <c r="W338" s="117"/>
      <c r="X338" s="113"/>
      <c r="Y338" s="152"/>
    </row>
    <row r="339" spans="1:25" s="8" customFormat="1" x14ac:dyDescent="0.25">
      <c r="A339" s="9"/>
      <c r="B339" s="4"/>
      <c r="C339" s="17"/>
      <c r="D339" s="113"/>
      <c r="E339" s="113"/>
      <c r="F339" s="113"/>
      <c r="G339" s="227"/>
      <c r="H339" s="113"/>
      <c r="I339" s="113"/>
      <c r="J339" s="113"/>
      <c r="K339" s="113"/>
      <c r="L339" s="113"/>
      <c r="M339" s="113"/>
      <c r="N339" s="113"/>
      <c r="O339" s="113"/>
      <c r="P339" s="113"/>
      <c r="Q339" s="239"/>
      <c r="R339" s="239"/>
      <c r="S339" s="113"/>
      <c r="T339" s="113"/>
      <c r="U339" s="113"/>
      <c r="V339" s="113"/>
      <c r="W339" s="117"/>
      <c r="X339" s="113"/>
      <c r="Y339" s="152"/>
    </row>
    <row r="340" spans="1:25" s="8" customFormat="1" x14ac:dyDescent="0.25">
      <c r="A340" s="9"/>
      <c r="B340" s="4"/>
      <c r="C340" s="17"/>
      <c r="D340" s="113"/>
      <c r="E340" s="113"/>
      <c r="F340" s="113"/>
      <c r="G340" s="227"/>
      <c r="H340" s="113"/>
      <c r="I340" s="113"/>
      <c r="J340" s="113"/>
      <c r="K340" s="113"/>
      <c r="L340" s="113"/>
      <c r="M340" s="113"/>
      <c r="N340" s="113"/>
      <c r="O340" s="113"/>
      <c r="P340" s="113"/>
      <c r="Q340" s="239"/>
      <c r="R340" s="239"/>
      <c r="S340" s="113"/>
      <c r="T340" s="113"/>
      <c r="U340" s="113"/>
      <c r="V340" s="113"/>
      <c r="W340" s="117"/>
      <c r="X340" s="113"/>
      <c r="Y340" s="152"/>
    </row>
    <row r="341" spans="1:25" s="8" customFormat="1" x14ac:dyDescent="0.25">
      <c r="A341" s="9"/>
      <c r="B341" s="4"/>
      <c r="C341" s="17"/>
      <c r="D341" s="113"/>
      <c r="E341" s="113"/>
      <c r="F341" s="113"/>
      <c r="G341" s="227"/>
      <c r="H341" s="113"/>
      <c r="I341" s="113"/>
      <c r="J341" s="113"/>
      <c r="K341" s="113"/>
      <c r="L341" s="113"/>
      <c r="M341" s="113"/>
      <c r="N341" s="113"/>
      <c r="O341" s="113"/>
      <c r="P341" s="113"/>
      <c r="Q341" s="239"/>
      <c r="R341" s="239"/>
      <c r="S341" s="113"/>
      <c r="T341" s="113"/>
      <c r="U341" s="113"/>
      <c r="V341" s="113"/>
      <c r="W341" s="117"/>
      <c r="X341" s="113"/>
      <c r="Y341" s="152"/>
    </row>
    <row r="342" spans="1:25" s="8" customFormat="1" x14ac:dyDescent="0.25">
      <c r="A342" s="9"/>
      <c r="B342" s="4"/>
      <c r="C342" s="17"/>
      <c r="D342" s="113"/>
      <c r="E342" s="113"/>
      <c r="F342" s="113"/>
      <c r="G342" s="227"/>
      <c r="H342" s="113"/>
      <c r="I342" s="113"/>
      <c r="J342" s="113"/>
      <c r="K342" s="113"/>
      <c r="L342" s="113"/>
      <c r="M342" s="113"/>
      <c r="N342" s="113"/>
      <c r="O342" s="113"/>
      <c r="P342" s="113"/>
      <c r="Q342" s="239"/>
      <c r="R342" s="239"/>
      <c r="S342" s="113"/>
      <c r="T342" s="113"/>
      <c r="U342" s="113"/>
      <c r="V342" s="113"/>
      <c r="W342" s="117"/>
      <c r="X342" s="113"/>
      <c r="Y342" s="152"/>
    </row>
    <row r="343" spans="1:25" s="8" customFormat="1" x14ac:dyDescent="0.25">
      <c r="A343" s="9"/>
      <c r="B343" s="4"/>
      <c r="C343" s="17"/>
      <c r="D343" s="113"/>
      <c r="E343" s="113"/>
      <c r="F343" s="113"/>
      <c r="G343" s="227"/>
      <c r="H343" s="113"/>
      <c r="I343" s="113"/>
      <c r="J343" s="113"/>
      <c r="K343" s="113"/>
      <c r="L343" s="113"/>
      <c r="M343" s="113"/>
      <c r="N343" s="113"/>
      <c r="O343" s="113"/>
      <c r="P343" s="113"/>
      <c r="Q343" s="239"/>
      <c r="R343" s="239"/>
      <c r="S343" s="113"/>
      <c r="T343" s="113"/>
      <c r="U343" s="113"/>
      <c r="V343" s="113"/>
      <c r="W343" s="117"/>
      <c r="X343" s="113"/>
      <c r="Y343" s="152"/>
    </row>
    <row r="344" spans="1:25" s="8" customFormat="1" x14ac:dyDescent="0.25">
      <c r="A344" s="9"/>
      <c r="B344" s="4"/>
      <c r="C344" s="17"/>
      <c r="D344" s="113"/>
      <c r="E344" s="113"/>
      <c r="F344" s="113"/>
      <c r="G344" s="227"/>
      <c r="H344" s="113"/>
      <c r="I344" s="113"/>
      <c r="J344" s="113"/>
      <c r="K344" s="113"/>
      <c r="L344" s="113"/>
      <c r="M344" s="113"/>
      <c r="N344" s="113"/>
      <c r="O344" s="113"/>
      <c r="P344" s="113"/>
      <c r="Q344" s="239"/>
      <c r="R344" s="239"/>
      <c r="S344" s="113"/>
      <c r="T344" s="113"/>
      <c r="U344" s="113"/>
      <c r="V344" s="113"/>
      <c r="W344" s="117"/>
      <c r="X344" s="113"/>
      <c r="Y344" s="152"/>
    </row>
    <row r="345" spans="1:25" s="8" customFormat="1" x14ac:dyDescent="0.25">
      <c r="A345" s="9"/>
      <c r="B345" s="4"/>
      <c r="C345" s="17"/>
      <c r="D345" s="113"/>
      <c r="E345" s="113"/>
      <c r="F345" s="113"/>
      <c r="G345" s="227"/>
      <c r="H345" s="113"/>
      <c r="I345" s="113"/>
      <c r="J345" s="113"/>
      <c r="K345" s="113"/>
      <c r="L345" s="113"/>
      <c r="M345" s="113"/>
      <c r="N345" s="113"/>
      <c r="O345" s="113"/>
      <c r="P345" s="113"/>
      <c r="Q345" s="239"/>
      <c r="R345" s="239"/>
      <c r="S345" s="113"/>
      <c r="T345" s="113"/>
      <c r="U345" s="113"/>
      <c r="V345" s="113"/>
      <c r="W345" s="117"/>
      <c r="X345" s="113"/>
      <c r="Y345" s="152"/>
    </row>
    <row r="346" spans="1:25" s="8" customFormat="1" x14ac:dyDescent="0.25">
      <c r="A346" s="9"/>
      <c r="B346" s="4"/>
      <c r="C346" s="17"/>
      <c r="D346" s="113"/>
      <c r="E346" s="113"/>
      <c r="F346" s="113"/>
      <c r="G346" s="227"/>
      <c r="H346" s="113"/>
      <c r="I346" s="113"/>
      <c r="J346" s="113"/>
      <c r="K346" s="113"/>
      <c r="L346" s="113"/>
      <c r="M346" s="113"/>
      <c r="N346" s="113"/>
      <c r="O346" s="113"/>
      <c r="P346" s="113"/>
      <c r="Q346" s="239"/>
      <c r="R346" s="239"/>
      <c r="S346" s="113"/>
      <c r="T346" s="113"/>
      <c r="U346" s="113"/>
      <c r="V346" s="113"/>
      <c r="W346" s="117"/>
      <c r="X346" s="113"/>
      <c r="Y346" s="152"/>
    </row>
    <row r="347" spans="1:25" s="8" customFormat="1" x14ac:dyDescent="0.25">
      <c r="A347" s="9"/>
      <c r="B347" s="4"/>
      <c r="C347" s="17"/>
      <c r="D347" s="113"/>
      <c r="E347" s="113"/>
      <c r="F347" s="113"/>
      <c r="G347" s="227"/>
      <c r="H347" s="113"/>
      <c r="I347" s="113"/>
      <c r="J347" s="113"/>
      <c r="K347" s="113"/>
      <c r="L347" s="113"/>
      <c r="M347" s="113"/>
      <c r="N347" s="113"/>
      <c r="O347" s="113"/>
      <c r="P347" s="113"/>
      <c r="Q347" s="239"/>
      <c r="R347" s="239"/>
      <c r="S347" s="113"/>
      <c r="T347" s="113"/>
      <c r="U347" s="113"/>
      <c r="V347" s="113"/>
      <c r="W347" s="117"/>
      <c r="X347" s="113"/>
      <c r="Y347" s="152"/>
    </row>
    <row r="348" spans="1:25" s="8" customFormat="1" x14ac:dyDescent="0.25">
      <c r="A348" s="9"/>
      <c r="B348" s="4"/>
      <c r="C348" s="17"/>
      <c r="D348" s="113"/>
      <c r="E348" s="113"/>
      <c r="F348" s="113"/>
      <c r="G348" s="227"/>
      <c r="H348" s="113"/>
      <c r="I348" s="113"/>
      <c r="J348" s="113"/>
      <c r="K348" s="113"/>
      <c r="L348" s="113"/>
      <c r="M348" s="113"/>
      <c r="N348" s="113"/>
      <c r="O348" s="113"/>
      <c r="P348" s="113"/>
      <c r="Q348" s="239"/>
      <c r="R348" s="239"/>
      <c r="S348" s="113"/>
      <c r="T348" s="113"/>
      <c r="U348" s="113"/>
      <c r="V348" s="113"/>
      <c r="W348" s="117"/>
      <c r="X348" s="113"/>
      <c r="Y348" s="152"/>
    </row>
    <row r="349" spans="1:25" s="8" customFormat="1" x14ac:dyDescent="0.25">
      <c r="A349" s="9"/>
      <c r="B349" s="4"/>
      <c r="C349" s="17"/>
      <c r="D349" s="113"/>
      <c r="E349" s="113"/>
      <c r="F349" s="113"/>
      <c r="G349" s="227"/>
      <c r="H349" s="113"/>
      <c r="I349" s="113"/>
      <c r="J349" s="113"/>
      <c r="K349" s="113"/>
      <c r="L349" s="113"/>
      <c r="M349" s="113"/>
      <c r="N349" s="113"/>
      <c r="O349" s="113"/>
      <c r="P349" s="113"/>
      <c r="Q349" s="239"/>
      <c r="R349" s="239"/>
      <c r="S349" s="113"/>
      <c r="T349" s="113"/>
      <c r="U349" s="113"/>
      <c r="V349" s="113"/>
      <c r="W349" s="117"/>
      <c r="X349" s="113"/>
      <c r="Y349" s="152"/>
    </row>
    <row r="350" spans="1:25" s="8" customFormat="1" x14ac:dyDescent="0.25">
      <c r="A350" s="9"/>
      <c r="B350" s="4"/>
      <c r="C350" s="17"/>
      <c r="D350" s="113"/>
      <c r="E350" s="113"/>
      <c r="F350" s="113"/>
      <c r="G350" s="227"/>
      <c r="H350" s="113"/>
      <c r="I350" s="113"/>
      <c r="J350" s="113"/>
      <c r="K350" s="113"/>
      <c r="L350" s="113"/>
      <c r="M350" s="113"/>
      <c r="N350" s="113"/>
      <c r="O350" s="113"/>
      <c r="P350" s="113"/>
      <c r="Q350" s="239"/>
      <c r="R350" s="239"/>
      <c r="S350" s="113"/>
      <c r="T350" s="113"/>
      <c r="U350" s="113"/>
      <c r="V350" s="113"/>
      <c r="W350" s="117"/>
      <c r="X350" s="113"/>
      <c r="Y350" s="152"/>
    </row>
    <row r="351" spans="1:25" s="8" customFormat="1" x14ac:dyDescent="0.25">
      <c r="A351" s="9"/>
      <c r="B351" s="4"/>
      <c r="C351" s="17"/>
      <c r="D351" s="113"/>
      <c r="E351" s="113"/>
      <c r="F351" s="113"/>
      <c r="G351" s="227"/>
      <c r="H351" s="113"/>
      <c r="I351" s="113"/>
      <c r="J351" s="113"/>
      <c r="K351" s="113"/>
      <c r="L351" s="113"/>
      <c r="M351" s="113"/>
      <c r="N351" s="113"/>
      <c r="O351" s="113"/>
      <c r="P351" s="113"/>
      <c r="Q351" s="239"/>
      <c r="R351" s="239"/>
      <c r="S351" s="113"/>
      <c r="T351" s="113"/>
      <c r="U351" s="113"/>
      <c r="V351" s="113"/>
      <c r="W351" s="117"/>
      <c r="X351" s="113"/>
      <c r="Y351" s="152"/>
    </row>
    <row r="352" spans="1:25" s="8" customFormat="1" x14ac:dyDescent="0.25">
      <c r="A352" s="9"/>
      <c r="B352" s="4"/>
      <c r="C352" s="17"/>
      <c r="D352" s="113"/>
      <c r="E352" s="113"/>
      <c r="F352" s="113"/>
      <c r="G352" s="227"/>
      <c r="H352" s="113"/>
      <c r="I352" s="113"/>
      <c r="J352" s="113"/>
      <c r="K352" s="113"/>
      <c r="L352" s="113"/>
      <c r="M352" s="113"/>
      <c r="N352" s="113"/>
      <c r="O352" s="113"/>
      <c r="P352" s="113"/>
      <c r="Q352" s="239"/>
      <c r="R352" s="239"/>
      <c r="S352" s="113"/>
      <c r="T352" s="113"/>
      <c r="U352" s="113"/>
      <c r="V352" s="113"/>
      <c r="W352" s="117"/>
      <c r="X352" s="113"/>
      <c r="Y352" s="152"/>
    </row>
    <row r="353" spans="1:25" s="8" customFormat="1" x14ac:dyDescent="0.25">
      <c r="A353" s="9"/>
      <c r="B353" s="4"/>
      <c r="C353" s="17"/>
      <c r="D353" s="113"/>
      <c r="E353" s="113"/>
      <c r="F353" s="113"/>
      <c r="G353" s="227"/>
      <c r="H353" s="113"/>
      <c r="I353" s="113"/>
      <c r="J353" s="113"/>
      <c r="K353" s="113"/>
      <c r="L353" s="113"/>
      <c r="M353" s="113"/>
      <c r="N353" s="113"/>
      <c r="O353" s="113"/>
      <c r="P353" s="113"/>
      <c r="Q353" s="239"/>
      <c r="R353" s="239"/>
      <c r="S353" s="113"/>
      <c r="T353" s="113"/>
      <c r="U353" s="113"/>
      <c r="V353" s="113"/>
      <c r="W353" s="117"/>
      <c r="X353" s="113"/>
      <c r="Y353" s="152"/>
    </row>
    <row r="354" spans="1:25" s="8" customFormat="1" x14ac:dyDescent="0.25">
      <c r="A354" s="9"/>
      <c r="B354" s="4"/>
      <c r="C354" s="17"/>
      <c r="D354" s="113"/>
      <c r="E354" s="113"/>
      <c r="F354" s="113"/>
      <c r="G354" s="227"/>
      <c r="H354" s="113"/>
      <c r="I354" s="113"/>
      <c r="J354" s="113"/>
      <c r="K354" s="113"/>
      <c r="L354" s="113"/>
      <c r="M354" s="113"/>
      <c r="N354" s="113"/>
      <c r="O354" s="113"/>
      <c r="P354" s="113"/>
      <c r="Q354" s="239"/>
      <c r="R354" s="239"/>
      <c r="S354" s="113"/>
      <c r="T354" s="113"/>
      <c r="U354" s="113"/>
      <c r="V354" s="113"/>
      <c r="W354" s="117"/>
      <c r="X354" s="113"/>
      <c r="Y354" s="152"/>
    </row>
    <row r="355" spans="1:25" s="8" customFormat="1" x14ac:dyDescent="0.25">
      <c r="A355" s="9"/>
      <c r="B355" s="4"/>
      <c r="C355" s="17"/>
      <c r="D355" s="113"/>
      <c r="E355" s="113"/>
      <c r="F355" s="113"/>
      <c r="G355" s="227"/>
      <c r="H355" s="113"/>
      <c r="I355" s="113"/>
      <c r="J355" s="113"/>
      <c r="K355" s="113"/>
      <c r="L355" s="113"/>
      <c r="M355" s="113"/>
      <c r="N355" s="113"/>
      <c r="O355" s="113"/>
      <c r="P355" s="113"/>
      <c r="Q355" s="239"/>
      <c r="R355" s="239"/>
      <c r="S355" s="113"/>
      <c r="T355" s="113"/>
      <c r="U355" s="113"/>
      <c r="V355" s="113"/>
      <c r="W355" s="117"/>
      <c r="X355" s="113"/>
      <c r="Y355" s="152"/>
    </row>
    <row r="356" spans="1:25" s="8" customFormat="1" x14ac:dyDescent="0.25">
      <c r="A356" s="9"/>
      <c r="B356" s="4"/>
      <c r="C356" s="17"/>
      <c r="D356" s="113"/>
      <c r="E356" s="113"/>
      <c r="F356" s="113"/>
      <c r="G356" s="227"/>
      <c r="H356" s="113"/>
      <c r="I356" s="113"/>
      <c r="J356" s="113"/>
      <c r="K356" s="113"/>
      <c r="L356" s="113"/>
      <c r="M356" s="113"/>
      <c r="N356" s="113"/>
      <c r="O356" s="113"/>
      <c r="P356" s="113"/>
      <c r="Q356" s="239"/>
      <c r="R356" s="239"/>
      <c r="S356" s="113"/>
      <c r="T356" s="113"/>
      <c r="U356" s="113"/>
      <c r="V356" s="113"/>
      <c r="W356" s="117"/>
      <c r="X356" s="113"/>
      <c r="Y356" s="152"/>
    </row>
    <row r="357" spans="1:25" s="8" customFormat="1" x14ac:dyDescent="0.25">
      <c r="A357" s="9"/>
      <c r="B357" s="4"/>
      <c r="C357" s="17"/>
      <c r="D357" s="113"/>
      <c r="E357" s="113"/>
      <c r="F357" s="113"/>
      <c r="G357" s="227"/>
      <c r="H357" s="113"/>
      <c r="I357" s="113"/>
      <c r="J357" s="113"/>
      <c r="K357" s="113"/>
      <c r="L357" s="113"/>
      <c r="M357" s="113"/>
      <c r="N357" s="113"/>
      <c r="O357" s="113"/>
      <c r="P357" s="113"/>
      <c r="Q357" s="239"/>
      <c r="R357" s="239"/>
      <c r="S357" s="113"/>
      <c r="T357" s="113"/>
      <c r="U357" s="113"/>
      <c r="V357" s="113"/>
      <c r="W357" s="117"/>
      <c r="X357" s="113"/>
      <c r="Y357" s="152"/>
    </row>
    <row r="358" spans="1:25" s="8" customFormat="1" x14ac:dyDescent="0.25">
      <c r="A358" s="9"/>
      <c r="B358" s="4"/>
      <c r="C358" s="17"/>
      <c r="D358" s="113"/>
      <c r="E358" s="113"/>
      <c r="F358" s="113"/>
      <c r="G358" s="227"/>
      <c r="H358" s="113"/>
      <c r="I358" s="113"/>
      <c r="J358" s="113"/>
      <c r="K358" s="113"/>
      <c r="L358" s="113"/>
      <c r="M358" s="113"/>
      <c r="N358" s="113"/>
      <c r="O358" s="113"/>
      <c r="P358" s="113"/>
      <c r="Q358" s="239"/>
      <c r="R358" s="239"/>
      <c r="S358" s="113"/>
      <c r="T358" s="113"/>
      <c r="U358" s="113"/>
      <c r="V358" s="113"/>
      <c r="W358" s="117"/>
      <c r="X358" s="113"/>
      <c r="Y358" s="152"/>
    </row>
    <row r="359" spans="1:25" s="8" customFormat="1" x14ac:dyDescent="0.25">
      <c r="A359" s="9"/>
      <c r="B359" s="4"/>
      <c r="C359" s="17"/>
      <c r="D359" s="113"/>
      <c r="E359" s="113"/>
      <c r="F359" s="113"/>
      <c r="G359" s="227"/>
      <c r="H359" s="113"/>
      <c r="I359" s="113"/>
      <c r="J359" s="113"/>
      <c r="K359" s="113"/>
      <c r="L359" s="113"/>
      <c r="M359" s="113"/>
      <c r="N359" s="113"/>
      <c r="O359" s="113"/>
      <c r="P359" s="113"/>
      <c r="Q359" s="239"/>
      <c r="R359" s="239"/>
      <c r="S359" s="113"/>
      <c r="T359" s="113"/>
      <c r="U359" s="113"/>
      <c r="V359" s="113"/>
      <c r="W359" s="117"/>
      <c r="X359" s="113"/>
      <c r="Y359" s="152"/>
    </row>
    <row r="360" spans="1:25" s="8" customFormat="1" x14ac:dyDescent="0.25">
      <c r="A360" s="9"/>
      <c r="B360" s="4"/>
      <c r="C360" s="17"/>
      <c r="D360" s="113"/>
      <c r="E360" s="113"/>
      <c r="F360" s="113"/>
      <c r="G360" s="227"/>
      <c r="H360" s="113"/>
      <c r="I360" s="113"/>
      <c r="J360" s="113"/>
      <c r="K360" s="113"/>
      <c r="L360" s="113"/>
      <c r="M360" s="113"/>
      <c r="N360" s="113"/>
      <c r="O360" s="113"/>
      <c r="P360" s="113"/>
      <c r="Q360" s="239"/>
      <c r="R360" s="239"/>
      <c r="S360" s="113"/>
      <c r="T360" s="113"/>
      <c r="U360" s="113"/>
      <c r="V360" s="113"/>
      <c r="W360" s="117"/>
      <c r="X360" s="113"/>
      <c r="Y360" s="152"/>
    </row>
    <row r="361" spans="1:25" s="8" customFormat="1" x14ac:dyDescent="0.25">
      <c r="A361" s="9"/>
      <c r="B361" s="4"/>
      <c r="C361" s="17"/>
      <c r="D361" s="113"/>
      <c r="E361" s="113"/>
      <c r="F361" s="113"/>
      <c r="G361" s="227"/>
      <c r="H361" s="113"/>
      <c r="I361" s="113"/>
      <c r="J361" s="113"/>
      <c r="K361" s="113"/>
      <c r="L361" s="113"/>
      <c r="M361" s="113"/>
      <c r="N361" s="113"/>
      <c r="O361" s="113"/>
      <c r="P361" s="113"/>
      <c r="Q361" s="239"/>
      <c r="R361" s="239"/>
      <c r="S361" s="113"/>
      <c r="T361" s="113"/>
      <c r="U361" s="113"/>
      <c r="V361" s="113"/>
      <c r="W361" s="117"/>
      <c r="X361" s="113"/>
      <c r="Y361" s="152"/>
    </row>
    <row r="362" spans="1:25" s="8" customFormat="1" x14ac:dyDescent="0.25">
      <c r="A362" s="9"/>
      <c r="B362" s="4"/>
      <c r="C362" s="17"/>
      <c r="D362" s="113"/>
      <c r="E362" s="113"/>
      <c r="F362" s="113"/>
      <c r="G362" s="227"/>
      <c r="H362" s="113"/>
      <c r="I362" s="113"/>
      <c r="J362" s="113"/>
      <c r="K362" s="113"/>
      <c r="L362" s="113"/>
      <c r="M362" s="113"/>
      <c r="N362" s="113"/>
      <c r="O362" s="113"/>
      <c r="P362" s="113"/>
      <c r="Q362" s="239"/>
      <c r="R362" s="239"/>
      <c r="S362" s="113"/>
      <c r="T362" s="113"/>
      <c r="U362" s="113"/>
      <c r="V362" s="113"/>
      <c r="W362" s="117"/>
      <c r="X362" s="113"/>
      <c r="Y362" s="152"/>
    </row>
    <row r="363" spans="1:25" s="8" customFormat="1" x14ac:dyDescent="0.25">
      <c r="A363" s="9"/>
      <c r="B363" s="4"/>
      <c r="C363" s="17"/>
      <c r="D363" s="113"/>
      <c r="E363" s="113"/>
      <c r="F363" s="113"/>
      <c r="G363" s="227"/>
      <c r="H363" s="113"/>
      <c r="I363" s="113"/>
      <c r="J363" s="113"/>
      <c r="K363" s="113"/>
      <c r="L363" s="113"/>
      <c r="M363" s="113"/>
      <c r="N363" s="113"/>
      <c r="O363" s="113"/>
      <c r="P363" s="113"/>
      <c r="Q363" s="239"/>
      <c r="R363" s="239"/>
      <c r="S363" s="113"/>
      <c r="T363" s="113"/>
      <c r="U363" s="113"/>
      <c r="V363" s="113"/>
      <c r="W363" s="117"/>
      <c r="X363" s="113"/>
      <c r="Y363" s="152"/>
    </row>
    <row r="364" spans="1:25" s="8" customFormat="1" x14ac:dyDescent="0.25">
      <c r="A364" s="9"/>
      <c r="B364" s="4"/>
      <c r="C364" s="17"/>
      <c r="D364" s="113"/>
      <c r="E364" s="113"/>
      <c r="F364" s="113"/>
      <c r="G364" s="227"/>
      <c r="H364" s="113"/>
      <c r="I364" s="113"/>
      <c r="J364" s="113"/>
      <c r="K364" s="113"/>
      <c r="L364" s="113"/>
      <c r="M364" s="113"/>
      <c r="N364" s="113"/>
      <c r="O364" s="113"/>
      <c r="P364" s="113"/>
      <c r="Q364" s="239"/>
      <c r="R364" s="239"/>
      <c r="S364" s="113"/>
      <c r="T364" s="113"/>
      <c r="U364" s="113"/>
      <c r="V364" s="113"/>
      <c r="W364" s="117"/>
      <c r="X364" s="113"/>
      <c r="Y364" s="152"/>
    </row>
    <row r="365" spans="1:25" s="8" customFormat="1" x14ac:dyDescent="0.25">
      <c r="A365" s="9"/>
      <c r="B365" s="4"/>
      <c r="C365" s="17"/>
      <c r="D365" s="113"/>
      <c r="E365" s="113"/>
      <c r="F365" s="113"/>
      <c r="G365" s="227"/>
      <c r="H365" s="113"/>
      <c r="I365" s="113"/>
      <c r="J365" s="113"/>
      <c r="K365" s="113"/>
      <c r="L365" s="113"/>
      <c r="M365" s="113"/>
      <c r="N365" s="113"/>
      <c r="O365" s="113"/>
      <c r="P365" s="113"/>
      <c r="Q365" s="239"/>
      <c r="R365" s="239"/>
      <c r="S365" s="113"/>
      <c r="T365" s="113"/>
      <c r="U365" s="113"/>
      <c r="V365" s="113"/>
      <c r="W365" s="117"/>
      <c r="X365" s="113"/>
      <c r="Y365" s="152"/>
    </row>
    <row r="366" spans="1:25" s="8" customFormat="1" x14ac:dyDescent="0.25">
      <c r="A366" s="9"/>
      <c r="B366" s="4"/>
      <c r="C366" s="17"/>
      <c r="D366" s="113"/>
      <c r="E366" s="113"/>
      <c r="F366" s="113"/>
      <c r="G366" s="227"/>
      <c r="H366" s="113"/>
      <c r="I366" s="113"/>
      <c r="J366" s="113"/>
      <c r="K366" s="113"/>
      <c r="L366" s="113"/>
      <c r="M366" s="113"/>
      <c r="N366" s="113"/>
      <c r="O366" s="113"/>
      <c r="P366" s="113"/>
      <c r="Q366" s="239"/>
      <c r="R366" s="239"/>
      <c r="S366" s="113"/>
      <c r="T366" s="113"/>
      <c r="U366" s="113"/>
      <c r="V366" s="113"/>
      <c r="W366" s="117"/>
      <c r="X366" s="113"/>
      <c r="Y366" s="152"/>
    </row>
    <row r="367" spans="1:25" s="8" customFormat="1" x14ac:dyDescent="0.25">
      <c r="A367" s="9"/>
      <c r="B367" s="4"/>
      <c r="C367" s="17"/>
      <c r="D367" s="113"/>
      <c r="E367" s="113"/>
      <c r="F367" s="113"/>
      <c r="G367" s="227"/>
      <c r="H367" s="113"/>
      <c r="I367" s="113"/>
      <c r="J367" s="113"/>
      <c r="K367" s="113"/>
      <c r="L367" s="113"/>
      <c r="M367" s="113"/>
      <c r="N367" s="113"/>
      <c r="O367" s="113"/>
      <c r="P367" s="113"/>
      <c r="Q367" s="239"/>
      <c r="R367" s="239"/>
      <c r="S367" s="113"/>
      <c r="T367" s="113"/>
      <c r="U367" s="113"/>
      <c r="V367" s="113"/>
      <c r="W367" s="117"/>
      <c r="X367" s="113"/>
      <c r="Y367" s="152"/>
    </row>
    <row r="368" spans="1:25" s="8" customFormat="1" x14ac:dyDescent="0.25">
      <c r="A368" s="9"/>
      <c r="B368" s="4"/>
      <c r="C368" s="17"/>
      <c r="D368" s="113"/>
      <c r="E368" s="113"/>
      <c r="F368" s="113"/>
      <c r="G368" s="227"/>
      <c r="H368" s="113"/>
      <c r="I368" s="113"/>
      <c r="J368" s="113"/>
      <c r="K368" s="113"/>
      <c r="L368" s="113"/>
      <c r="M368" s="113"/>
      <c r="N368" s="113"/>
      <c r="O368" s="113"/>
      <c r="P368" s="113"/>
      <c r="Q368" s="239"/>
      <c r="R368" s="239"/>
      <c r="S368" s="113"/>
      <c r="T368" s="113"/>
      <c r="U368" s="113"/>
      <c r="V368" s="113"/>
      <c r="W368" s="117"/>
      <c r="X368" s="113"/>
      <c r="Y368" s="152"/>
    </row>
    <row r="369" spans="1:25" s="8" customFormat="1" x14ac:dyDescent="0.25">
      <c r="A369" s="9"/>
      <c r="B369" s="4"/>
      <c r="C369" s="17"/>
      <c r="D369" s="113"/>
      <c r="E369" s="113"/>
      <c r="F369" s="113"/>
      <c r="G369" s="227"/>
      <c r="H369" s="113"/>
      <c r="I369" s="113"/>
      <c r="J369" s="113"/>
      <c r="K369" s="113"/>
      <c r="L369" s="113"/>
      <c r="M369" s="113"/>
      <c r="N369" s="113"/>
      <c r="O369" s="113"/>
      <c r="P369" s="113"/>
      <c r="Q369" s="239"/>
      <c r="R369" s="239"/>
      <c r="S369" s="113"/>
      <c r="T369" s="113"/>
      <c r="U369" s="113"/>
      <c r="V369" s="113"/>
      <c r="W369" s="117"/>
      <c r="X369" s="113"/>
      <c r="Y369" s="152"/>
    </row>
    <row r="370" spans="1:25" s="8" customFormat="1" x14ac:dyDescent="0.25">
      <c r="A370" s="9"/>
      <c r="B370" s="4"/>
      <c r="C370" s="17"/>
      <c r="D370" s="113"/>
      <c r="E370" s="113"/>
      <c r="F370" s="113"/>
      <c r="G370" s="227"/>
      <c r="H370" s="113"/>
      <c r="I370" s="113"/>
      <c r="J370" s="113"/>
      <c r="K370" s="113"/>
      <c r="L370" s="113"/>
      <c r="M370" s="113"/>
      <c r="N370" s="113"/>
      <c r="O370" s="113"/>
      <c r="P370" s="113"/>
      <c r="Q370" s="239"/>
      <c r="R370" s="239"/>
      <c r="S370" s="113"/>
      <c r="T370" s="113"/>
      <c r="U370" s="113"/>
      <c r="V370" s="113"/>
      <c r="W370" s="117"/>
      <c r="X370" s="113"/>
      <c r="Y370" s="152"/>
    </row>
    <row r="371" spans="1:25" s="8" customFormat="1" x14ac:dyDescent="0.25">
      <c r="A371" s="9"/>
      <c r="B371" s="4"/>
      <c r="C371" s="17"/>
      <c r="D371" s="113"/>
      <c r="E371" s="113"/>
      <c r="F371" s="113"/>
      <c r="G371" s="227"/>
      <c r="H371" s="113"/>
      <c r="I371" s="113"/>
      <c r="J371" s="113"/>
      <c r="K371" s="113"/>
      <c r="L371" s="113"/>
      <c r="M371" s="113"/>
      <c r="N371" s="113"/>
      <c r="O371" s="113"/>
      <c r="P371" s="113"/>
      <c r="Q371" s="239"/>
      <c r="R371" s="239"/>
      <c r="S371" s="113"/>
      <c r="T371" s="113"/>
      <c r="U371" s="113"/>
      <c r="V371" s="113"/>
      <c r="W371" s="117"/>
      <c r="X371" s="113"/>
      <c r="Y371" s="152"/>
    </row>
    <row r="372" spans="1:25" s="8" customFormat="1" x14ac:dyDescent="0.25">
      <c r="A372" s="9"/>
      <c r="B372" s="4"/>
      <c r="C372" s="17"/>
      <c r="D372" s="113"/>
      <c r="E372" s="113"/>
      <c r="F372" s="113"/>
      <c r="G372" s="227"/>
      <c r="H372" s="113"/>
      <c r="I372" s="113"/>
      <c r="J372" s="113"/>
      <c r="K372" s="113"/>
      <c r="L372" s="113"/>
      <c r="M372" s="113"/>
      <c r="N372" s="113"/>
      <c r="O372" s="113"/>
      <c r="P372" s="113"/>
      <c r="Q372" s="239"/>
      <c r="R372" s="239"/>
      <c r="S372" s="113"/>
      <c r="T372" s="113"/>
      <c r="U372" s="113"/>
      <c r="V372" s="113"/>
      <c r="W372" s="117"/>
      <c r="X372" s="113"/>
      <c r="Y372" s="152"/>
    </row>
    <row r="373" spans="1:25" s="8" customFormat="1" x14ac:dyDescent="0.25">
      <c r="A373" s="9"/>
      <c r="B373" s="4"/>
      <c r="C373" s="17"/>
      <c r="D373" s="113"/>
      <c r="E373" s="113"/>
      <c r="F373" s="113"/>
      <c r="G373" s="227"/>
      <c r="H373" s="113"/>
      <c r="I373" s="113"/>
      <c r="J373" s="113"/>
      <c r="K373" s="113"/>
      <c r="L373" s="113"/>
      <c r="M373" s="113"/>
      <c r="N373" s="113"/>
      <c r="O373" s="113"/>
      <c r="P373" s="113"/>
      <c r="Q373" s="239"/>
      <c r="R373" s="239"/>
      <c r="S373" s="113"/>
      <c r="T373" s="113"/>
      <c r="U373" s="113"/>
      <c r="V373" s="113"/>
      <c r="W373" s="117"/>
      <c r="X373" s="113"/>
      <c r="Y373" s="152"/>
    </row>
    <row r="374" spans="1:25" s="8" customFormat="1" x14ac:dyDescent="0.25">
      <c r="A374" s="9"/>
      <c r="B374" s="4"/>
      <c r="C374" s="17"/>
      <c r="D374" s="113"/>
      <c r="E374" s="113"/>
      <c r="F374" s="113"/>
      <c r="G374" s="227"/>
      <c r="H374" s="113"/>
      <c r="I374" s="113"/>
      <c r="J374" s="113"/>
      <c r="K374" s="113"/>
      <c r="L374" s="113"/>
      <c r="M374" s="113"/>
      <c r="N374" s="113"/>
      <c r="O374" s="113"/>
      <c r="P374" s="113"/>
      <c r="Q374" s="239"/>
      <c r="R374" s="239"/>
      <c r="S374" s="113"/>
      <c r="T374" s="113"/>
      <c r="U374" s="113"/>
      <c r="V374" s="113"/>
      <c r="W374" s="117"/>
      <c r="X374" s="113"/>
      <c r="Y374" s="152"/>
    </row>
    <row r="375" spans="1:25" s="8" customFormat="1" x14ac:dyDescent="0.25">
      <c r="A375" s="9"/>
      <c r="B375" s="4"/>
      <c r="C375" s="17"/>
      <c r="D375" s="113"/>
      <c r="E375" s="113"/>
      <c r="F375" s="113"/>
      <c r="G375" s="227"/>
      <c r="H375" s="113"/>
      <c r="I375" s="113"/>
      <c r="J375" s="113"/>
      <c r="K375" s="113"/>
      <c r="L375" s="113"/>
      <c r="M375" s="113"/>
      <c r="N375" s="113"/>
      <c r="O375" s="113"/>
      <c r="P375" s="113"/>
      <c r="Q375" s="239"/>
      <c r="R375" s="239"/>
      <c r="S375" s="113"/>
      <c r="T375" s="113"/>
      <c r="U375" s="113"/>
      <c r="V375" s="113"/>
      <c r="W375" s="117"/>
      <c r="X375" s="113"/>
      <c r="Y375" s="152"/>
    </row>
    <row r="376" spans="1:25" s="8" customFormat="1" x14ac:dyDescent="0.25">
      <c r="A376" s="9"/>
      <c r="B376" s="4"/>
      <c r="C376" s="17"/>
      <c r="D376" s="113"/>
      <c r="E376" s="113"/>
      <c r="F376" s="113"/>
      <c r="G376" s="227"/>
      <c r="H376" s="113"/>
      <c r="I376" s="113"/>
      <c r="J376" s="113"/>
      <c r="K376" s="113"/>
      <c r="L376" s="113"/>
      <c r="M376" s="113"/>
      <c r="N376" s="113"/>
      <c r="O376" s="113"/>
      <c r="P376" s="113"/>
      <c r="Q376" s="239"/>
      <c r="R376" s="239"/>
      <c r="S376" s="113"/>
      <c r="T376" s="113"/>
      <c r="U376" s="113"/>
      <c r="V376" s="113"/>
      <c r="W376" s="117"/>
      <c r="X376" s="113"/>
      <c r="Y376" s="152"/>
    </row>
    <row r="377" spans="1:25" s="8" customFormat="1" x14ac:dyDescent="0.25">
      <c r="A377" s="9"/>
      <c r="B377" s="4"/>
      <c r="C377" s="17"/>
      <c r="D377" s="113"/>
      <c r="E377" s="113"/>
      <c r="F377" s="113"/>
      <c r="G377" s="227"/>
      <c r="H377" s="113"/>
      <c r="I377" s="113"/>
      <c r="J377" s="113"/>
      <c r="K377" s="113"/>
      <c r="L377" s="113"/>
      <c r="M377" s="113"/>
      <c r="N377" s="113"/>
      <c r="O377" s="113"/>
      <c r="P377" s="113"/>
      <c r="Q377" s="239"/>
      <c r="R377" s="239"/>
      <c r="S377" s="113"/>
      <c r="T377" s="113"/>
      <c r="U377" s="113"/>
      <c r="V377" s="113"/>
      <c r="W377" s="117"/>
      <c r="X377" s="113"/>
      <c r="Y377" s="152"/>
    </row>
    <row r="378" spans="1:25" s="8" customFormat="1" x14ac:dyDescent="0.25">
      <c r="A378" s="9"/>
      <c r="B378" s="4"/>
      <c r="C378" s="17"/>
      <c r="D378" s="113"/>
      <c r="E378" s="113"/>
      <c r="F378" s="113"/>
      <c r="G378" s="227"/>
      <c r="H378" s="113"/>
      <c r="I378" s="113"/>
      <c r="J378" s="113"/>
      <c r="K378" s="113"/>
      <c r="L378" s="113"/>
      <c r="M378" s="113"/>
      <c r="N378" s="113"/>
      <c r="O378" s="113"/>
      <c r="P378" s="113"/>
      <c r="Q378" s="239"/>
      <c r="R378" s="239"/>
      <c r="S378" s="113"/>
      <c r="T378" s="113"/>
      <c r="U378" s="113"/>
      <c r="V378" s="113"/>
      <c r="W378" s="117"/>
      <c r="X378" s="113"/>
      <c r="Y378" s="152"/>
    </row>
    <row r="379" spans="1:25" s="8" customFormat="1" x14ac:dyDescent="0.25">
      <c r="A379" s="9"/>
      <c r="B379" s="4"/>
      <c r="C379" s="17"/>
      <c r="D379" s="113"/>
      <c r="E379" s="113"/>
      <c r="F379" s="113"/>
      <c r="G379" s="227"/>
      <c r="H379" s="113"/>
      <c r="I379" s="113"/>
      <c r="J379" s="113"/>
      <c r="K379" s="113"/>
      <c r="L379" s="113"/>
      <c r="M379" s="113"/>
      <c r="N379" s="113"/>
      <c r="O379" s="113"/>
      <c r="P379" s="113"/>
      <c r="Q379" s="239"/>
      <c r="R379" s="239"/>
      <c r="S379" s="113"/>
      <c r="T379" s="113"/>
      <c r="U379" s="113"/>
      <c r="V379" s="113"/>
      <c r="W379" s="117"/>
      <c r="X379" s="113"/>
      <c r="Y379" s="152"/>
    </row>
    <row r="380" spans="1:25" s="8" customFormat="1" x14ac:dyDescent="0.25">
      <c r="A380" s="9"/>
      <c r="B380" s="4"/>
      <c r="C380" s="17"/>
      <c r="D380" s="113"/>
      <c r="E380" s="113"/>
      <c r="F380" s="113"/>
      <c r="G380" s="227"/>
      <c r="H380" s="113"/>
      <c r="I380" s="113"/>
      <c r="J380" s="113"/>
      <c r="K380" s="113"/>
      <c r="L380" s="113"/>
      <c r="M380" s="113"/>
      <c r="N380" s="113"/>
      <c r="O380" s="113"/>
      <c r="P380" s="113"/>
      <c r="Q380" s="239"/>
      <c r="R380" s="239"/>
      <c r="S380" s="113"/>
      <c r="T380" s="113"/>
      <c r="U380" s="113"/>
      <c r="V380" s="113"/>
      <c r="W380" s="117"/>
      <c r="X380" s="113"/>
      <c r="Y380" s="152"/>
    </row>
    <row r="381" spans="1:25" s="8" customFormat="1" x14ac:dyDescent="0.25">
      <c r="A381" s="9"/>
      <c r="B381" s="4"/>
      <c r="C381" s="17"/>
      <c r="D381" s="113"/>
      <c r="E381" s="113"/>
      <c r="F381" s="113"/>
      <c r="G381" s="227"/>
      <c r="H381" s="113"/>
      <c r="I381" s="113"/>
      <c r="J381" s="113"/>
      <c r="K381" s="113"/>
      <c r="L381" s="113"/>
      <c r="M381" s="113"/>
      <c r="N381" s="113"/>
      <c r="O381" s="113"/>
      <c r="P381" s="113"/>
      <c r="Q381" s="239"/>
      <c r="R381" s="239"/>
      <c r="S381" s="113"/>
      <c r="T381" s="113"/>
      <c r="U381" s="113"/>
      <c r="V381" s="113"/>
      <c r="W381" s="117"/>
      <c r="X381" s="113"/>
      <c r="Y381" s="152"/>
    </row>
    <row r="382" spans="1:25" s="8" customFormat="1" x14ac:dyDescent="0.25">
      <c r="A382" s="9"/>
      <c r="B382" s="4"/>
      <c r="C382" s="17"/>
      <c r="D382" s="113"/>
      <c r="E382" s="113"/>
      <c r="F382" s="113"/>
      <c r="G382" s="227"/>
      <c r="H382" s="113"/>
      <c r="I382" s="113"/>
      <c r="J382" s="113"/>
      <c r="K382" s="113"/>
      <c r="L382" s="113"/>
      <c r="M382" s="113"/>
      <c r="N382" s="113"/>
      <c r="O382" s="113"/>
      <c r="P382" s="113"/>
      <c r="Q382" s="239"/>
      <c r="R382" s="239"/>
      <c r="S382" s="113"/>
      <c r="T382" s="113"/>
      <c r="U382" s="113"/>
      <c r="V382" s="113"/>
      <c r="W382" s="117"/>
      <c r="X382" s="113"/>
      <c r="Y382" s="152"/>
    </row>
    <row r="383" spans="1:25" s="8" customFormat="1" x14ac:dyDescent="0.25">
      <c r="A383" s="9"/>
      <c r="B383" s="4"/>
      <c r="C383" s="17"/>
      <c r="D383" s="113"/>
      <c r="E383" s="113"/>
      <c r="F383" s="113"/>
      <c r="G383" s="227"/>
      <c r="H383" s="113"/>
      <c r="I383" s="113"/>
      <c r="J383" s="113"/>
      <c r="K383" s="113"/>
      <c r="L383" s="113"/>
      <c r="M383" s="113"/>
      <c r="N383" s="113"/>
      <c r="O383" s="113"/>
      <c r="P383" s="113"/>
      <c r="Q383" s="239"/>
      <c r="R383" s="239"/>
      <c r="S383" s="113"/>
      <c r="T383" s="113"/>
      <c r="U383" s="113"/>
      <c r="V383" s="113"/>
      <c r="W383" s="117"/>
      <c r="X383" s="113"/>
      <c r="Y383" s="152"/>
    </row>
    <row r="384" spans="1:25" s="8" customFormat="1" x14ac:dyDescent="0.25">
      <c r="A384" s="9"/>
      <c r="B384" s="4"/>
      <c r="C384" s="17"/>
      <c r="D384" s="113"/>
      <c r="E384" s="113"/>
      <c r="F384" s="113"/>
      <c r="G384" s="227"/>
      <c r="H384" s="113"/>
      <c r="I384" s="113"/>
      <c r="J384" s="113"/>
      <c r="K384" s="113"/>
      <c r="L384" s="113"/>
      <c r="M384" s="113"/>
      <c r="N384" s="113"/>
      <c r="O384" s="113"/>
      <c r="P384" s="113"/>
      <c r="Q384" s="239"/>
      <c r="R384" s="239"/>
      <c r="S384" s="113"/>
      <c r="T384" s="113"/>
      <c r="U384" s="113"/>
      <c r="V384" s="113"/>
      <c r="W384" s="117"/>
      <c r="X384" s="113"/>
      <c r="Y384" s="152"/>
    </row>
    <row r="385" spans="1:25" s="8" customFormat="1" x14ac:dyDescent="0.25">
      <c r="A385" s="9"/>
      <c r="B385" s="4"/>
      <c r="C385" s="17"/>
      <c r="D385" s="113"/>
      <c r="E385" s="113"/>
      <c r="F385" s="113"/>
      <c r="G385" s="227"/>
      <c r="H385" s="113"/>
      <c r="I385" s="113"/>
      <c r="J385" s="113"/>
      <c r="K385" s="113"/>
      <c r="L385" s="113"/>
      <c r="M385" s="113"/>
      <c r="N385" s="113"/>
      <c r="O385" s="113"/>
      <c r="P385" s="113"/>
      <c r="Q385" s="239"/>
      <c r="R385" s="239"/>
      <c r="S385" s="113"/>
      <c r="T385" s="113"/>
      <c r="U385" s="113"/>
      <c r="V385" s="113"/>
      <c r="W385" s="117"/>
      <c r="X385" s="113"/>
      <c r="Y385" s="152"/>
    </row>
    <row r="386" spans="1:25" s="8" customFormat="1" x14ac:dyDescent="0.25">
      <c r="A386" s="9"/>
      <c r="B386" s="4"/>
      <c r="C386" s="17"/>
      <c r="D386" s="113"/>
      <c r="E386" s="113"/>
      <c r="F386" s="113"/>
      <c r="G386" s="227"/>
      <c r="H386" s="113"/>
      <c r="I386" s="113"/>
      <c r="J386" s="113"/>
      <c r="K386" s="113"/>
      <c r="L386" s="113"/>
      <c r="M386" s="113"/>
      <c r="N386" s="113"/>
      <c r="O386" s="113"/>
      <c r="P386" s="113"/>
      <c r="Q386" s="239"/>
      <c r="R386" s="239"/>
      <c r="S386" s="113"/>
      <c r="T386" s="113"/>
      <c r="U386" s="113"/>
      <c r="V386" s="113"/>
      <c r="W386" s="117"/>
      <c r="X386" s="113"/>
      <c r="Y386" s="152"/>
    </row>
    <row r="387" spans="1:25" s="8" customFormat="1" x14ac:dyDescent="0.25">
      <c r="A387" s="9"/>
      <c r="B387" s="4"/>
      <c r="C387" s="17"/>
      <c r="D387" s="113"/>
      <c r="E387" s="113"/>
      <c r="F387" s="113"/>
      <c r="G387" s="227"/>
      <c r="H387" s="113"/>
      <c r="I387" s="113"/>
      <c r="J387" s="113"/>
      <c r="K387" s="113"/>
      <c r="L387" s="113"/>
      <c r="M387" s="113"/>
      <c r="N387" s="113"/>
      <c r="O387" s="113"/>
      <c r="P387" s="113"/>
      <c r="Q387" s="239"/>
      <c r="R387" s="239"/>
      <c r="S387" s="113"/>
      <c r="T387" s="113"/>
      <c r="U387" s="113"/>
      <c r="V387" s="113"/>
      <c r="W387" s="117"/>
      <c r="X387" s="113"/>
      <c r="Y387" s="152"/>
    </row>
    <row r="388" spans="1:25" s="8" customFormat="1" x14ac:dyDescent="0.25">
      <c r="A388" s="9"/>
      <c r="B388" s="4"/>
      <c r="C388" s="17"/>
      <c r="D388" s="113"/>
      <c r="E388" s="113"/>
      <c r="F388" s="113"/>
      <c r="G388" s="227"/>
      <c r="H388" s="113"/>
      <c r="I388" s="113"/>
      <c r="J388" s="113"/>
      <c r="K388" s="113"/>
      <c r="L388" s="113"/>
      <c r="M388" s="113"/>
      <c r="N388" s="113"/>
      <c r="O388" s="113"/>
      <c r="P388" s="113"/>
      <c r="Q388" s="239"/>
      <c r="R388" s="239"/>
      <c r="S388" s="113"/>
      <c r="T388" s="113"/>
      <c r="U388" s="113"/>
      <c r="V388" s="113"/>
      <c r="W388" s="117"/>
      <c r="X388" s="113"/>
      <c r="Y388" s="152"/>
    </row>
    <row r="389" spans="1:25" s="8" customFormat="1" x14ac:dyDescent="0.25">
      <c r="A389" s="9"/>
      <c r="B389" s="4"/>
      <c r="C389" s="17"/>
      <c r="D389" s="113"/>
      <c r="E389" s="113"/>
      <c r="F389" s="113"/>
      <c r="G389" s="227"/>
      <c r="H389" s="113"/>
      <c r="I389" s="113"/>
      <c r="J389" s="113"/>
      <c r="K389" s="113"/>
      <c r="L389" s="113"/>
      <c r="M389" s="113"/>
      <c r="N389" s="113"/>
      <c r="O389" s="113"/>
      <c r="P389" s="113"/>
      <c r="Q389" s="239"/>
      <c r="R389" s="239"/>
      <c r="S389" s="113"/>
      <c r="T389" s="113"/>
      <c r="U389" s="113"/>
      <c r="V389" s="113"/>
      <c r="W389" s="117"/>
      <c r="X389" s="113"/>
      <c r="Y389" s="152"/>
    </row>
    <row r="390" spans="1:25" s="8" customFormat="1" x14ac:dyDescent="0.25">
      <c r="A390" s="9"/>
      <c r="B390" s="4"/>
      <c r="C390" s="17"/>
      <c r="D390" s="113"/>
      <c r="E390" s="113"/>
      <c r="F390" s="113"/>
      <c r="G390" s="227"/>
      <c r="H390" s="113"/>
      <c r="I390" s="113"/>
      <c r="J390" s="113"/>
      <c r="K390" s="113"/>
      <c r="L390" s="113"/>
      <c r="M390" s="113"/>
      <c r="N390" s="113"/>
      <c r="O390" s="113"/>
      <c r="P390" s="113"/>
      <c r="Q390" s="239"/>
      <c r="R390" s="239"/>
      <c r="S390" s="113"/>
      <c r="T390" s="113"/>
      <c r="U390" s="113"/>
      <c r="V390" s="113"/>
      <c r="W390" s="117"/>
      <c r="X390" s="113"/>
      <c r="Y390" s="152"/>
    </row>
    <row r="391" spans="1:25" s="8" customFormat="1" x14ac:dyDescent="0.25">
      <c r="A391" s="9"/>
      <c r="B391" s="4"/>
      <c r="C391" s="17"/>
      <c r="D391" s="113"/>
      <c r="E391" s="113"/>
      <c r="F391" s="113"/>
      <c r="G391" s="227"/>
      <c r="H391" s="113"/>
      <c r="I391" s="113"/>
      <c r="J391" s="113"/>
      <c r="K391" s="113"/>
      <c r="L391" s="113"/>
      <c r="M391" s="113"/>
      <c r="N391" s="113"/>
      <c r="O391" s="113"/>
      <c r="P391" s="113"/>
      <c r="Q391" s="239"/>
      <c r="R391" s="239"/>
      <c r="S391" s="113"/>
      <c r="T391" s="113"/>
      <c r="U391" s="113"/>
      <c r="V391" s="113"/>
      <c r="W391" s="117"/>
      <c r="X391" s="113"/>
      <c r="Y391" s="152"/>
    </row>
    <row r="392" spans="1:25" s="8" customFormat="1" x14ac:dyDescent="0.25">
      <c r="A392" s="9"/>
      <c r="B392" s="4"/>
      <c r="C392" s="17"/>
      <c r="D392" s="113"/>
      <c r="E392" s="113"/>
      <c r="F392" s="113"/>
      <c r="G392" s="227"/>
      <c r="H392" s="113"/>
      <c r="I392" s="113"/>
      <c r="J392" s="113"/>
      <c r="K392" s="113"/>
      <c r="L392" s="113"/>
      <c r="M392" s="113"/>
      <c r="N392" s="113"/>
      <c r="O392" s="113"/>
      <c r="P392" s="113"/>
      <c r="Q392" s="239"/>
      <c r="R392" s="239"/>
      <c r="S392" s="113"/>
      <c r="T392" s="113"/>
      <c r="U392" s="113"/>
      <c r="V392" s="113"/>
      <c r="W392" s="117"/>
      <c r="X392" s="113"/>
      <c r="Y392" s="152"/>
    </row>
    <row r="393" spans="1:25" s="8" customFormat="1" x14ac:dyDescent="0.25">
      <c r="A393" s="9"/>
      <c r="B393" s="4"/>
      <c r="C393" s="17"/>
      <c r="D393" s="113"/>
      <c r="E393" s="113"/>
      <c r="F393" s="113"/>
      <c r="G393" s="227"/>
      <c r="H393" s="113"/>
      <c r="I393" s="113"/>
      <c r="J393" s="113"/>
      <c r="K393" s="113"/>
      <c r="L393" s="113"/>
      <c r="M393" s="113"/>
      <c r="N393" s="113"/>
      <c r="O393" s="113"/>
      <c r="P393" s="113"/>
      <c r="Q393" s="239"/>
      <c r="R393" s="239"/>
      <c r="S393" s="113"/>
      <c r="T393" s="113"/>
      <c r="U393" s="113"/>
      <c r="V393" s="113"/>
      <c r="W393" s="117"/>
      <c r="X393" s="113"/>
      <c r="Y393" s="152"/>
    </row>
    <row r="394" spans="1:25" s="8" customFormat="1" x14ac:dyDescent="0.25">
      <c r="A394" s="9"/>
      <c r="B394" s="4"/>
      <c r="C394" s="17"/>
      <c r="D394" s="113"/>
      <c r="E394" s="113"/>
      <c r="F394" s="113"/>
      <c r="G394" s="227"/>
      <c r="H394" s="113"/>
      <c r="I394" s="113"/>
      <c r="J394" s="113"/>
      <c r="K394" s="113"/>
      <c r="L394" s="113"/>
      <c r="M394" s="113"/>
      <c r="N394" s="113"/>
      <c r="O394" s="113"/>
      <c r="P394" s="113"/>
      <c r="Q394" s="239"/>
      <c r="R394" s="239"/>
      <c r="S394" s="113"/>
      <c r="T394" s="113"/>
      <c r="U394" s="113"/>
      <c r="V394" s="113"/>
      <c r="W394" s="117"/>
      <c r="X394" s="113"/>
      <c r="Y394" s="152"/>
    </row>
    <row r="395" spans="1:25" s="8" customFormat="1" x14ac:dyDescent="0.25">
      <c r="A395" s="9"/>
      <c r="B395" s="4"/>
      <c r="C395" s="17"/>
      <c r="D395" s="113"/>
      <c r="E395" s="113"/>
      <c r="F395" s="113"/>
      <c r="G395" s="227"/>
      <c r="H395" s="113"/>
      <c r="I395" s="113"/>
      <c r="J395" s="113"/>
      <c r="K395" s="113"/>
      <c r="L395" s="113"/>
      <c r="M395" s="113"/>
      <c r="N395" s="113"/>
      <c r="O395" s="113"/>
      <c r="P395" s="113"/>
      <c r="Q395" s="239"/>
      <c r="R395" s="239"/>
      <c r="S395" s="113"/>
      <c r="T395" s="113"/>
      <c r="U395" s="113"/>
      <c r="V395" s="113"/>
      <c r="W395" s="117"/>
      <c r="X395" s="113"/>
      <c r="Y395" s="152"/>
    </row>
    <row r="396" spans="1:25" s="8" customFormat="1" x14ac:dyDescent="0.25">
      <c r="A396" s="9"/>
      <c r="B396" s="4"/>
      <c r="C396" s="17"/>
      <c r="D396" s="113"/>
      <c r="E396" s="113"/>
      <c r="F396" s="113"/>
      <c r="G396" s="227"/>
      <c r="H396" s="113"/>
      <c r="I396" s="113"/>
      <c r="J396" s="113"/>
      <c r="K396" s="113"/>
      <c r="L396" s="113"/>
      <c r="M396" s="113"/>
      <c r="N396" s="113"/>
      <c r="O396" s="113"/>
      <c r="P396" s="113"/>
      <c r="Q396" s="239"/>
      <c r="R396" s="239"/>
      <c r="S396" s="113"/>
      <c r="T396" s="113"/>
      <c r="U396" s="113"/>
      <c r="V396" s="113"/>
      <c r="W396" s="117"/>
      <c r="X396" s="113"/>
      <c r="Y396" s="152"/>
    </row>
    <row r="397" spans="1:25" s="8" customFormat="1" x14ac:dyDescent="0.25">
      <c r="A397" s="9"/>
      <c r="B397" s="4"/>
      <c r="C397" s="17"/>
      <c r="D397" s="113"/>
      <c r="E397" s="113"/>
      <c r="F397" s="113"/>
      <c r="G397" s="227"/>
      <c r="H397" s="113"/>
      <c r="I397" s="113"/>
      <c r="J397" s="113"/>
      <c r="K397" s="113"/>
      <c r="L397" s="113"/>
      <c r="M397" s="113"/>
      <c r="N397" s="113"/>
      <c r="O397" s="113"/>
      <c r="P397" s="113"/>
      <c r="Q397" s="239"/>
      <c r="R397" s="239"/>
      <c r="S397" s="113"/>
      <c r="T397" s="113"/>
      <c r="U397" s="113"/>
      <c r="V397" s="113"/>
      <c r="W397" s="117"/>
      <c r="X397" s="113"/>
      <c r="Y397" s="152"/>
    </row>
    <row r="398" spans="1:25" s="8" customFormat="1" x14ac:dyDescent="0.25">
      <c r="A398" s="9"/>
      <c r="B398" s="4"/>
      <c r="C398" s="17"/>
      <c r="D398" s="113"/>
      <c r="E398" s="113"/>
      <c r="F398" s="113"/>
      <c r="G398" s="227"/>
      <c r="H398" s="113"/>
      <c r="I398" s="113"/>
      <c r="J398" s="113"/>
      <c r="K398" s="113"/>
      <c r="L398" s="113"/>
      <c r="M398" s="113"/>
      <c r="N398" s="113"/>
      <c r="O398" s="113"/>
      <c r="P398" s="113"/>
      <c r="Q398" s="239"/>
      <c r="R398" s="239"/>
      <c r="S398" s="113"/>
      <c r="T398" s="113"/>
      <c r="U398" s="113"/>
      <c r="V398" s="113"/>
      <c r="W398" s="117"/>
      <c r="X398" s="113"/>
      <c r="Y398" s="152"/>
    </row>
    <row r="399" spans="1:25" s="8" customFormat="1" x14ac:dyDescent="0.25">
      <c r="A399" s="9"/>
      <c r="B399" s="4"/>
      <c r="C399" s="17"/>
      <c r="D399" s="113"/>
      <c r="E399" s="113"/>
      <c r="F399" s="113"/>
      <c r="G399" s="227"/>
      <c r="H399" s="113"/>
      <c r="I399" s="113"/>
      <c r="J399" s="113"/>
      <c r="K399" s="113"/>
      <c r="L399" s="113"/>
      <c r="M399" s="113"/>
      <c r="N399" s="113"/>
      <c r="O399" s="113"/>
      <c r="P399" s="113"/>
      <c r="Q399" s="239"/>
      <c r="R399" s="239"/>
      <c r="S399" s="113"/>
      <c r="T399" s="113"/>
      <c r="U399" s="113"/>
      <c r="V399" s="113"/>
      <c r="W399" s="117"/>
      <c r="X399" s="113"/>
      <c r="Y399" s="152"/>
    </row>
    <row r="400" spans="1:25" s="8" customFormat="1" x14ac:dyDescent="0.25">
      <c r="A400" s="9"/>
      <c r="B400" s="4"/>
      <c r="C400" s="17"/>
      <c r="D400" s="113"/>
      <c r="E400" s="113"/>
      <c r="F400" s="113"/>
      <c r="G400" s="227"/>
      <c r="H400" s="113"/>
      <c r="I400" s="113"/>
      <c r="J400" s="113"/>
      <c r="K400" s="113"/>
      <c r="L400" s="113"/>
      <c r="M400" s="113"/>
      <c r="N400" s="113"/>
      <c r="O400" s="113"/>
      <c r="P400" s="113"/>
      <c r="Q400" s="239"/>
      <c r="R400" s="239"/>
      <c r="S400" s="113"/>
      <c r="T400" s="113"/>
      <c r="U400" s="113"/>
      <c r="V400" s="113"/>
      <c r="W400" s="117"/>
      <c r="X400" s="113"/>
      <c r="Y400" s="152"/>
    </row>
    <row r="401" spans="1:25" s="8" customFormat="1" x14ac:dyDescent="0.25">
      <c r="A401" s="9"/>
      <c r="B401" s="4"/>
      <c r="C401" s="17"/>
      <c r="D401" s="113"/>
      <c r="E401" s="113"/>
      <c r="F401" s="113"/>
      <c r="G401" s="227"/>
      <c r="H401" s="113"/>
      <c r="I401" s="113"/>
      <c r="J401" s="113"/>
      <c r="K401" s="113"/>
      <c r="L401" s="113"/>
      <c r="M401" s="113"/>
      <c r="N401" s="113"/>
      <c r="O401" s="113"/>
      <c r="P401" s="113"/>
      <c r="Q401" s="239"/>
      <c r="R401" s="239"/>
      <c r="S401" s="113"/>
      <c r="T401" s="113"/>
      <c r="U401" s="113"/>
      <c r="V401" s="113"/>
      <c r="W401" s="117"/>
      <c r="X401" s="113"/>
      <c r="Y401" s="152"/>
    </row>
    <row r="402" spans="1:25" s="8" customFormat="1" x14ac:dyDescent="0.25">
      <c r="A402" s="9"/>
      <c r="B402" s="4"/>
      <c r="C402" s="17"/>
      <c r="D402" s="113"/>
      <c r="E402" s="113"/>
      <c r="F402" s="113"/>
      <c r="G402" s="227"/>
      <c r="H402" s="113"/>
      <c r="I402" s="113"/>
      <c r="J402" s="113"/>
      <c r="K402" s="113"/>
      <c r="L402" s="113"/>
      <c r="M402" s="113"/>
      <c r="N402" s="113"/>
      <c r="O402" s="113"/>
      <c r="P402" s="113"/>
      <c r="Q402" s="239"/>
      <c r="R402" s="239"/>
      <c r="S402" s="113"/>
      <c r="T402" s="113"/>
      <c r="U402" s="113"/>
      <c r="V402" s="113"/>
      <c r="W402" s="117"/>
      <c r="X402" s="113"/>
      <c r="Y402" s="152"/>
    </row>
    <row r="403" spans="1:25" s="8" customFormat="1" x14ac:dyDescent="0.25">
      <c r="A403" s="9"/>
      <c r="B403" s="4"/>
      <c r="C403" s="17"/>
      <c r="D403" s="113"/>
      <c r="E403" s="113"/>
      <c r="F403" s="113"/>
      <c r="G403" s="227"/>
      <c r="H403" s="113"/>
      <c r="I403" s="113"/>
      <c r="J403" s="113"/>
      <c r="K403" s="113"/>
      <c r="L403" s="113"/>
      <c r="M403" s="113"/>
      <c r="N403" s="113"/>
      <c r="O403" s="113"/>
      <c r="P403" s="113"/>
      <c r="Q403" s="239"/>
      <c r="R403" s="239"/>
      <c r="S403" s="113"/>
      <c r="T403" s="113"/>
      <c r="U403" s="113"/>
      <c r="V403" s="113"/>
      <c r="W403" s="117"/>
      <c r="X403" s="113"/>
      <c r="Y403" s="152"/>
    </row>
    <row r="404" spans="1:25" s="8" customFormat="1" x14ac:dyDescent="0.25">
      <c r="A404" s="9"/>
      <c r="B404" s="4"/>
      <c r="C404" s="17"/>
      <c r="D404" s="113"/>
      <c r="E404" s="113"/>
      <c r="F404" s="113"/>
      <c r="G404" s="227"/>
      <c r="H404" s="113"/>
      <c r="I404" s="113"/>
      <c r="J404" s="113"/>
      <c r="K404" s="113"/>
      <c r="L404" s="113"/>
      <c r="M404" s="113"/>
      <c r="N404" s="113"/>
      <c r="O404" s="113"/>
      <c r="P404" s="113"/>
      <c r="Q404" s="239"/>
      <c r="R404" s="239"/>
      <c r="S404" s="113"/>
      <c r="T404" s="113"/>
      <c r="U404" s="113"/>
      <c r="V404" s="113"/>
      <c r="W404" s="117"/>
      <c r="X404" s="113"/>
      <c r="Y404" s="152"/>
    </row>
    <row r="405" spans="1:25" s="8" customFormat="1" x14ac:dyDescent="0.25">
      <c r="A405" s="9"/>
      <c r="B405" s="4"/>
      <c r="C405" s="17"/>
      <c r="D405" s="113"/>
      <c r="E405" s="113"/>
      <c r="F405" s="113"/>
      <c r="G405" s="227"/>
      <c r="H405" s="113"/>
      <c r="I405" s="113"/>
      <c r="J405" s="113"/>
      <c r="K405" s="113"/>
      <c r="L405" s="113"/>
      <c r="M405" s="113"/>
      <c r="N405" s="113"/>
      <c r="O405" s="113"/>
      <c r="P405" s="113"/>
      <c r="Q405" s="239"/>
      <c r="R405" s="239"/>
      <c r="S405" s="113"/>
      <c r="T405" s="113"/>
      <c r="U405" s="113"/>
      <c r="V405" s="113"/>
      <c r="W405" s="117"/>
      <c r="X405" s="113"/>
      <c r="Y405" s="152"/>
    </row>
    <row r="406" spans="1:25" s="8" customFormat="1" x14ac:dyDescent="0.25">
      <c r="A406" s="9"/>
      <c r="B406" s="4"/>
      <c r="C406" s="17"/>
      <c r="D406" s="113"/>
      <c r="E406" s="113"/>
      <c r="F406" s="113"/>
      <c r="G406" s="227"/>
      <c r="H406" s="113"/>
      <c r="I406" s="113"/>
      <c r="J406" s="113"/>
      <c r="K406" s="113"/>
      <c r="L406" s="113"/>
      <c r="M406" s="113"/>
      <c r="N406" s="113"/>
      <c r="O406" s="113"/>
      <c r="P406" s="113"/>
      <c r="Q406" s="239"/>
      <c r="R406" s="239"/>
      <c r="S406" s="113"/>
      <c r="T406" s="113"/>
      <c r="U406" s="113"/>
      <c r="V406" s="113"/>
      <c r="W406" s="117"/>
      <c r="X406" s="113"/>
      <c r="Y406" s="152"/>
    </row>
    <row r="407" spans="1:25" s="8" customFormat="1" x14ac:dyDescent="0.25">
      <c r="A407" s="9"/>
      <c r="B407" s="4"/>
      <c r="C407" s="17"/>
      <c r="D407" s="113"/>
      <c r="E407" s="113"/>
      <c r="F407" s="113"/>
      <c r="G407" s="227"/>
      <c r="H407" s="113"/>
      <c r="I407" s="113"/>
      <c r="J407" s="113"/>
      <c r="K407" s="113"/>
      <c r="L407" s="113"/>
      <c r="M407" s="113"/>
      <c r="N407" s="113"/>
      <c r="O407" s="113"/>
      <c r="P407" s="113"/>
      <c r="Q407" s="239"/>
      <c r="R407" s="239"/>
      <c r="S407" s="113"/>
      <c r="T407" s="113"/>
      <c r="U407" s="113"/>
      <c r="V407" s="113"/>
      <c r="W407" s="117"/>
      <c r="X407" s="113"/>
      <c r="Y407" s="152"/>
    </row>
    <row r="408" spans="1:25" s="8" customFormat="1" x14ac:dyDescent="0.25">
      <c r="A408" s="9"/>
      <c r="B408" s="4"/>
      <c r="C408" s="17"/>
      <c r="D408" s="113"/>
      <c r="E408" s="113"/>
      <c r="F408" s="113"/>
      <c r="G408" s="227"/>
      <c r="H408" s="113"/>
      <c r="I408" s="113"/>
      <c r="J408" s="113"/>
      <c r="K408" s="113"/>
      <c r="L408" s="113"/>
      <c r="M408" s="113"/>
      <c r="N408" s="113"/>
      <c r="O408" s="113"/>
      <c r="P408" s="113"/>
      <c r="Q408" s="239"/>
      <c r="R408" s="239"/>
      <c r="S408" s="113"/>
      <c r="T408" s="113"/>
      <c r="U408" s="113"/>
      <c r="V408" s="113"/>
      <c r="W408" s="117"/>
      <c r="X408" s="113"/>
      <c r="Y408" s="152"/>
    </row>
    <row r="409" spans="1:25" s="8" customFormat="1" x14ac:dyDescent="0.25">
      <c r="A409" s="9"/>
      <c r="B409" s="4"/>
      <c r="C409" s="17"/>
      <c r="D409" s="113"/>
      <c r="E409" s="113"/>
      <c r="F409" s="113"/>
      <c r="G409" s="227"/>
      <c r="H409" s="113"/>
      <c r="I409" s="113"/>
      <c r="J409" s="113"/>
      <c r="K409" s="113"/>
      <c r="L409" s="113"/>
      <c r="M409" s="113"/>
      <c r="N409" s="113"/>
      <c r="O409" s="113"/>
      <c r="P409" s="113"/>
      <c r="Q409" s="239"/>
      <c r="R409" s="239"/>
      <c r="S409" s="113"/>
      <c r="T409" s="113"/>
      <c r="U409" s="113"/>
      <c r="V409" s="113"/>
      <c r="W409" s="117"/>
      <c r="X409" s="113"/>
      <c r="Y409" s="152"/>
    </row>
    <row r="410" spans="1:25" s="8" customFormat="1" x14ac:dyDescent="0.25">
      <c r="A410" s="9"/>
      <c r="B410" s="4"/>
      <c r="C410" s="17"/>
      <c r="D410" s="113"/>
      <c r="E410" s="113"/>
      <c r="F410" s="113"/>
      <c r="G410" s="227"/>
      <c r="H410" s="113"/>
      <c r="I410" s="113"/>
      <c r="J410" s="113"/>
      <c r="K410" s="113"/>
      <c r="L410" s="113"/>
      <c r="M410" s="113"/>
      <c r="N410" s="113"/>
      <c r="O410" s="113"/>
      <c r="P410" s="113"/>
      <c r="Q410" s="239"/>
      <c r="R410" s="239"/>
      <c r="S410" s="113"/>
      <c r="T410" s="113"/>
      <c r="U410" s="113"/>
      <c r="V410" s="113"/>
      <c r="W410" s="117"/>
      <c r="X410" s="113"/>
      <c r="Y410" s="152"/>
    </row>
    <row r="411" spans="1:25" s="8" customFormat="1" x14ac:dyDescent="0.25">
      <c r="A411" s="9"/>
      <c r="B411" s="4"/>
      <c r="C411" s="17"/>
      <c r="D411" s="113"/>
      <c r="E411" s="113"/>
      <c r="F411" s="113"/>
      <c r="G411" s="227"/>
      <c r="H411" s="113"/>
      <c r="I411" s="113"/>
      <c r="J411" s="113"/>
      <c r="K411" s="113"/>
      <c r="L411" s="113"/>
      <c r="M411" s="113"/>
      <c r="N411" s="113"/>
      <c r="O411" s="113"/>
      <c r="P411" s="113"/>
      <c r="Q411" s="239"/>
      <c r="R411" s="239"/>
      <c r="S411" s="113"/>
      <c r="T411" s="113"/>
      <c r="U411" s="113"/>
      <c r="V411" s="113"/>
      <c r="W411" s="117"/>
      <c r="X411" s="113"/>
      <c r="Y411" s="152"/>
    </row>
    <row r="412" spans="1:25" s="8" customFormat="1" x14ac:dyDescent="0.25">
      <c r="A412" s="9"/>
      <c r="B412" s="4"/>
      <c r="C412" s="17"/>
      <c r="D412" s="113"/>
      <c r="E412" s="113"/>
      <c r="F412" s="113"/>
      <c r="G412" s="227"/>
      <c r="H412" s="113"/>
      <c r="I412" s="113"/>
      <c r="J412" s="113"/>
      <c r="K412" s="113"/>
      <c r="L412" s="113"/>
      <c r="M412" s="113"/>
      <c r="N412" s="113"/>
      <c r="O412" s="113"/>
      <c r="P412" s="113"/>
      <c r="Q412" s="239"/>
      <c r="R412" s="239"/>
      <c r="S412" s="113"/>
      <c r="T412" s="113"/>
      <c r="U412" s="113"/>
      <c r="V412" s="113"/>
      <c r="W412" s="117"/>
      <c r="X412" s="113"/>
      <c r="Y412" s="152"/>
    </row>
    <row r="413" spans="1:25" s="8" customFormat="1" x14ac:dyDescent="0.25">
      <c r="A413" s="9"/>
      <c r="B413" s="4"/>
      <c r="C413" s="17"/>
      <c r="D413" s="113"/>
      <c r="E413" s="113"/>
      <c r="F413" s="113"/>
      <c r="G413" s="227"/>
      <c r="H413" s="113"/>
      <c r="I413" s="113"/>
      <c r="J413" s="113"/>
      <c r="K413" s="113"/>
      <c r="L413" s="113"/>
      <c r="M413" s="113"/>
      <c r="N413" s="113"/>
      <c r="O413" s="113"/>
      <c r="P413" s="113"/>
      <c r="Q413" s="239"/>
      <c r="R413" s="239"/>
      <c r="S413" s="113"/>
      <c r="T413" s="113"/>
      <c r="U413" s="113"/>
      <c r="V413" s="113"/>
      <c r="W413" s="117"/>
      <c r="X413" s="113"/>
      <c r="Y413" s="152"/>
    </row>
    <row r="414" spans="1:25" s="8" customFormat="1" x14ac:dyDescent="0.25">
      <c r="A414" s="9"/>
      <c r="B414" s="4"/>
      <c r="C414" s="17"/>
      <c r="D414" s="113"/>
      <c r="E414" s="113"/>
      <c r="F414" s="113"/>
      <c r="G414" s="227"/>
      <c r="H414" s="113"/>
      <c r="I414" s="113"/>
      <c r="J414" s="113"/>
      <c r="K414" s="113"/>
      <c r="L414" s="113"/>
      <c r="M414" s="113"/>
      <c r="N414" s="113"/>
      <c r="O414" s="113"/>
      <c r="P414" s="113"/>
      <c r="Q414" s="239"/>
      <c r="R414" s="239"/>
      <c r="S414" s="113"/>
      <c r="T414" s="113"/>
      <c r="U414" s="113"/>
      <c r="V414" s="113"/>
      <c r="W414" s="117"/>
      <c r="X414" s="113"/>
      <c r="Y414" s="152"/>
    </row>
    <row r="415" spans="1:25" s="8" customFormat="1" x14ac:dyDescent="0.25">
      <c r="A415" s="9"/>
      <c r="B415" s="4"/>
      <c r="C415" s="17"/>
      <c r="D415" s="113"/>
      <c r="E415" s="113"/>
      <c r="F415" s="113"/>
      <c r="G415" s="227"/>
      <c r="H415" s="113"/>
      <c r="I415" s="113"/>
      <c r="J415" s="113"/>
      <c r="K415" s="113"/>
      <c r="L415" s="113"/>
      <c r="M415" s="113"/>
      <c r="N415" s="113"/>
      <c r="O415" s="113"/>
      <c r="P415" s="113"/>
      <c r="Q415" s="239"/>
      <c r="R415" s="239"/>
      <c r="S415" s="113"/>
      <c r="T415" s="113"/>
      <c r="U415" s="113"/>
      <c r="V415" s="113"/>
      <c r="W415" s="117"/>
      <c r="X415" s="113"/>
      <c r="Y415" s="152"/>
    </row>
    <row r="416" spans="1:25" s="8" customFormat="1" x14ac:dyDescent="0.25">
      <c r="A416" s="9"/>
      <c r="B416" s="4"/>
      <c r="C416" s="17"/>
      <c r="D416" s="113"/>
      <c r="E416" s="113"/>
      <c r="F416" s="113"/>
      <c r="G416" s="227"/>
      <c r="H416" s="113"/>
      <c r="I416" s="113"/>
      <c r="J416" s="113"/>
      <c r="K416" s="113"/>
      <c r="L416" s="113"/>
      <c r="M416" s="113"/>
      <c r="N416" s="113"/>
      <c r="O416" s="113"/>
      <c r="P416" s="113"/>
      <c r="Q416" s="239"/>
      <c r="R416" s="239"/>
      <c r="S416" s="113"/>
      <c r="T416" s="113"/>
      <c r="U416" s="113"/>
      <c r="V416" s="113"/>
      <c r="W416" s="117"/>
      <c r="X416" s="113"/>
      <c r="Y416" s="152"/>
    </row>
    <row r="417" spans="1:25" s="8" customFormat="1" x14ac:dyDescent="0.25">
      <c r="A417" s="9"/>
      <c r="B417" s="4"/>
      <c r="C417" s="17"/>
      <c r="D417" s="113"/>
      <c r="E417" s="113"/>
      <c r="F417" s="113"/>
      <c r="G417" s="227"/>
      <c r="H417" s="113"/>
      <c r="I417" s="113"/>
      <c r="J417" s="113"/>
      <c r="K417" s="113"/>
      <c r="L417" s="113"/>
      <c r="M417" s="113"/>
      <c r="N417" s="113"/>
      <c r="O417" s="113"/>
      <c r="P417" s="113"/>
      <c r="Q417" s="239"/>
      <c r="R417" s="239"/>
      <c r="S417" s="113"/>
      <c r="T417" s="113"/>
      <c r="U417" s="113"/>
      <c r="V417" s="113"/>
      <c r="W417" s="117"/>
      <c r="X417" s="113"/>
      <c r="Y417" s="152"/>
    </row>
    <row r="418" spans="1:25" s="8" customFormat="1" x14ac:dyDescent="0.25">
      <c r="A418" s="9"/>
      <c r="B418" s="4"/>
      <c r="C418" s="17"/>
      <c r="D418" s="113"/>
      <c r="E418" s="113"/>
      <c r="F418" s="113"/>
      <c r="G418" s="227"/>
      <c r="H418" s="113"/>
      <c r="I418" s="113"/>
      <c r="J418" s="113"/>
      <c r="K418" s="113"/>
      <c r="L418" s="113"/>
      <c r="M418" s="113"/>
      <c r="N418" s="113"/>
      <c r="O418" s="113"/>
      <c r="P418" s="113"/>
      <c r="Q418" s="239"/>
      <c r="R418" s="239"/>
      <c r="S418" s="113"/>
      <c r="T418" s="113"/>
      <c r="U418" s="113"/>
      <c r="V418" s="113"/>
      <c r="W418" s="117"/>
      <c r="X418" s="113"/>
      <c r="Y418" s="152"/>
    </row>
    <row r="419" spans="1:25" s="8" customFormat="1" x14ac:dyDescent="0.25">
      <c r="A419" s="9"/>
      <c r="B419" s="4"/>
      <c r="C419" s="17"/>
      <c r="D419" s="113"/>
      <c r="E419" s="113"/>
      <c r="F419" s="113"/>
      <c r="G419" s="227"/>
      <c r="H419" s="113"/>
      <c r="I419" s="113"/>
      <c r="J419" s="113"/>
      <c r="K419" s="113"/>
      <c r="L419" s="113"/>
      <c r="M419" s="113"/>
      <c r="N419" s="113"/>
      <c r="O419" s="113"/>
      <c r="P419" s="113"/>
      <c r="Q419" s="239"/>
      <c r="R419" s="239"/>
      <c r="S419" s="113"/>
      <c r="T419" s="113"/>
      <c r="U419" s="113"/>
      <c r="V419" s="113"/>
      <c r="W419" s="117"/>
      <c r="X419" s="113"/>
      <c r="Y419" s="152"/>
    </row>
    <row r="420" spans="1:25" s="8" customFormat="1" x14ac:dyDescent="0.25">
      <c r="A420" s="9"/>
      <c r="B420" s="4"/>
      <c r="C420" s="17"/>
      <c r="D420" s="113"/>
      <c r="E420" s="113"/>
      <c r="F420" s="113"/>
      <c r="G420" s="227"/>
      <c r="H420" s="113"/>
      <c r="I420" s="113"/>
      <c r="J420" s="113"/>
      <c r="K420" s="113"/>
      <c r="L420" s="113"/>
      <c r="M420" s="113"/>
      <c r="N420" s="113"/>
      <c r="O420" s="113"/>
      <c r="P420" s="113"/>
      <c r="Q420" s="239"/>
      <c r="R420" s="239"/>
      <c r="S420" s="113"/>
      <c r="T420" s="113"/>
      <c r="U420" s="113"/>
      <c r="V420" s="113"/>
      <c r="W420" s="117"/>
      <c r="X420" s="113"/>
      <c r="Y420" s="152"/>
    </row>
    <row r="421" spans="1:25" s="8" customFormat="1" x14ac:dyDescent="0.25">
      <c r="A421" s="9"/>
      <c r="B421" s="4"/>
      <c r="C421" s="17"/>
      <c r="D421" s="113"/>
      <c r="E421" s="113"/>
      <c r="F421" s="113"/>
      <c r="G421" s="227"/>
      <c r="H421" s="113"/>
      <c r="I421" s="113"/>
      <c r="J421" s="113"/>
      <c r="K421" s="113"/>
      <c r="L421" s="113"/>
      <c r="M421" s="113"/>
      <c r="N421" s="113"/>
      <c r="O421" s="113"/>
      <c r="P421" s="113"/>
      <c r="Q421" s="239"/>
      <c r="R421" s="239"/>
      <c r="S421" s="113"/>
      <c r="T421" s="113"/>
      <c r="U421" s="113"/>
      <c r="V421" s="113"/>
      <c r="W421" s="117"/>
      <c r="X421" s="113"/>
      <c r="Y421" s="152"/>
    </row>
    <row r="422" spans="1:25" s="8" customFormat="1" x14ac:dyDescent="0.25">
      <c r="A422" s="9"/>
      <c r="B422" s="4"/>
      <c r="C422" s="17"/>
      <c r="D422" s="113"/>
      <c r="E422" s="113"/>
      <c r="F422" s="113"/>
      <c r="G422" s="227"/>
      <c r="H422" s="113"/>
      <c r="I422" s="113"/>
      <c r="J422" s="113"/>
      <c r="K422" s="113"/>
      <c r="L422" s="113"/>
      <c r="M422" s="113"/>
      <c r="N422" s="113"/>
      <c r="O422" s="113"/>
      <c r="P422" s="113"/>
      <c r="Q422" s="239"/>
      <c r="R422" s="239"/>
      <c r="S422" s="113"/>
      <c r="T422" s="113"/>
      <c r="U422" s="113"/>
      <c r="V422" s="113"/>
      <c r="W422" s="117"/>
      <c r="X422" s="113"/>
      <c r="Y422" s="152"/>
    </row>
    <row r="423" spans="1:25" s="8" customFormat="1" x14ac:dyDescent="0.25">
      <c r="A423" s="9"/>
      <c r="B423" s="4"/>
      <c r="C423" s="17"/>
      <c r="D423" s="113"/>
      <c r="E423" s="113"/>
      <c r="F423" s="113"/>
      <c r="G423" s="227"/>
      <c r="H423" s="113"/>
      <c r="I423" s="113"/>
      <c r="J423" s="113"/>
      <c r="K423" s="113"/>
      <c r="L423" s="113"/>
      <c r="M423" s="113"/>
      <c r="N423" s="113"/>
      <c r="O423" s="113"/>
      <c r="P423" s="113"/>
      <c r="Q423" s="239"/>
      <c r="R423" s="239"/>
      <c r="S423" s="113"/>
      <c r="T423" s="113"/>
      <c r="U423" s="113"/>
      <c r="V423" s="113"/>
      <c r="W423" s="117"/>
      <c r="X423" s="113"/>
      <c r="Y423" s="152"/>
    </row>
    <row r="424" spans="1:25" s="8" customFormat="1" x14ac:dyDescent="0.25">
      <c r="A424" s="9"/>
      <c r="B424" s="4"/>
      <c r="C424" s="17"/>
      <c r="D424" s="113"/>
      <c r="E424" s="113"/>
      <c r="F424" s="113"/>
      <c r="G424" s="227"/>
      <c r="H424" s="113"/>
      <c r="I424" s="113"/>
      <c r="J424" s="113"/>
      <c r="K424" s="113"/>
      <c r="L424" s="113"/>
      <c r="M424" s="113"/>
      <c r="N424" s="113"/>
      <c r="O424" s="113"/>
      <c r="P424" s="113"/>
      <c r="Q424" s="239"/>
      <c r="R424" s="239"/>
      <c r="S424" s="113"/>
      <c r="T424" s="113"/>
      <c r="U424" s="113"/>
      <c r="V424" s="113"/>
      <c r="W424" s="117"/>
      <c r="X424" s="113"/>
      <c r="Y424" s="152"/>
    </row>
    <row r="425" spans="1:25" s="8" customFormat="1" x14ac:dyDescent="0.25">
      <c r="A425" s="9"/>
      <c r="B425" s="4"/>
      <c r="C425" s="17"/>
      <c r="D425" s="113"/>
      <c r="E425" s="113"/>
      <c r="F425" s="113"/>
      <c r="G425" s="227"/>
      <c r="H425" s="113"/>
      <c r="I425" s="113"/>
      <c r="J425" s="113"/>
      <c r="K425" s="113"/>
      <c r="L425" s="113"/>
      <c r="M425" s="113"/>
      <c r="N425" s="113"/>
      <c r="O425" s="113"/>
      <c r="P425" s="113"/>
      <c r="Q425" s="239"/>
      <c r="R425" s="239"/>
      <c r="S425" s="113"/>
      <c r="T425" s="113"/>
      <c r="U425" s="113"/>
      <c r="V425" s="113"/>
      <c r="W425" s="117"/>
      <c r="X425" s="113"/>
      <c r="Y425" s="152"/>
    </row>
    <row r="426" spans="1:25" s="8" customFormat="1" x14ac:dyDescent="0.25">
      <c r="A426" s="9"/>
      <c r="B426" s="4"/>
      <c r="C426" s="17"/>
      <c r="D426" s="113"/>
      <c r="E426" s="113"/>
      <c r="F426" s="113"/>
      <c r="G426" s="227"/>
      <c r="H426" s="113"/>
      <c r="I426" s="113"/>
      <c r="J426" s="113"/>
      <c r="K426" s="113"/>
      <c r="L426" s="113"/>
      <c r="M426" s="113"/>
      <c r="N426" s="113"/>
      <c r="O426" s="113"/>
      <c r="P426" s="113"/>
      <c r="Q426" s="239"/>
      <c r="R426" s="239"/>
      <c r="S426" s="113"/>
      <c r="T426" s="113"/>
      <c r="U426" s="113"/>
      <c r="V426" s="113"/>
      <c r="W426" s="117"/>
      <c r="X426" s="113"/>
      <c r="Y426" s="152"/>
    </row>
    <row r="427" spans="1:25" s="8" customFormat="1" x14ac:dyDescent="0.25">
      <c r="A427" s="9"/>
      <c r="B427" s="4"/>
      <c r="C427" s="17"/>
      <c r="D427" s="113"/>
      <c r="E427" s="113"/>
      <c r="F427" s="113"/>
      <c r="G427" s="227"/>
      <c r="H427" s="113"/>
      <c r="I427" s="113"/>
      <c r="J427" s="113"/>
      <c r="K427" s="113"/>
      <c r="L427" s="113"/>
      <c r="M427" s="113"/>
      <c r="N427" s="113"/>
      <c r="O427" s="113"/>
      <c r="P427" s="113"/>
      <c r="Q427" s="239"/>
      <c r="R427" s="239"/>
      <c r="S427" s="113"/>
      <c r="T427" s="113"/>
      <c r="U427" s="113"/>
      <c r="V427" s="113"/>
      <c r="W427" s="117"/>
      <c r="X427" s="113"/>
      <c r="Y427" s="152"/>
    </row>
    <row r="428" spans="1:25" s="8" customFormat="1" x14ac:dyDescent="0.25">
      <c r="A428" s="9"/>
      <c r="B428" s="4"/>
      <c r="C428" s="17"/>
      <c r="D428" s="113"/>
      <c r="E428" s="113"/>
      <c r="F428" s="113"/>
      <c r="G428" s="227"/>
      <c r="H428" s="113"/>
      <c r="I428" s="113"/>
      <c r="J428" s="113"/>
      <c r="K428" s="113"/>
      <c r="L428" s="113"/>
      <c r="M428" s="113"/>
      <c r="N428" s="113"/>
      <c r="O428" s="113"/>
      <c r="P428" s="113"/>
      <c r="Q428" s="239"/>
      <c r="R428" s="239"/>
      <c r="S428" s="113"/>
      <c r="T428" s="113"/>
      <c r="U428" s="113"/>
      <c r="V428" s="113"/>
      <c r="W428" s="117"/>
      <c r="X428" s="113"/>
      <c r="Y428" s="152"/>
    </row>
    <row r="429" spans="1:25" s="8" customFormat="1" x14ac:dyDescent="0.25">
      <c r="A429" s="9"/>
      <c r="B429" s="4"/>
      <c r="C429" s="17"/>
      <c r="D429" s="113"/>
      <c r="E429" s="113"/>
      <c r="F429" s="113"/>
      <c r="G429" s="227"/>
      <c r="H429" s="113"/>
      <c r="I429" s="113"/>
      <c r="J429" s="113"/>
      <c r="K429" s="113"/>
      <c r="L429" s="113"/>
      <c r="M429" s="113"/>
      <c r="N429" s="113"/>
      <c r="O429" s="113"/>
      <c r="P429" s="113"/>
      <c r="Q429" s="239"/>
      <c r="R429" s="239"/>
      <c r="S429" s="113"/>
      <c r="T429" s="113"/>
      <c r="U429" s="113"/>
      <c r="V429" s="113"/>
      <c r="W429" s="117"/>
      <c r="X429" s="113"/>
      <c r="Y429" s="152"/>
    </row>
    <row r="430" spans="1:25" s="8" customFormat="1" x14ac:dyDescent="0.25">
      <c r="A430" s="9"/>
      <c r="B430" s="4"/>
      <c r="C430" s="17"/>
      <c r="D430" s="113"/>
      <c r="E430" s="113"/>
      <c r="F430" s="113"/>
      <c r="G430" s="227"/>
      <c r="H430" s="113"/>
      <c r="I430" s="113"/>
      <c r="J430" s="113"/>
      <c r="K430" s="113"/>
      <c r="L430" s="113"/>
      <c r="M430" s="113"/>
      <c r="N430" s="113"/>
      <c r="O430" s="113"/>
      <c r="P430" s="113"/>
      <c r="Q430" s="239"/>
      <c r="R430" s="239"/>
      <c r="S430" s="113"/>
      <c r="T430" s="113"/>
      <c r="U430" s="113"/>
      <c r="V430" s="113"/>
      <c r="W430" s="117"/>
      <c r="X430" s="113"/>
      <c r="Y430" s="152"/>
    </row>
    <row r="431" spans="1:25" s="8" customFormat="1" x14ac:dyDescent="0.25">
      <c r="A431" s="9"/>
      <c r="B431" s="4"/>
      <c r="C431" s="17"/>
      <c r="D431" s="113"/>
      <c r="E431" s="113"/>
      <c r="F431" s="113"/>
      <c r="G431" s="227"/>
      <c r="H431" s="113"/>
      <c r="I431" s="113"/>
      <c r="J431" s="113"/>
      <c r="K431" s="113"/>
      <c r="L431" s="113"/>
      <c r="M431" s="113"/>
      <c r="N431" s="113"/>
      <c r="O431" s="113"/>
      <c r="P431" s="113"/>
      <c r="Q431" s="239"/>
      <c r="R431" s="239"/>
      <c r="S431" s="113"/>
      <c r="T431" s="113"/>
      <c r="U431" s="113"/>
      <c r="V431" s="113"/>
      <c r="W431" s="117"/>
      <c r="X431" s="113"/>
      <c r="Y431" s="152"/>
    </row>
    <row r="432" spans="1:25" s="8" customFormat="1" x14ac:dyDescent="0.25">
      <c r="A432" s="9"/>
      <c r="B432" s="4"/>
      <c r="C432" s="17"/>
      <c r="D432" s="113"/>
      <c r="E432" s="113"/>
      <c r="F432" s="113"/>
      <c r="G432" s="227"/>
      <c r="H432" s="113"/>
      <c r="I432" s="113"/>
      <c r="J432" s="113"/>
      <c r="K432" s="113"/>
      <c r="L432" s="113"/>
      <c r="M432" s="113"/>
      <c r="N432" s="113"/>
      <c r="O432" s="113"/>
      <c r="P432" s="113"/>
      <c r="Q432" s="239"/>
      <c r="R432" s="239"/>
      <c r="S432" s="113"/>
      <c r="T432" s="113"/>
      <c r="U432" s="113"/>
      <c r="V432" s="113"/>
      <c r="W432" s="117"/>
      <c r="X432" s="113"/>
      <c r="Y432" s="152"/>
    </row>
    <row r="433" spans="1:25" s="8" customFormat="1" x14ac:dyDescent="0.25">
      <c r="A433" s="9"/>
      <c r="B433" s="4"/>
      <c r="C433" s="17"/>
      <c r="D433" s="113"/>
      <c r="E433" s="113"/>
      <c r="F433" s="113"/>
      <c r="G433" s="227"/>
      <c r="H433" s="113"/>
      <c r="I433" s="113"/>
      <c r="J433" s="113"/>
      <c r="K433" s="113"/>
      <c r="L433" s="113"/>
      <c r="M433" s="113"/>
      <c r="N433" s="113"/>
      <c r="O433" s="113"/>
      <c r="P433" s="113"/>
      <c r="Q433" s="239"/>
      <c r="R433" s="239"/>
      <c r="S433" s="113"/>
      <c r="T433" s="113"/>
      <c r="U433" s="113"/>
      <c r="V433" s="113"/>
      <c r="W433" s="117"/>
      <c r="X433" s="113"/>
      <c r="Y433" s="152"/>
    </row>
    <row r="434" spans="1:25" s="8" customFormat="1" x14ac:dyDescent="0.25">
      <c r="A434" s="9"/>
      <c r="B434" s="4"/>
      <c r="C434" s="17"/>
      <c r="D434" s="113"/>
      <c r="E434" s="113"/>
      <c r="F434" s="113"/>
      <c r="G434" s="227"/>
      <c r="H434" s="113"/>
      <c r="I434" s="113"/>
      <c r="J434" s="113"/>
      <c r="K434" s="113"/>
      <c r="L434" s="113"/>
      <c r="M434" s="113"/>
      <c r="N434" s="113"/>
      <c r="O434" s="113"/>
      <c r="P434" s="113"/>
      <c r="Q434" s="239"/>
      <c r="R434" s="239"/>
      <c r="S434" s="113"/>
      <c r="T434" s="113"/>
      <c r="U434" s="113"/>
      <c r="V434" s="113"/>
      <c r="W434" s="117"/>
      <c r="X434" s="113"/>
      <c r="Y434" s="152"/>
    </row>
    <row r="435" spans="1:25" s="8" customFormat="1" x14ac:dyDescent="0.25">
      <c r="A435" s="9"/>
      <c r="B435" s="4"/>
      <c r="C435" s="17"/>
      <c r="D435" s="113"/>
      <c r="E435" s="113"/>
      <c r="F435" s="113"/>
      <c r="G435" s="227"/>
      <c r="H435" s="113"/>
      <c r="I435" s="113"/>
      <c r="J435" s="113"/>
      <c r="K435" s="113"/>
      <c r="L435" s="113"/>
      <c r="M435" s="113"/>
      <c r="N435" s="113"/>
      <c r="O435" s="113"/>
      <c r="P435" s="113"/>
      <c r="Q435" s="239"/>
      <c r="R435" s="239"/>
      <c r="S435" s="113"/>
      <c r="T435" s="113"/>
      <c r="U435" s="113"/>
      <c r="V435" s="113"/>
      <c r="W435" s="117"/>
      <c r="X435" s="113"/>
      <c r="Y435" s="152"/>
    </row>
    <row r="436" spans="1:25" s="8" customFormat="1" x14ac:dyDescent="0.25">
      <c r="A436" s="9"/>
      <c r="B436" s="4"/>
      <c r="C436" s="17"/>
      <c r="D436" s="113"/>
      <c r="E436" s="113"/>
      <c r="F436" s="113"/>
      <c r="G436" s="227"/>
      <c r="H436" s="113"/>
      <c r="I436" s="113"/>
      <c r="J436" s="113"/>
      <c r="K436" s="113"/>
      <c r="L436" s="113"/>
      <c r="M436" s="113"/>
      <c r="N436" s="113"/>
      <c r="O436" s="113"/>
      <c r="P436" s="113"/>
      <c r="Q436" s="239"/>
      <c r="R436" s="239"/>
      <c r="S436" s="113"/>
      <c r="T436" s="113"/>
      <c r="U436" s="113"/>
      <c r="V436" s="113"/>
      <c r="W436" s="117"/>
      <c r="X436" s="113"/>
      <c r="Y436" s="152"/>
    </row>
    <row r="437" spans="1:25" s="8" customFormat="1" x14ac:dyDescent="0.25">
      <c r="A437" s="9"/>
      <c r="B437" s="4"/>
      <c r="C437" s="17"/>
      <c r="D437" s="113"/>
      <c r="E437" s="113"/>
      <c r="F437" s="113"/>
      <c r="G437" s="227"/>
      <c r="H437" s="113"/>
      <c r="I437" s="113"/>
      <c r="J437" s="113"/>
      <c r="K437" s="113"/>
      <c r="L437" s="113"/>
      <c r="M437" s="113"/>
      <c r="N437" s="113"/>
      <c r="O437" s="113"/>
      <c r="P437" s="113"/>
      <c r="Q437" s="239"/>
      <c r="R437" s="239"/>
      <c r="S437" s="113"/>
      <c r="T437" s="113"/>
      <c r="U437" s="113"/>
      <c r="V437" s="113"/>
      <c r="W437" s="117"/>
      <c r="X437" s="113"/>
      <c r="Y437" s="152"/>
    </row>
    <row r="438" spans="1:25" s="8" customFormat="1" x14ac:dyDescent="0.25">
      <c r="A438" s="9"/>
      <c r="B438" s="4"/>
      <c r="C438" s="17"/>
      <c r="D438" s="113"/>
      <c r="E438" s="113"/>
      <c r="F438" s="113"/>
      <c r="G438" s="227"/>
      <c r="H438" s="113"/>
      <c r="I438" s="113"/>
      <c r="J438" s="113"/>
      <c r="K438" s="113"/>
      <c r="L438" s="113"/>
      <c r="M438" s="113"/>
      <c r="N438" s="113"/>
      <c r="O438" s="113"/>
      <c r="P438" s="113"/>
      <c r="Q438" s="239"/>
      <c r="R438" s="239"/>
      <c r="S438" s="113"/>
      <c r="T438" s="113"/>
      <c r="U438" s="113"/>
      <c r="V438" s="113"/>
      <c r="W438" s="117"/>
      <c r="X438" s="113"/>
      <c r="Y438" s="152"/>
    </row>
    <row r="439" spans="1:25" s="8" customFormat="1" x14ac:dyDescent="0.25">
      <c r="A439" s="9"/>
      <c r="B439" s="4"/>
      <c r="C439" s="17"/>
      <c r="D439" s="113"/>
      <c r="E439" s="113"/>
      <c r="F439" s="113"/>
      <c r="G439" s="227"/>
      <c r="H439" s="113"/>
      <c r="I439" s="113"/>
      <c r="J439" s="113"/>
      <c r="K439" s="113"/>
      <c r="L439" s="113"/>
      <c r="M439" s="113"/>
      <c r="N439" s="113"/>
      <c r="O439" s="113"/>
      <c r="P439" s="113"/>
      <c r="Q439" s="239"/>
      <c r="R439" s="239"/>
      <c r="S439" s="113"/>
      <c r="T439" s="113"/>
      <c r="U439" s="113"/>
      <c r="V439" s="113"/>
      <c r="W439" s="117"/>
      <c r="X439" s="113"/>
      <c r="Y439" s="152"/>
    </row>
    <row r="440" spans="1:25" s="8" customFormat="1" x14ac:dyDescent="0.25">
      <c r="A440" s="9"/>
      <c r="B440" s="4"/>
      <c r="C440" s="17"/>
      <c r="D440" s="113"/>
      <c r="E440" s="113"/>
      <c r="F440" s="113"/>
      <c r="G440" s="227"/>
      <c r="H440" s="113"/>
      <c r="I440" s="113"/>
      <c r="J440" s="113"/>
      <c r="K440" s="113"/>
      <c r="L440" s="113"/>
      <c r="M440" s="113"/>
      <c r="N440" s="113"/>
      <c r="O440" s="113"/>
      <c r="P440" s="113"/>
      <c r="Q440" s="239"/>
      <c r="R440" s="239"/>
      <c r="S440" s="113"/>
      <c r="T440" s="113"/>
      <c r="U440" s="113"/>
      <c r="V440" s="113"/>
      <c r="W440" s="117"/>
      <c r="X440" s="113"/>
      <c r="Y440" s="152"/>
    </row>
    <row r="441" spans="1:25" s="8" customFormat="1" x14ac:dyDescent="0.25">
      <c r="A441" s="9"/>
      <c r="B441" s="4"/>
      <c r="C441" s="17"/>
      <c r="D441" s="113"/>
      <c r="E441" s="113"/>
      <c r="F441" s="113"/>
      <c r="G441" s="227"/>
      <c r="H441" s="113"/>
      <c r="I441" s="113"/>
      <c r="J441" s="113"/>
      <c r="K441" s="113"/>
      <c r="L441" s="113"/>
      <c r="M441" s="113"/>
      <c r="N441" s="113"/>
      <c r="O441" s="113"/>
      <c r="P441" s="113"/>
      <c r="Q441" s="239"/>
      <c r="R441" s="239"/>
      <c r="S441" s="113"/>
      <c r="T441" s="113"/>
      <c r="U441" s="113"/>
      <c r="V441" s="113"/>
      <c r="W441" s="117"/>
      <c r="X441" s="113"/>
      <c r="Y441" s="152"/>
    </row>
    <row r="442" spans="1:25" s="8" customFormat="1" x14ac:dyDescent="0.25">
      <c r="A442" s="9"/>
      <c r="B442" s="4"/>
      <c r="C442" s="17"/>
      <c r="D442" s="113"/>
      <c r="E442" s="113"/>
      <c r="F442" s="113"/>
      <c r="G442" s="227"/>
      <c r="H442" s="113"/>
      <c r="I442" s="113"/>
      <c r="J442" s="113"/>
      <c r="K442" s="113"/>
      <c r="L442" s="113"/>
      <c r="M442" s="113"/>
      <c r="N442" s="113"/>
      <c r="O442" s="113"/>
      <c r="P442" s="113"/>
      <c r="Q442" s="239"/>
      <c r="R442" s="239"/>
      <c r="S442" s="113"/>
      <c r="T442" s="113"/>
      <c r="U442" s="113"/>
      <c r="V442" s="113"/>
      <c r="W442" s="117"/>
      <c r="X442" s="113"/>
      <c r="Y442" s="152"/>
    </row>
    <row r="443" spans="1:25" s="8" customFormat="1" x14ac:dyDescent="0.25">
      <c r="A443" s="9"/>
      <c r="B443" s="4"/>
      <c r="C443" s="17"/>
      <c r="D443" s="113"/>
      <c r="E443" s="113"/>
      <c r="F443" s="113"/>
      <c r="G443" s="227"/>
      <c r="H443" s="113"/>
      <c r="I443" s="113"/>
      <c r="J443" s="113"/>
      <c r="K443" s="113"/>
      <c r="L443" s="113"/>
      <c r="M443" s="113"/>
      <c r="N443" s="113"/>
      <c r="O443" s="113"/>
      <c r="P443" s="113"/>
      <c r="Q443" s="239"/>
      <c r="R443" s="239"/>
      <c r="S443" s="113"/>
      <c r="T443" s="113"/>
      <c r="U443" s="113"/>
      <c r="V443" s="113"/>
      <c r="W443" s="117"/>
      <c r="X443" s="113"/>
      <c r="Y443" s="152"/>
    </row>
    <row r="444" spans="1:25" s="8" customFormat="1" x14ac:dyDescent="0.25">
      <c r="A444" s="9"/>
      <c r="B444" s="4"/>
      <c r="C444" s="17"/>
      <c r="D444" s="113"/>
      <c r="E444" s="113"/>
      <c r="F444" s="113"/>
      <c r="G444" s="227"/>
      <c r="H444" s="113"/>
      <c r="I444" s="113"/>
      <c r="J444" s="113"/>
      <c r="K444" s="113"/>
      <c r="L444" s="113"/>
      <c r="M444" s="113"/>
      <c r="N444" s="113"/>
      <c r="O444" s="113"/>
      <c r="P444" s="113"/>
      <c r="Q444" s="239"/>
      <c r="R444" s="239"/>
      <c r="S444" s="113"/>
      <c r="T444" s="113"/>
      <c r="U444" s="113"/>
      <c r="V444" s="113"/>
      <c r="W444" s="117"/>
      <c r="X444" s="113"/>
      <c r="Y444" s="152"/>
    </row>
    <row r="445" spans="1:25" s="8" customFormat="1" x14ac:dyDescent="0.25">
      <c r="A445" s="9"/>
      <c r="B445" s="4"/>
      <c r="C445" s="17"/>
      <c r="D445" s="113"/>
      <c r="E445" s="113"/>
      <c r="F445" s="113"/>
      <c r="G445" s="227"/>
      <c r="H445" s="113"/>
      <c r="I445" s="113"/>
      <c r="J445" s="113"/>
      <c r="K445" s="113"/>
      <c r="L445" s="113"/>
      <c r="M445" s="113"/>
      <c r="N445" s="113"/>
      <c r="O445" s="113"/>
      <c r="P445" s="113"/>
      <c r="Q445" s="239"/>
      <c r="R445" s="239"/>
      <c r="S445" s="113"/>
      <c r="T445" s="113"/>
      <c r="U445" s="113"/>
      <c r="V445" s="113"/>
      <c r="W445" s="117"/>
      <c r="X445" s="113"/>
      <c r="Y445" s="152"/>
    </row>
    <row r="446" spans="1:25" s="8" customFormat="1" x14ac:dyDescent="0.25">
      <c r="A446" s="9"/>
      <c r="B446" s="4"/>
      <c r="C446" s="17"/>
      <c r="D446" s="113"/>
      <c r="E446" s="113"/>
      <c r="F446" s="113"/>
      <c r="G446" s="227"/>
      <c r="H446" s="113"/>
      <c r="I446" s="113"/>
      <c r="J446" s="113"/>
      <c r="K446" s="113"/>
      <c r="L446" s="113"/>
      <c r="M446" s="113"/>
      <c r="N446" s="113"/>
      <c r="O446" s="113"/>
      <c r="P446" s="113"/>
      <c r="Q446" s="239"/>
      <c r="R446" s="239"/>
      <c r="S446" s="113"/>
      <c r="T446" s="113"/>
      <c r="U446" s="113"/>
      <c r="V446" s="113"/>
      <c r="W446" s="117"/>
      <c r="X446" s="113"/>
      <c r="Y446" s="152"/>
    </row>
    <row r="447" spans="1:25" s="8" customFormat="1" x14ac:dyDescent="0.25">
      <c r="A447" s="9"/>
      <c r="B447" s="4"/>
      <c r="C447" s="17"/>
      <c r="D447" s="113"/>
      <c r="E447" s="113"/>
      <c r="F447" s="113"/>
      <c r="G447" s="227"/>
      <c r="H447" s="113"/>
      <c r="I447" s="113"/>
      <c r="J447" s="113"/>
      <c r="K447" s="113"/>
      <c r="L447" s="113"/>
      <c r="M447" s="113"/>
      <c r="N447" s="113"/>
      <c r="O447" s="113"/>
      <c r="P447" s="113"/>
      <c r="Q447" s="239"/>
      <c r="R447" s="239"/>
      <c r="S447" s="113"/>
      <c r="T447" s="113"/>
      <c r="U447" s="113"/>
      <c r="V447" s="113"/>
      <c r="W447" s="117"/>
      <c r="X447" s="113"/>
      <c r="Y447" s="152"/>
    </row>
    <row r="448" spans="1:25" s="8" customFormat="1" x14ac:dyDescent="0.25">
      <c r="A448" s="9"/>
      <c r="B448" s="4"/>
      <c r="C448" s="17"/>
      <c r="D448" s="113"/>
      <c r="E448" s="113"/>
      <c r="F448" s="113"/>
      <c r="G448" s="227"/>
      <c r="H448" s="113"/>
      <c r="I448" s="113"/>
      <c r="J448" s="113"/>
      <c r="K448" s="113"/>
      <c r="L448" s="113"/>
      <c r="M448" s="113"/>
      <c r="N448" s="113"/>
      <c r="O448" s="113"/>
      <c r="P448" s="113"/>
      <c r="Q448" s="239"/>
      <c r="R448" s="239"/>
      <c r="S448" s="113"/>
      <c r="T448" s="113"/>
      <c r="U448" s="113"/>
      <c r="V448" s="113"/>
      <c r="W448" s="117"/>
      <c r="X448" s="113"/>
      <c r="Y448" s="152"/>
    </row>
    <row r="449" spans="1:25" s="8" customFormat="1" x14ac:dyDescent="0.25">
      <c r="A449" s="9"/>
      <c r="B449" s="4"/>
      <c r="C449" s="17"/>
      <c r="D449" s="113"/>
      <c r="E449" s="113"/>
      <c r="F449" s="113"/>
      <c r="G449" s="227"/>
      <c r="H449" s="113"/>
      <c r="I449" s="113"/>
      <c r="J449" s="113"/>
      <c r="K449" s="113"/>
      <c r="L449" s="113"/>
      <c r="M449" s="113"/>
      <c r="N449" s="113"/>
      <c r="O449" s="113"/>
      <c r="P449" s="113"/>
      <c r="Q449" s="239"/>
      <c r="R449" s="239"/>
      <c r="S449" s="113"/>
      <c r="T449" s="113"/>
      <c r="U449" s="113"/>
      <c r="V449" s="113"/>
      <c r="W449" s="117"/>
      <c r="X449" s="113"/>
      <c r="Y449" s="152"/>
    </row>
    <row r="450" spans="1:25" s="8" customFormat="1" x14ac:dyDescent="0.25">
      <c r="A450" s="9"/>
      <c r="B450" s="4"/>
      <c r="C450" s="17"/>
      <c r="D450" s="113"/>
      <c r="E450" s="113"/>
      <c r="F450" s="113"/>
      <c r="G450" s="227"/>
      <c r="H450" s="113"/>
      <c r="I450" s="113"/>
      <c r="J450" s="113"/>
      <c r="K450" s="113"/>
      <c r="L450" s="113"/>
      <c r="M450" s="113"/>
      <c r="N450" s="113"/>
      <c r="O450" s="113"/>
      <c r="P450" s="113"/>
      <c r="Q450" s="239"/>
      <c r="R450" s="239"/>
      <c r="S450" s="113"/>
      <c r="T450" s="113"/>
      <c r="U450" s="113"/>
      <c r="V450" s="113"/>
      <c r="W450" s="117"/>
      <c r="X450" s="113"/>
      <c r="Y450" s="152"/>
    </row>
    <row r="451" spans="1:25" s="8" customFormat="1" x14ac:dyDescent="0.25">
      <c r="A451" s="9"/>
      <c r="B451" s="4"/>
      <c r="C451" s="17"/>
      <c r="D451" s="113"/>
      <c r="E451" s="113"/>
      <c r="F451" s="113"/>
      <c r="G451" s="227"/>
      <c r="H451" s="113"/>
      <c r="I451" s="113"/>
      <c r="J451" s="113"/>
      <c r="K451" s="113"/>
      <c r="L451" s="113"/>
      <c r="M451" s="113"/>
      <c r="N451" s="113"/>
      <c r="O451" s="113"/>
      <c r="P451" s="113"/>
      <c r="Q451" s="239"/>
      <c r="R451" s="239"/>
      <c r="S451" s="113"/>
      <c r="T451" s="113"/>
      <c r="U451" s="113"/>
      <c r="V451" s="113"/>
      <c r="W451" s="117"/>
      <c r="X451" s="113"/>
      <c r="Y451" s="152"/>
    </row>
    <row r="452" spans="1:25" s="8" customFormat="1" x14ac:dyDescent="0.25">
      <c r="A452" s="9"/>
      <c r="B452" s="4"/>
      <c r="C452" s="17"/>
      <c r="D452" s="113"/>
      <c r="E452" s="113"/>
      <c r="F452" s="113"/>
      <c r="G452" s="227"/>
      <c r="H452" s="113"/>
      <c r="I452" s="113"/>
      <c r="J452" s="113"/>
      <c r="K452" s="113"/>
      <c r="L452" s="113"/>
      <c r="M452" s="113"/>
      <c r="N452" s="113"/>
      <c r="O452" s="113"/>
      <c r="P452" s="113"/>
      <c r="Q452" s="239"/>
      <c r="R452" s="239"/>
      <c r="S452" s="113"/>
      <c r="T452" s="113"/>
      <c r="U452" s="113"/>
      <c r="V452" s="113"/>
      <c r="W452" s="117"/>
      <c r="X452" s="113"/>
      <c r="Y452" s="152"/>
    </row>
    <row r="453" spans="1:25" s="8" customFormat="1" x14ac:dyDescent="0.25">
      <c r="A453" s="9"/>
      <c r="B453" s="4"/>
      <c r="C453" s="17"/>
      <c r="D453" s="113"/>
      <c r="E453" s="113"/>
      <c r="F453" s="113"/>
      <c r="G453" s="227"/>
      <c r="H453" s="113"/>
      <c r="I453" s="113"/>
      <c r="J453" s="113"/>
      <c r="K453" s="113"/>
      <c r="L453" s="113"/>
      <c r="M453" s="113"/>
      <c r="N453" s="113"/>
      <c r="O453" s="113"/>
      <c r="P453" s="113"/>
      <c r="Q453" s="239"/>
      <c r="R453" s="239"/>
      <c r="S453" s="113"/>
      <c r="T453" s="113"/>
      <c r="U453" s="113"/>
      <c r="V453" s="113"/>
      <c r="W453" s="117"/>
      <c r="X453" s="113"/>
      <c r="Y453" s="152"/>
    </row>
    <row r="454" spans="1:25" s="8" customFormat="1" x14ac:dyDescent="0.25">
      <c r="A454" s="9"/>
      <c r="B454" s="4"/>
      <c r="C454" s="17"/>
      <c r="D454" s="113"/>
      <c r="E454" s="113"/>
      <c r="F454" s="113"/>
      <c r="G454" s="227"/>
      <c r="H454" s="113"/>
      <c r="I454" s="113"/>
      <c r="J454" s="113"/>
      <c r="K454" s="113"/>
      <c r="L454" s="113"/>
      <c r="M454" s="113"/>
      <c r="N454" s="113"/>
      <c r="O454" s="113"/>
      <c r="P454" s="113"/>
      <c r="Q454" s="239"/>
      <c r="R454" s="239"/>
      <c r="S454" s="113"/>
      <c r="T454" s="113"/>
      <c r="U454" s="113"/>
      <c r="V454" s="113"/>
      <c r="W454" s="117"/>
      <c r="X454" s="113"/>
      <c r="Y454" s="152"/>
    </row>
    <row r="455" spans="1:25" s="8" customFormat="1" x14ac:dyDescent="0.25">
      <c r="A455" s="9"/>
      <c r="B455" s="4"/>
      <c r="C455" s="17"/>
      <c r="D455" s="113"/>
      <c r="E455" s="113"/>
      <c r="F455" s="113"/>
      <c r="G455" s="227"/>
      <c r="H455" s="113"/>
      <c r="I455" s="113"/>
      <c r="J455" s="113"/>
      <c r="K455" s="113"/>
      <c r="L455" s="113"/>
      <c r="M455" s="113"/>
      <c r="N455" s="113"/>
      <c r="O455" s="113"/>
      <c r="P455" s="113"/>
      <c r="Q455" s="239"/>
      <c r="R455" s="239"/>
      <c r="S455" s="113"/>
      <c r="T455" s="113"/>
      <c r="U455" s="113"/>
      <c r="V455" s="113"/>
      <c r="W455" s="117"/>
      <c r="X455" s="113"/>
      <c r="Y455" s="152"/>
    </row>
    <row r="456" spans="1:25" s="8" customFormat="1" x14ac:dyDescent="0.25">
      <c r="A456" s="9"/>
      <c r="B456" s="4"/>
      <c r="C456" s="17"/>
      <c r="D456" s="113"/>
      <c r="E456" s="113"/>
      <c r="F456" s="113"/>
      <c r="G456" s="227"/>
      <c r="H456" s="113"/>
      <c r="I456" s="113"/>
      <c r="J456" s="113"/>
      <c r="K456" s="113"/>
      <c r="L456" s="113"/>
      <c r="M456" s="113"/>
      <c r="N456" s="113"/>
      <c r="O456" s="113"/>
      <c r="P456" s="113"/>
      <c r="Q456" s="239"/>
      <c r="R456" s="239"/>
      <c r="S456" s="113"/>
      <c r="T456" s="113"/>
      <c r="U456" s="113"/>
      <c r="V456" s="113"/>
      <c r="W456" s="117"/>
      <c r="X456" s="113"/>
      <c r="Y456" s="152"/>
    </row>
    <row r="457" spans="1:25" s="8" customFormat="1" x14ac:dyDescent="0.25">
      <c r="A457" s="9"/>
      <c r="B457" s="4"/>
      <c r="C457" s="17"/>
      <c r="D457" s="113"/>
      <c r="E457" s="113"/>
      <c r="F457" s="113"/>
      <c r="G457" s="227"/>
      <c r="H457" s="113"/>
      <c r="I457" s="113"/>
      <c r="J457" s="113"/>
      <c r="K457" s="113"/>
      <c r="L457" s="113"/>
      <c r="M457" s="113"/>
      <c r="N457" s="113"/>
      <c r="O457" s="113"/>
      <c r="P457" s="113"/>
      <c r="Q457" s="239"/>
      <c r="R457" s="239"/>
      <c r="S457" s="113"/>
      <c r="T457" s="113"/>
      <c r="U457" s="113"/>
      <c r="V457" s="113"/>
      <c r="W457" s="117"/>
      <c r="X457" s="113"/>
      <c r="Y457" s="152"/>
    </row>
    <row r="458" spans="1:25" s="8" customFormat="1" x14ac:dyDescent="0.25">
      <c r="A458" s="9"/>
      <c r="B458" s="4"/>
      <c r="C458" s="17"/>
      <c r="D458" s="113"/>
      <c r="E458" s="113"/>
      <c r="F458" s="113"/>
      <c r="G458" s="227"/>
      <c r="H458" s="113"/>
      <c r="I458" s="113"/>
      <c r="J458" s="113"/>
      <c r="K458" s="113"/>
      <c r="L458" s="113"/>
      <c r="M458" s="113"/>
      <c r="N458" s="113"/>
      <c r="O458" s="113"/>
      <c r="P458" s="113"/>
      <c r="Q458" s="239"/>
      <c r="R458" s="239"/>
      <c r="S458" s="113"/>
      <c r="T458" s="113"/>
      <c r="U458" s="113"/>
      <c r="V458" s="113"/>
      <c r="W458" s="117"/>
      <c r="X458" s="113"/>
      <c r="Y458" s="152"/>
    </row>
    <row r="459" spans="1:25" s="8" customFormat="1" x14ac:dyDescent="0.25">
      <c r="A459" s="9"/>
      <c r="B459" s="4"/>
      <c r="C459" s="17"/>
      <c r="D459" s="113"/>
      <c r="E459" s="113"/>
      <c r="F459" s="113"/>
      <c r="G459" s="227"/>
      <c r="H459" s="113"/>
      <c r="I459" s="113"/>
      <c r="J459" s="113"/>
      <c r="K459" s="113"/>
      <c r="L459" s="113"/>
      <c r="M459" s="113"/>
      <c r="N459" s="113"/>
      <c r="O459" s="113"/>
      <c r="P459" s="113"/>
      <c r="Q459" s="239"/>
      <c r="R459" s="239"/>
      <c r="S459" s="113"/>
      <c r="T459" s="113"/>
      <c r="U459" s="113"/>
      <c r="V459" s="113"/>
      <c r="W459" s="117"/>
      <c r="X459" s="113"/>
      <c r="Y459" s="152"/>
    </row>
    <row r="460" spans="1:25" s="8" customFormat="1" x14ac:dyDescent="0.25">
      <c r="A460" s="9"/>
      <c r="B460" s="4"/>
      <c r="C460" s="17"/>
      <c r="D460" s="113"/>
      <c r="E460" s="113"/>
      <c r="F460" s="113"/>
      <c r="G460" s="227"/>
      <c r="H460" s="113"/>
      <c r="I460" s="113"/>
      <c r="J460" s="113"/>
      <c r="K460" s="113"/>
      <c r="L460" s="113"/>
      <c r="M460" s="113"/>
      <c r="N460" s="113"/>
      <c r="O460" s="113"/>
      <c r="P460" s="113"/>
      <c r="Q460" s="239"/>
      <c r="R460" s="239"/>
      <c r="S460" s="113"/>
      <c r="T460" s="113"/>
      <c r="U460" s="113"/>
      <c r="V460" s="113"/>
      <c r="W460" s="117"/>
      <c r="X460" s="113"/>
      <c r="Y460" s="152"/>
    </row>
    <row r="461" spans="1:25" s="8" customFormat="1" x14ac:dyDescent="0.25">
      <c r="A461" s="9"/>
      <c r="B461" s="4"/>
      <c r="C461" s="17"/>
      <c r="D461" s="113"/>
      <c r="E461" s="113"/>
      <c r="F461" s="113"/>
      <c r="G461" s="227"/>
      <c r="H461" s="113"/>
      <c r="I461" s="113"/>
      <c r="J461" s="113"/>
      <c r="K461" s="113"/>
      <c r="L461" s="113"/>
      <c r="M461" s="113"/>
      <c r="N461" s="113"/>
      <c r="O461" s="113"/>
      <c r="P461" s="113"/>
      <c r="Q461" s="239"/>
      <c r="R461" s="239"/>
      <c r="S461" s="113"/>
      <c r="T461" s="113"/>
      <c r="U461" s="113"/>
      <c r="V461" s="113"/>
      <c r="W461" s="117"/>
      <c r="X461" s="113"/>
      <c r="Y461" s="152"/>
    </row>
    <row r="462" spans="1:25" s="8" customFormat="1" x14ac:dyDescent="0.25">
      <c r="A462" s="9"/>
      <c r="B462" s="4"/>
      <c r="C462" s="17"/>
      <c r="D462" s="113"/>
      <c r="E462" s="113"/>
      <c r="F462" s="113"/>
      <c r="G462" s="227"/>
      <c r="H462" s="113"/>
      <c r="I462" s="113"/>
      <c r="J462" s="113"/>
      <c r="K462" s="113"/>
      <c r="L462" s="113"/>
      <c r="M462" s="113"/>
      <c r="N462" s="113"/>
      <c r="O462" s="113"/>
      <c r="P462" s="113"/>
      <c r="Q462" s="239"/>
      <c r="R462" s="239"/>
      <c r="S462" s="113"/>
      <c r="T462" s="113"/>
      <c r="U462" s="113"/>
      <c r="V462" s="113"/>
      <c r="W462" s="117"/>
      <c r="X462" s="113"/>
      <c r="Y462" s="152"/>
    </row>
    <row r="463" spans="1:25" s="8" customFormat="1" x14ac:dyDescent="0.25">
      <c r="A463" s="9"/>
      <c r="B463" s="4"/>
      <c r="C463" s="17"/>
      <c r="D463" s="113"/>
      <c r="E463" s="113"/>
      <c r="F463" s="113"/>
      <c r="G463" s="227"/>
      <c r="H463" s="113"/>
      <c r="I463" s="113"/>
      <c r="J463" s="113"/>
      <c r="K463" s="113"/>
      <c r="L463" s="113"/>
      <c r="M463" s="113"/>
      <c r="N463" s="113"/>
      <c r="O463" s="113"/>
      <c r="P463" s="113"/>
      <c r="Q463" s="239"/>
      <c r="R463" s="239"/>
      <c r="S463" s="113"/>
      <c r="T463" s="113"/>
      <c r="U463" s="113"/>
      <c r="V463" s="113"/>
      <c r="W463" s="117"/>
      <c r="X463" s="113"/>
      <c r="Y463" s="152"/>
    </row>
    <row r="464" spans="1:25" s="8" customFormat="1" x14ac:dyDescent="0.25">
      <c r="A464" s="9"/>
      <c r="B464" s="4"/>
      <c r="C464" s="17"/>
      <c r="D464" s="113"/>
      <c r="E464" s="113"/>
      <c r="F464" s="113"/>
      <c r="G464" s="227"/>
      <c r="H464" s="113"/>
      <c r="I464" s="113"/>
      <c r="J464" s="113"/>
      <c r="K464" s="113"/>
      <c r="L464" s="113"/>
      <c r="M464" s="113"/>
      <c r="N464" s="113"/>
      <c r="O464" s="113"/>
      <c r="P464" s="113"/>
      <c r="Q464" s="239"/>
      <c r="R464" s="239"/>
      <c r="S464" s="113"/>
      <c r="T464" s="113"/>
      <c r="U464" s="113"/>
      <c r="V464" s="113"/>
      <c r="W464" s="117"/>
      <c r="X464" s="113"/>
      <c r="Y464" s="152"/>
    </row>
    <row r="465" spans="1:25" s="8" customFormat="1" x14ac:dyDescent="0.25">
      <c r="A465" s="9"/>
      <c r="B465" s="4"/>
      <c r="C465" s="17"/>
      <c r="D465" s="113"/>
      <c r="E465" s="113"/>
      <c r="F465" s="113"/>
      <c r="G465" s="227"/>
      <c r="H465" s="113"/>
      <c r="I465" s="113"/>
      <c r="J465" s="113"/>
      <c r="K465" s="113"/>
      <c r="L465" s="113"/>
      <c r="M465" s="113"/>
      <c r="N465" s="113"/>
      <c r="O465" s="113"/>
      <c r="P465" s="113"/>
      <c r="Q465" s="239"/>
      <c r="R465" s="239"/>
      <c r="S465" s="113"/>
      <c r="T465" s="113"/>
      <c r="U465" s="113"/>
      <c r="V465" s="113"/>
      <c r="W465" s="117"/>
      <c r="X465" s="113"/>
      <c r="Y465" s="152"/>
    </row>
    <row r="466" spans="1:25" s="8" customFormat="1" x14ac:dyDescent="0.25">
      <c r="A466" s="9"/>
      <c r="B466" s="4"/>
      <c r="C466" s="17"/>
      <c r="D466" s="113"/>
      <c r="E466" s="113"/>
      <c r="F466" s="113"/>
      <c r="G466" s="227"/>
      <c r="H466" s="113"/>
      <c r="I466" s="113"/>
      <c r="J466" s="113"/>
      <c r="K466" s="113"/>
      <c r="L466" s="113"/>
      <c r="M466" s="113"/>
      <c r="N466" s="113"/>
      <c r="O466" s="113"/>
      <c r="P466" s="113"/>
      <c r="Q466" s="239"/>
      <c r="R466" s="239"/>
      <c r="S466" s="113"/>
      <c r="T466" s="113"/>
      <c r="U466" s="113"/>
      <c r="V466" s="113"/>
      <c r="W466" s="117"/>
      <c r="X466" s="113"/>
      <c r="Y466" s="152"/>
    </row>
    <row r="467" spans="1:25" s="8" customFormat="1" x14ac:dyDescent="0.25">
      <c r="A467" s="9"/>
      <c r="B467" s="4"/>
      <c r="C467" s="17"/>
      <c r="D467" s="113"/>
      <c r="E467" s="113"/>
      <c r="F467" s="113"/>
      <c r="G467" s="227"/>
      <c r="H467" s="113"/>
      <c r="I467" s="113"/>
      <c r="J467" s="113"/>
      <c r="K467" s="113"/>
      <c r="L467" s="113"/>
      <c r="M467" s="113"/>
      <c r="N467" s="113"/>
      <c r="O467" s="113"/>
      <c r="P467" s="113"/>
      <c r="Q467" s="239"/>
      <c r="R467" s="239"/>
      <c r="S467" s="113"/>
      <c r="T467" s="113"/>
      <c r="U467" s="113"/>
      <c r="V467" s="113"/>
      <c r="W467" s="117"/>
      <c r="X467" s="113"/>
      <c r="Y467" s="152"/>
    </row>
    <row r="468" spans="1:25" s="8" customFormat="1" x14ac:dyDescent="0.25">
      <c r="A468" s="9"/>
      <c r="B468" s="4"/>
      <c r="C468" s="17"/>
      <c r="D468" s="113"/>
      <c r="E468" s="113"/>
      <c r="F468" s="113"/>
      <c r="G468" s="227"/>
      <c r="H468" s="113"/>
      <c r="I468" s="113"/>
      <c r="J468" s="113"/>
      <c r="K468" s="113"/>
      <c r="L468" s="113"/>
      <c r="M468" s="113"/>
      <c r="N468" s="113"/>
      <c r="O468" s="113"/>
      <c r="P468" s="113"/>
      <c r="Q468" s="239"/>
      <c r="R468" s="239"/>
      <c r="S468" s="113"/>
      <c r="T468" s="113"/>
      <c r="U468" s="113"/>
      <c r="V468" s="113"/>
      <c r="W468" s="117"/>
      <c r="X468" s="113"/>
      <c r="Y468" s="152"/>
    </row>
    <row r="469" spans="1:25" s="8" customFormat="1" x14ac:dyDescent="0.25">
      <c r="A469" s="9"/>
      <c r="B469" s="4"/>
      <c r="C469" s="17"/>
      <c r="D469" s="113"/>
      <c r="E469" s="113"/>
      <c r="F469" s="113"/>
      <c r="G469" s="227"/>
      <c r="H469" s="113"/>
      <c r="I469" s="113"/>
      <c r="J469" s="113"/>
      <c r="K469" s="113"/>
      <c r="L469" s="113"/>
      <c r="M469" s="113"/>
      <c r="N469" s="113"/>
      <c r="O469" s="113"/>
      <c r="P469" s="113"/>
      <c r="Q469" s="239"/>
      <c r="R469" s="239"/>
      <c r="S469" s="113"/>
      <c r="T469" s="113"/>
      <c r="U469" s="113"/>
      <c r="V469" s="113"/>
      <c r="W469" s="117"/>
      <c r="X469" s="113"/>
      <c r="Y469" s="152"/>
    </row>
    <row r="470" spans="1:25" s="8" customFormat="1" x14ac:dyDescent="0.25">
      <c r="A470" s="9"/>
      <c r="B470" s="4"/>
      <c r="C470" s="17"/>
      <c r="D470" s="113"/>
      <c r="E470" s="113"/>
      <c r="F470" s="113"/>
      <c r="G470" s="227"/>
      <c r="H470" s="113"/>
      <c r="I470" s="113"/>
      <c r="J470" s="113"/>
      <c r="K470" s="113"/>
      <c r="L470" s="113"/>
      <c r="M470" s="113"/>
      <c r="N470" s="113"/>
      <c r="O470" s="113"/>
      <c r="P470" s="113"/>
      <c r="Q470" s="239"/>
      <c r="R470" s="239"/>
      <c r="S470" s="113"/>
      <c r="T470" s="113"/>
      <c r="U470" s="113"/>
      <c r="V470" s="113"/>
      <c r="W470" s="117"/>
      <c r="X470" s="113"/>
      <c r="Y470" s="152"/>
    </row>
    <row r="471" spans="1:25" s="8" customFormat="1" x14ac:dyDescent="0.25">
      <c r="A471" s="9"/>
      <c r="B471" s="4"/>
      <c r="C471" s="17"/>
      <c r="D471" s="113"/>
      <c r="E471" s="113"/>
      <c r="F471" s="113"/>
      <c r="G471" s="227"/>
      <c r="H471" s="113"/>
      <c r="I471" s="113"/>
      <c r="J471" s="113"/>
      <c r="K471" s="113"/>
      <c r="L471" s="113"/>
      <c r="M471" s="113"/>
      <c r="N471" s="113"/>
      <c r="O471" s="113"/>
      <c r="P471" s="113"/>
      <c r="Q471" s="239"/>
      <c r="R471" s="239"/>
      <c r="S471" s="113"/>
      <c r="T471" s="113"/>
      <c r="U471" s="113"/>
      <c r="V471" s="113"/>
      <c r="W471" s="117"/>
      <c r="X471" s="113"/>
      <c r="Y471" s="152"/>
    </row>
    <row r="472" spans="1:25" s="8" customFormat="1" x14ac:dyDescent="0.25">
      <c r="A472" s="9"/>
      <c r="B472" s="4"/>
      <c r="C472" s="17"/>
      <c r="D472" s="113"/>
      <c r="E472" s="113"/>
      <c r="F472" s="113"/>
      <c r="G472" s="227"/>
      <c r="H472" s="113"/>
      <c r="I472" s="113"/>
      <c r="J472" s="113"/>
      <c r="K472" s="113"/>
      <c r="L472" s="113"/>
      <c r="M472" s="113"/>
      <c r="N472" s="113"/>
      <c r="O472" s="113"/>
      <c r="P472" s="113"/>
      <c r="Q472" s="239"/>
      <c r="R472" s="239"/>
      <c r="S472" s="113"/>
      <c r="T472" s="113"/>
      <c r="U472" s="113"/>
      <c r="V472" s="113"/>
      <c r="W472" s="117"/>
      <c r="X472" s="113"/>
      <c r="Y472" s="152"/>
    </row>
    <row r="473" spans="1:25" s="8" customFormat="1" x14ac:dyDescent="0.25">
      <c r="A473" s="9"/>
      <c r="B473" s="4"/>
      <c r="C473" s="17"/>
      <c r="D473" s="113"/>
      <c r="E473" s="113"/>
      <c r="F473" s="113"/>
      <c r="G473" s="227"/>
      <c r="H473" s="113"/>
      <c r="I473" s="113"/>
      <c r="J473" s="113"/>
      <c r="K473" s="113"/>
      <c r="L473" s="113"/>
      <c r="M473" s="113"/>
      <c r="N473" s="113"/>
      <c r="O473" s="113"/>
      <c r="P473" s="113"/>
      <c r="Q473" s="239"/>
      <c r="R473" s="239"/>
      <c r="S473" s="113"/>
      <c r="T473" s="113"/>
      <c r="U473" s="113"/>
      <c r="V473" s="113"/>
      <c r="W473" s="117"/>
      <c r="X473" s="113"/>
      <c r="Y473" s="152"/>
    </row>
    <row r="474" spans="1:25" s="8" customFormat="1" x14ac:dyDescent="0.25">
      <c r="A474" s="9"/>
      <c r="B474" s="4"/>
      <c r="C474" s="17"/>
      <c r="D474" s="113"/>
      <c r="E474" s="113"/>
      <c r="F474" s="113"/>
      <c r="G474" s="227"/>
      <c r="H474" s="113"/>
      <c r="I474" s="113"/>
      <c r="J474" s="113"/>
      <c r="K474" s="113"/>
      <c r="L474" s="113"/>
      <c r="M474" s="113"/>
      <c r="N474" s="113"/>
      <c r="O474" s="113"/>
      <c r="P474" s="113"/>
      <c r="Q474" s="239"/>
      <c r="R474" s="239"/>
      <c r="S474" s="113"/>
      <c r="T474" s="113"/>
      <c r="U474" s="113"/>
      <c r="V474" s="113"/>
      <c r="W474" s="117"/>
      <c r="X474" s="113"/>
      <c r="Y474" s="152"/>
    </row>
    <row r="475" spans="1:25" s="8" customFormat="1" x14ac:dyDescent="0.25">
      <c r="A475" s="9"/>
      <c r="B475" s="4"/>
      <c r="C475" s="17"/>
      <c r="D475" s="113"/>
      <c r="E475" s="113"/>
      <c r="F475" s="113"/>
      <c r="G475" s="227"/>
      <c r="H475" s="113"/>
      <c r="I475" s="113"/>
      <c r="J475" s="113"/>
      <c r="K475" s="113"/>
      <c r="L475" s="113"/>
      <c r="M475" s="113"/>
      <c r="N475" s="113"/>
      <c r="O475" s="113"/>
      <c r="P475" s="113"/>
      <c r="Q475" s="239"/>
      <c r="R475" s="239"/>
      <c r="S475" s="113"/>
      <c r="T475" s="113"/>
      <c r="U475" s="113"/>
      <c r="V475" s="113"/>
      <c r="W475" s="117"/>
      <c r="X475" s="113"/>
      <c r="Y475" s="152"/>
    </row>
    <row r="476" spans="1:25" s="8" customFormat="1" x14ac:dyDescent="0.25">
      <c r="A476" s="9"/>
      <c r="B476" s="4"/>
      <c r="C476" s="17"/>
      <c r="D476" s="113"/>
      <c r="E476" s="113"/>
      <c r="F476" s="113"/>
      <c r="G476" s="227"/>
      <c r="H476" s="113"/>
      <c r="I476" s="113"/>
      <c r="J476" s="113"/>
      <c r="K476" s="113"/>
      <c r="L476" s="113"/>
      <c r="M476" s="113"/>
      <c r="N476" s="113"/>
      <c r="O476" s="113"/>
      <c r="P476" s="113"/>
      <c r="Q476" s="239"/>
      <c r="R476" s="239"/>
      <c r="S476" s="113"/>
      <c r="T476" s="113"/>
      <c r="U476" s="113"/>
      <c r="V476" s="113"/>
      <c r="W476" s="117"/>
      <c r="X476" s="113"/>
      <c r="Y476" s="152"/>
    </row>
    <row r="477" spans="1:25" s="8" customFormat="1" x14ac:dyDescent="0.25">
      <c r="A477" s="9"/>
      <c r="B477" s="4"/>
      <c r="C477" s="17"/>
      <c r="D477" s="113"/>
      <c r="E477" s="113"/>
      <c r="F477" s="113"/>
      <c r="G477" s="227"/>
      <c r="H477" s="113"/>
      <c r="I477" s="113"/>
      <c r="J477" s="113"/>
      <c r="K477" s="113"/>
      <c r="L477" s="113"/>
      <c r="M477" s="113"/>
      <c r="N477" s="113"/>
      <c r="O477" s="113"/>
      <c r="P477" s="113"/>
      <c r="Q477" s="239"/>
      <c r="R477" s="239"/>
      <c r="S477" s="113"/>
      <c r="T477" s="113"/>
      <c r="U477" s="113"/>
      <c r="V477" s="113"/>
      <c r="W477" s="117"/>
      <c r="X477" s="113"/>
      <c r="Y477" s="152"/>
    </row>
    <row r="478" spans="1:25" s="8" customFormat="1" x14ac:dyDescent="0.25">
      <c r="A478" s="9"/>
      <c r="B478" s="4"/>
      <c r="C478" s="17"/>
      <c r="D478" s="113"/>
      <c r="E478" s="113"/>
      <c r="F478" s="113"/>
      <c r="G478" s="227"/>
      <c r="H478" s="113"/>
      <c r="I478" s="113"/>
      <c r="J478" s="113"/>
      <c r="K478" s="113"/>
      <c r="L478" s="113"/>
      <c r="M478" s="113"/>
      <c r="N478" s="113"/>
      <c r="O478" s="113"/>
      <c r="P478" s="113"/>
      <c r="Q478" s="239"/>
      <c r="R478" s="239"/>
      <c r="S478" s="113"/>
      <c r="T478" s="113"/>
      <c r="U478" s="113"/>
      <c r="V478" s="113"/>
      <c r="W478" s="117"/>
      <c r="X478" s="113"/>
      <c r="Y478" s="152"/>
    </row>
    <row r="479" spans="1:25" s="8" customFormat="1" x14ac:dyDescent="0.25">
      <c r="A479" s="9"/>
      <c r="B479" s="4"/>
      <c r="C479" s="17"/>
      <c r="D479" s="113"/>
      <c r="E479" s="113"/>
      <c r="F479" s="113"/>
      <c r="G479" s="227"/>
      <c r="H479" s="113"/>
      <c r="I479" s="113"/>
      <c r="J479" s="113"/>
      <c r="K479" s="113"/>
      <c r="L479" s="113"/>
      <c r="M479" s="113"/>
      <c r="N479" s="113"/>
      <c r="O479" s="113"/>
      <c r="P479" s="113"/>
      <c r="Q479" s="239"/>
      <c r="R479" s="239"/>
      <c r="S479" s="113"/>
      <c r="T479" s="113"/>
      <c r="U479" s="113"/>
      <c r="V479" s="113"/>
      <c r="W479" s="117"/>
      <c r="X479" s="113"/>
      <c r="Y479" s="152"/>
    </row>
    <row r="480" spans="1:25" s="8" customFormat="1" x14ac:dyDescent="0.25">
      <c r="A480" s="9"/>
      <c r="B480" s="4"/>
      <c r="C480" s="17"/>
      <c r="D480" s="113"/>
      <c r="E480" s="113"/>
      <c r="F480" s="113"/>
      <c r="G480" s="227"/>
      <c r="H480" s="113"/>
      <c r="I480" s="113"/>
      <c r="J480" s="113"/>
      <c r="K480" s="113"/>
      <c r="L480" s="113"/>
      <c r="M480" s="113"/>
      <c r="N480" s="113"/>
      <c r="O480" s="113"/>
      <c r="P480" s="113"/>
      <c r="Q480" s="239"/>
      <c r="R480" s="239"/>
      <c r="S480" s="113"/>
      <c r="T480" s="113"/>
      <c r="U480" s="113"/>
      <c r="V480" s="113"/>
      <c r="W480" s="117"/>
      <c r="X480" s="113"/>
      <c r="Y480" s="152"/>
    </row>
    <row r="481" spans="1:25" s="8" customFormat="1" x14ac:dyDescent="0.25">
      <c r="A481" s="9"/>
      <c r="B481" s="4"/>
      <c r="C481" s="17"/>
      <c r="D481" s="113"/>
      <c r="E481" s="113"/>
      <c r="F481" s="113"/>
      <c r="G481" s="227"/>
      <c r="H481" s="113"/>
      <c r="I481" s="113"/>
      <c r="J481" s="113"/>
      <c r="K481" s="113"/>
      <c r="L481" s="113"/>
      <c r="M481" s="113"/>
      <c r="N481" s="113"/>
      <c r="O481" s="113"/>
      <c r="P481" s="113"/>
      <c r="Q481" s="239"/>
      <c r="R481" s="239"/>
      <c r="S481" s="113"/>
      <c r="T481" s="113"/>
      <c r="U481" s="113"/>
      <c r="V481" s="113"/>
      <c r="W481" s="117"/>
      <c r="X481" s="113"/>
      <c r="Y481" s="152"/>
    </row>
    <row r="482" spans="1:25" s="8" customFormat="1" x14ac:dyDescent="0.25">
      <c r="A482" s="9"/>
      <c r="B482" s="4"/>
      <c r="C482" s="17"/>
      <c r="D482" s="113"/>
      <c r="E482" s="113"/>
      <c r="F482" s="113"/>
      <c r="G482" s="227"/>
      <c r="H482" s="113"/>
      <c r="I482" s="113"/>
      <c r="J482" s="113"/>
      <c r="K482" s="113"/>
      <c r="L482" s="113"/>
      <c r="M482" s="113"/>
      <c r="N482" s="113"/>
      <c r="O482" s="113"/>
      <c r="P482" s="113"/>
      <c r="Q482" s="239"/>
      <c r="R482" s="239"/>
      <c r="S482" s="113"/>
      <c r="T482" s="113"/>
      <c r="U482" s="113"/>
      <c r="V482" s="113"/>
      <c r="W482" s="117"/>
      <c r="X482" s="113"/>
      <c r="Y482" s="152"/>
    </row>
    <row r="483" spans="1:25" s="8" customFormat="1" x14ac:dyDescent="0.25">
      <c r="A483" s="9"/>
      <c r="B483" s="4"/>
      <c r="C483" s="17"/>
      <c r="D483" s="113"/>
      <c r="E483" s="113"/>
      <c r="F483" s="113"/>
      <c r="G483" s="227"/>
      <c r="H483" s="113"/>
      <c r="I483" s="113"/>
      <c r="J483" s="113"/>
      <c r="K483" s="113"/>
      <c r="L483" s="113"/>
      <c r="M483" s="113"/>
      <c r="N483" s="113"/>
      <c r="O483" s="113"/>
      <c r="P483" s="113"/>
      <c r="Q483" s="239"/>
      <c r="R483" s="239"/>
      <c r="S483" s="113"/>
      <c r="T483" s="113"/>
      <c r="U483" s="113"/>
      <c r="V483" s="113"/>
      <c r="W483" s="117"/>
      <c r="X483" s="113"/>
      <c r="Y483" s="152"/>
    </row>
    <row r="484" spans="1:25" s="8" customFormat="1" x14ac:dyDescent="0.25">
      <c r="A484" s="9"/>
      <c r="B484" s="4"/>
      <c r="C484" s="17"/>
      <c r="D484" s="113"/>
      <c r="E484" s="113"/>
      <c r="F484" s="113"/>
      <c r="G484" s="227"/>
      <c r="H484" s="113"/>
      <c r="I484" s="113"/>
      <c r="J484" s="113"/>
      <c r="K484" s="113"/>
      <c r="L484" s="113"/>
      <c r="M484" s="113"/>
      <c r="N484" s="113"/>
      <c r="O484" s="113"/>
      <c r="P484" s="113"/>
      <c r="Q484" s="239"/>
      <c r="R484" s="239"/>
      <c r="S484" s="113"/>
      <c r="T484" s="113"/>
      <c r="U484" s="113"/>
      <c r="V484" s="113"/>
      <c r="W484" s="117"/>
      <c r="X484" s="113"/>
      <c r="Y484" s="152"/>
    </row>
    <row r="485" spans="1:25" s="8" customFormat="1" x14ac:dyDescent="0.25">
      <c r="A485" s="9"/>
      <c r="B485" s="4"/>
      <c r="C485" s="17"/>
      <c r="D485" s="113"/>
      <c r="E485" s="113"/>
      <c r="F485" s="113"/>
      <c r="G485" s="227"/>
      <c r="H485" s="113"/>
      <c r="I485" s="113"/>
      <c r="J485" s="113"/>
      <c r="K485" s="113"/>
      <c r="L485" s="113"/>
      <c r="M485" s="113"/>
      <c r="N485" s="113"/>
      <c r="O485" s="113"/>
      <c r="P485" s="113"/>
      <c r="Q485" s="239"/>
      <c r="R485" s="239"/>
      <c r="S485" s="113"/>
      <c r="T485" s="113"/>
      <c r="U485" s="113"/>
      <c r="V485" s="113"/>
      <c r="W485" s="117"/>
      <c r="X485" s="113"/>
      <c r="Y485" s="152"/>
    </row>
    <row r="486" spans="1:25" s="8" customFormat="1" x14ac:dyDescent="0.25">
      <c r="A486" s="9"/>
      <c r="B486" s="4"/>
      <c r="C486" s="17"/>
      <c r="D486" s="113"/>
      <c r="E486" s="113"/>
      <c r="F486" s="113"/>
      <c r="G486" s="227"/>
      <c r="H486" s="113"/>
      <c r="I486" s="113"/>
      <c r="J486" s="113"/>
      <c r="K486" s="113"/>
      <c r="L486" s="113"/>
      <c r="M486" s="113"/>
      <c r="N486" s="113"/>
      <c r="O486" s="113"/>
      <c r="P486" s="113"/>
      <c r="Q486" s="239"/>
      <c r="R486" s="239"/>
      <c r="S486" s="113"/>
      <c r="T486" s="113"/>
      <c r="U486" s="113"/>
      <c r="V486" s="113"/>
      <c r="W486" s="117"/>
      <c r="X486" s="113"/>
      <c r="Y486" s="152"/>
    </row>
    <row r="487" spans="1:25" s="8" customFormat="1" x14ac:dyDescent="0.25">
      <c r="A487" s="9"/>
      <c r="B487" s="4"/>
      <c r="C487" s="17"/>
      <c r="D487" s="113"/>
      <c r="E487" s="113"/>
      <c r="F487" s="113"/>
      <c r="G487" s="227"/>
      <c r="H487" s="113"/>
      <c r="I487" s="113"/>
      <c r="J487" s="113"/>
      <c r="K487" s="113"/>
      <c r="L487" s="113"/>
      <c r="M487" s="113"/>
      <c r="N487" s="113"/>
      <c r="O487" s="113"/>
      <c r="P487" s="113"/>
      <c r="Q487" s="239"/>
      <c r="R487" s="239"/>
      <c r="S487" s="113"/>
      <c r="T487" s="113"/>
      <c r="U487" s="113"/>
      <c r="V487" s="113"/>
      <c r="W487" s="117"/>
      <c r="X487" s="113"/>
      <c r="Y487" s="152"/>
    </row>
    <row r="488" spans="1:25" s="8" customFormat="1" x14ac:dyDescent="0.25">
      <c r="A488" s="9"/>
      <c r="B488" s="4"/>
      <c r="C488" s="17"/>
      <c r="D488" s="113"/>
      <c r="E488" s="113"/>
      <c r="F488" s="113"/>
      <c r="G488" s="227"/>
      <c r="H488" s="113"/>
      <c r="I488" s="113"/>
      <c r="J488" s="113"/>
      <c r="K488" s="113"/>
      <c r="L488" s="113"/>
      <c r="M488" s="113"/>
      <c r="N488" s="113"/>
      <c r="O488" s="113"/>
      <c r="P488" s="113"/>
      <c r="Q488" s="239"/>
      <c r="R488" s="239"/>
      <c r="S488" s="113"/>
      <c r="T488" s="113"/>
      <c r="U488" s="113"/>
      <c r="V488" s="113"/>
      <c r="W488" s="117"/>
      <c r="X488" s="113"/>
      <c r="Y488" s="152"/>
    </row>
    <row r="489" spans="1:25" s="8" customFormat="1" x14ac:dyDescent="0.25">
      <c r="A489" s="9"/>
      <c r="B489" s="4"/>
      <c r="C489" s="17"/>
      <c r="D489" s="113"/>
      <c r="E489" s="113"/>
      <c r="F489" s="113"/>
      <c r="G489" s="227"/>
      <c r="H489" s="113"/>
      <c r="I489" s="113"/>
      <c r="J489" s="113"/>
      <c r="K489" s="113"/>
      <c r="L489" s="113"/>
      <c r="M489" s="113"/>
      <c r="N489" s="113"/>
      <c r="O489" s="113"/>
      <c r="P489" s="113"/>
      <c r="Q489" s="239"/>
      <c r="R489" s="239"/>
      <c r="S489" s="113"/>
      <c r="T489" s="113"/>
      <c r="U489" s="113"/>
      <c r="V489" s="113"/>
      <c r="W489" s="117"/>
      <c r="X489" s="113"/>
      <c r="Y489" s="152"/>
    </row>
    <row r="490" spans="1:25" s="8" customFormat="1" x14ac:dyDescent="0.25">
      <c r="A490" s="9"/>
      <c r="B490" s="4"/>
      <c r="C490" s="17"/>
      <c r="D490" s="113"/>
      <c r="E490" s="113"/>
      <c r="F490" s="113"/>
      <c r="G490" s="227"/>
      <c r="H490" s="113"/>
      <c r="I490" s="113"/>
      <c r="J490" s="113"/>
      <c r="K490" s="113"/>
      <c r="L490" s="113"/>
      <c r="M490" s="113"/>
      <c r="N490" s="113"/>
      <c r="O490" s="113"/>
      <c r="P490" s="113"/>
      <c r="Q490" s="239"/>
      <c r="R490" s="239"/>
      <c r="S490" s="113"/>
      <c r="T490" s="113"/>
      <c r="U490" s="113"/>
      <c r="V490" s="113"/>
      <c r="W490" s="117"/>
      <c r="X490" s="113"/>
      <c r="Y490" s="152"/>
    </row>
    <row r="491" spans="1:25" s="8" customFormat="1" x14ac:dyDescent="0.25">
      <c r="A491" s="9"/>
      <c r="B491" s="4"/>
      <c r="C491" s="17"/>
      <c r="D491" s="113"/>
      <c r="E491" s="113"/>
      <c r="F491" s="113"/>
      <c r="G491" s="227"/>
      <c r="H491" s="113"/>
      <c r="I491" s="113"/>
      <c r="J491" s="113"/>
      <c r="K491" s="113"/>
      <c r="L491" s="113"/>
      <c r="M491" s="113"/>
      <c r="N491" s="113"/>
      <c r="O491" s="113"/>
      <c r="P491" s="113"/>
      <c r="Q491" s="239"/>
      <c r="R491" s="239"/>
      <c r="S491" s="113"/>
      <c r="T491" s="113"/>
      <c r="U491" s="113"/>
      <c r="V491" s="113"/>
      <c r="W491" s="117"/>
      <c r="X491" s="113"/>
      <c r="Y491" s="152"/>
    </row>
    <row r="492" spans="1:25" s="8" customFormat="1" x14ac:dyDescent="0.25">
      <c r="A492" s="9"/>
      <c r="B492" s="4"/>
      <c r="C492" s="17"/>
      <c r="D492" s="113"/>
      <c r="E492" s="113"/>
      <c r="F492" s="113"/>
      <c r="G492" s="227"/>
      <c r="H492" s="113"/>
      <c r="I492" s="113"/>
      <c r="J492" s="113"/>
      <c r="K492" s="113"/>
      <c r="L492" s="113"/>
      <c r="M492" s="113"/>
      <c r="N492" s="113"/>
      <c r="O492" s="113"/>
      <c r="P492" s="113"/>
      <c r="Q492" s="239"/>
      <c r="R492" s="239"/>
      <c r="S492" s="113"/>
      <c r="T492" s="113"/>
      <c r="U492" s="113"/>
      <c r="V492" s="113"/>
      <c r="W492" s="117"/>
      <c r="X492" s="113"/>
      <c r="Y492" s="152"/>
    </row>
    <row r="493" spans="1:25" s="8" customFormat="1" x14ac:dyDescent="0.25">
      <c r="A493" s="9"/>
      <c r="B493" s="4"/>
      <c r="C493" s="17"/>
      <c r="D493" s="113"/>
      <c r="E493" s="113"/>
      <c r="F493" s="113"/>
      <c r="G493" s="227"/>
      <c r="H493" s="113"/>
      <c r="I493" s="113"/>
      <c r="J493" s="113"/>
      <c r="K493" s="113"/>
      <c r="L493" s="113"/>
      <c r="M493" s="113"/>
      <c r="N493" s="113"/>
      <c r="O493" s="113"/>
      <c r="P493" s="113"/>
      <c r="Q493" s="239"/>
      <c r="R493" s="239"/>
      <c r="S493" s="113"/>
      <c r="T493" s="113"/>
      <c r="U493" s="113"/>
      <c r="V493" s="113"/>
      <c r="W493" s="117"/>
      <c r="X493" s="113"/>
      <c r="Y493" s="152"/>
    </row>
    <row r="494" spans="1:25" s="8" customFormat="1" x14ac:dyDescent="0.25">
      <c r="A494" s="9"/>
      <c r="B494" s="4"/>
      <c r="C494" s="17"/>
      <c r="D494" s="113"/>
      <c r="E494" s="113"/>
      <c r="F494" s="113"/>
      <c r="G494" s="227"/>
      <c r="H494" s="113"/>
      <c r="I494" s="113"/>
      <c r="J494" s="113"/>
      <c r="K494" s="113"/>
      <c r="L494" s="113"/>
      <c r="M494" s="113"/>
      <c r="N494" s="113"/>
      <c r="O494" s="113"/>
      <c r="P494" s="113"/>
      <c r="Q494" s="239"/>
      <c r="R494" s="239"/>
      <c r="S494" s="113"/>
      <c r="T494" s="113"/>
      <c r="U494" s="113"/>
      <c r="V494" s="113"/>
      <c r="W494" s="117"/>
      <c r="X494" s="113"/>
      <c r="Y494" s="152"/>
    </row>
    <row r="495" spans="1:25" s="8" customFormat="1" x14ac:dyDescent="0.25">
      <c r="A495" s="9"/>
      <c r="B495" s="4"/>
      <c r="C495" s="17"/>
      <c r="D495" s="113"/>
      <c r="E495" s="113"/>
      <c r="F495" s="113"/>
      <c r="G495" s="227"/>
      <c r="H495" s="113"/>
      <c r="I495" s="113"/>
      <c r="J495" s="113"/>
      <c r="K495" s="113"/>
      <c r="L495" s="113"/>
      <c r="M495" s="113"/>
      <c r="N495" s="113"/>
      <c r="O495" s="113"/>
      <c r="P495" s="113"/>
      <c r="Q495" s="239"/>
      <c r="R495" s="239"/>
      <c r="S495" s="113"/>
      <c r="T495" s="113"/>
      <c r="U495" s="113"/>
      <c r="V495" s="113"/>
      <c r="W495" s="117"/>
      <c r="X495" s="113"/>
      <c r="Y495" s="152"/>
    </row>
    <row r="496" spans="1:25" s="8" customFormat="1" x14ac:dyDescent="0.25">
      <c r="A496" s="9"/>
      <c r="B496" s="4"/>
      <c r="C496" s="17"/>
      <c r="D496" s="113"/>
      <c r="E496" s="113"/>
      <c r="F496" s="113"/>
      <c r="G496" s="227"/>
      <c r="H496" s="113"/>
      <c r="I496" s="113"/>
      <c r="J496" s="113"/>
      <c r="K496" s="113"/>
      <c r="L496" s="113"/>
      <c r="M496" s="113"/>
      <c r="N496" s="113"/>
      <c r="O496" s="113"/>
      <c r="P496" s="113"/>
      <c r="Q496" s="239"/>
      <c r="R496" s="239"/>
      <c r="S496" s="113"/>
      <c r="T496" s="113"/>
      <c r="U496" s="113"/>
      <c r="V496" s="113"/>
      <c r="W496" s="117"/>
      <c r="X496" s="113"/>
      <c r="Y496" s="152"/>
    </row>
    <row r="497" spans="1:25" s="8" customFormat="1" x14ac:dyDescent="0.25">
      <c r="A497" s="9"/>
      <c r="B497" s="4"/>
      <c r="C497" s="17"/>
      <c r="D497" s="113"/>
      <c r="E497" s="113"/>
      <c r="F497" s="113"/>
      <c r="G497" s="227"/>
      <c r="H497" s="113"/>
      <c r="I497" s="113"/>
      <c r="J497" s="113"/>
      <c r="K497" s="113"/>
      <c r="L497" s="113"/>
      <c r="M497" s="113"/>
      <c r="N497" s="113"/>
      <c r="O497" s="113"/>
      <c r="P497" s="113"/>
      <c r="Q497" s="239"/>
      <c r="R497" s="239"/>
      <c r="S497" s="113"/>
      <c r="T497" s="113"/>
      <c r="U497" s="113"/>
      <c r="V497" s="113"/>
      <c r="W497" s="117"/>
      <c r="X497" s="113"/>
      <c r="Y497" s="152"/>
    </row>
    <row r="498" spans="1:25" s="8" customFormat="1" x14ac:dyDescent="0.25">
      <c r="A498" s="9"/>
      <c r="B498" s="4"/>
      <c r="C498" s="17"/>
      <c r="D498" s="113"/>
      <c r="E498" s="113"/>
      <c r="F498" s="113"/>
      <c r="G498" s="227"/>
      <c r="H498" s="113"/>
      <c r="I498" s="113"/>
      <c r="J498" s="113"/>
      <c r="K498" s="113"/>
      <c r="L498" s="113"/>
      <c r="M498" s="113"/>
      <c r="N498" s="113"/>
      <c r="O498" s="113"/>
      <c r="P498" s="113"/>
      <c r="Q498" s="239"/>
      <c r="R498" s="239"/>
      <c r="S498" s="113"/>
      <c r="T498" s="113"/>
      <c r="U498" s="113"/>
      <c r="V498" s="113"/>
      <c r="W498" s="117"/>
      <c r="X498" s="113"/>
      <c r="Y498" s="152"/>
    </row>
    <row r="499" spans="1:25" s="8" customFormat="1" x14ac:dyDescent="0.25">
      <c r="A499" s="9"/>
      <c r="B499" s="4"/>
      <c r="C499" s="17"/>
      <c r="D499" s="113"/>
      <c r="E499" s="113"/>
      <c r="F499" s="113"/>
      <c r="G499" s="227"/>
      <c r="H499" s="113"/>
      <c r="I499" s="113"/>
      <c r="J499" s="113"/>
      <c r="K499" s="113"/>
      <c r="L499" s="113"/>
      <c r="M499" s="113"/>
      <c r="N499" s="113"/>
      <c r="O499" s="113"/>
      <c r="P499" s="113"/>
      <c r="Q499" s="239"/>
      <c r="R499" s="239"/>
      <c r="S499" s="113"/>
      <c r="T499" s="113"/>
      <c r="U499" s="113"/>
      <c r="V499" s="113"/>
      <c r="W499" s="117"/>
      <c r="X499" s="113"/>
      <c r="Y499" s="152"/>
    </row>
    <row r="500" spans="1:25" s="8" customFormat="1" x14ac:dyDescent="0.25">
      <c r="A500" s="9"/>
      <c r="B500" s="4"/>
      <c r="C500" s="17"/>
      <c r="D500" s="113"/>
      <c r="E500" s="113"/>
      <c r="F500" s="113"/>
      <c r="G500" s="227"/>
      <c r="H500" s="113"/>
      <c r="I500" s="113"/>
      <c r="J500" s="113"/>
      <c r="K500" s="113"/>
      <c r="L500" s="113"/>
      <c r="M500" s="113"/>
      <c r="N500" s="113"/>
      <c r="O500" s="113"/>
      <c r="P500" s="113"/>
      <c r="Q500" s="239"/>
      <c r="R500" s="239"/>
      <c r="S500" s="113"/>
      <c r="T500" s="113"/>
      <c r="U500" s="113"/>
      <c r="V500" s="113"/>
      <c r="W500" s="117"/>
      <c r="X500" s="113"/>
      <c r="Y500" s="152"/>
    </row>
    <row r="501" spans="1:25" s="8" customFormat="1" x14ac:dyDescent="0.25">
      <c r="A501" s="9"/>
      <c r="B501" s="4"/>
      <c r="C501" s="17"/>
      <c r="D501" s="113"/>
      <c r="E501" s="113"/>
      <c r="F501" s="113"/>
      <c r="G501" s="227"/>
      <c r="H501" s="113"/>
      <c r="I501" s="113"/>
      <c r="J501" s="113"/>
      <c r="K501" s="113"/>
      <c r="L501" s="113"/>
      <c r="M501" s="113"/>
      <c r="N501" s="113"/>
      <c r="O501" s="113"/>
      <c r="P501" s="113"/>
      <c r="Q501" s="239"/>
      <c r="R501" s="239"/>
      <c r="S501" s="113"/>
      <c r="T501" s="113"/>
      <c r="U501" s="113"/>
      <c r="V501" s="113"/>
      <c r="W501" s="117"/>
      <c r="X501" s="113"/>
      <c r="Y501" s="152"/>
    </row>
    <row r="502" spans="1:25" s="8" customFormat="1" x14ac:dyDescent="0.25">
      <c r="A502" s="9"/>
      <c r="B502" s="4"/>
      <c r="C502" s="17"/>
      <c r="D502" s="113"/>
      <c r="E502" s="113"/>
      <c r="F502" s="113"/>
      <c r="G502" s="227"/>
      <c r="H502" s="113"/>
      <c r="I502" s="113"/>
      <c r="J502" s="113"/>
      <c r="K502" s="113"/>
      <c r="L502" s="113"/>
      <c r="M502" s="113"/>
      <c r="N502" s="113"/>
      <c r="O502" s="113"/>
      <c r="P502" s="113"/>
      <c r="Q502" s="239"/>
      <c r="R502" s="239"/>
      <c r="S502" s="113"/>
      <c r="T502" s="113"/>
      <c r="U502" s="113"/>
      <c r="V502" s="113"/>
      <c r="W502" s="117"/>
      <c r="X502" s="113"/>
      <c r="Y502" s="152"/>
    </row>
    <row r="503" spans="1:25" s="8" customFormat="1" x14ac:dyDescent="0.25">
      <c r="A503" s="9"/>
      <c r="B503" s="4"/>
      <c r="C503" s="17"/>
      <c r="D503" s="113"/>
      <c r="E503" s="113"/>
      <c r="F503" s="113"/>
      <c r="G503" s="227"/>
      <c r="H503" s="113"/>
      <c r="I503" s="113"/>
      <c r="J503" s="113"/>
      <c r="K503" s="113"/>
      <c r="L503" s="113"/>
      <c r="M503" s="113"/>
      <c r="N503" s="113"/>
      <c r="O503" s="113"/>
      <c r="P503" s="113"/>
      <c r="Q503" s="239"/>
      <c r="R503" s="239"/>
      <c r="S503" s="113"/>
      <c r="T503" s="113"/>
      <c r="U503" s="113"/>
      <c r="V503" s="113"/>
      <c r="W503" s="117"/>
      <c r="X503" s="113"/>
      <c r="Y503" s="152"/>
    </row>
    <row r="504" spans="1:25" s="8" customFormat="1" x14ac:dyDescent="0.25">
      <c r="A504" s="9"/>
      <c r="B504" s="4"/>
      <c r="C504" s="17"/>
      <c r="D504" s="113"/>
      <c r="E504" s="113"/>
      <c r="F504" s="113"/>
      <c r="G504" s="227"/>
      <c r="H504" s="113"/>
      <c r="I504" s="113"/>
      <c r="J504" s="113"/>
      <c r="K504" s="113"/>
      <c r="L504" s="113"/>
      <c r="M504" s="113"/>
      <c r="N504" s="113"/>
      <c r="O504" s="113"/>
      <c r="P504" s="113"/>
      <c r="Q504" s="239"/>
      <c r="R504" s="239"/>
      <c r="S504" s="113"/>
      <c r="T504" s="113"/>
      <c r="U504" s="113"/>
      <c r="V504" s="113"/>
      <c r="W504" s="117"/>
      <c r="X504" s="113"/>
      <c r="Y504" s="152"/>
    </row>
    <row r="505" spans="1:25" s="8" customFormat="1" x14ac:dyDescent="0.25">
      <c r="A505" s="9"/>
      <c r="B505" s="4"/>
      <c r="C505" s="17"/>
      <c r="D505" s="113"/>
      <c r="E505" s="113"/>
      <c r="F505" s="113"/>
      <c r="G505" s="227"/>
      <c r="H505" s="113"/>
      <c r="I505" s="113"/>
      <c r="J505" s="113"/>
      <c r="K505" s="113"/>
      <c r="L505" s="113"/>
      <c r="M505" s="113"/>
      <c r="N505" s="113"/>
      <c r="O505" s="113"/>
      <c r="P505" s="113"/>
      <c r="Q505" s="239"/>
      <c r="R505" s="239"/>
      <c r="S505" s="113"/>
      <c r="T505" s="113"/>
      <c r="U505" s="113"/>
      <c r="V505" s="113"/>
      <c r="W505" s="117"/>
      <c r="X505" s="113"/>
      <c r="Y505" s="152"/>
    </row>
    <row r="506" spans="1:25" s="8" customFormat="1" x14ac:dyDescent="0.25">
      <c r="A506" s="9"/>
      <c r="B506" s="4"/>
      <c r="C506" s="17"/>
      <c r="D506" s="113"/>
      <c r="E506" s="113"/>
      <c r="F506" s="113"/>
      <c r="G506" s="227"/>
      <c r="H506" s="113"/>
      <c r="I506" s="113"/>
      <c r="J506" s="113"/>
      <c r="K506" s="113"/>
      <c r="L506" s="113"/>
      <c r="M506" s="113"/>
      <c r="N506" s="113"/>
      <c r="O506" s="113"/>
      <c r="P506" s="113"/>
      <c r="Q506" s="239"/>
      <c r="R506" s="239"/>
      <c r="S506" s="113"/>
      <c r="T506" s="113"/>
      <c r="U506" s="113"/>
      <c r="V506" s="113"/>
      <c r="W506" s="117"/>
      <c r="X506" s="113"/>
      <c r="Y506" s="152"/>
    </row>
    <row r="507" spans="1:25" s="8" customFormat="1" x14ac:dyDescent="0.25">
      <c r="A507" s="9"/>
      <c r="B507" s="4"/>
      <c r="C507" s="17"/>
      <c r="D507" s="113"/>
      <c r="E507" s="113"/>
      <c r="F507" s="113"/>
      <c r="G507" s="227"/>
      <c r="H507" s="113"/>
      <c r="I507" s="113"/>
      <c r="J507" s="113"/>
      <c r="K507" s="113"/>
      <c r="L507" s="113"/>
      <c r="M507" s="113"/>
      <c r="N507" s="113"/>
      <c r="O507" s="113"/>
      <c r="P507" s="113"/>
      <c r="Q507" s="239"/>
      <c r="R507" s="239"/>
      <c r="S507" s="113"/>
      <c r="T507" s="113"/>
      <c r="U507" s="113"/>
      <c r="V507" s="113"/>
      <c r="W507" s="117"/>
      <c r="X507" s="113"/>
      <c r="Y507" s="152"/>
    </row>
    <row r="508" spans="1:25" s="8" customFormat="1" x14ac:dyDescent="0.25">
      <c r="A508" s="9"/>
      <c r="B508" s="4"/>
      <c r="C508" s="17"/>
      <c r="D508" s="113"/>
      <c r="E508" s="113"/>
      <c r="F508" s="113"/>
      <c r="G508" s="227"/>
      <c r="H508" s="113"/>
      <c r="I508" s="113"/>
      <c r="J508" s="113"/>
      <c r="K508" s="113"/>
      <c r="L508" s="113"/>
      <c r="M508" s="113"/>
      <c r="N508" s="113"/>
      <c r="O508" s="113"/>
      <c r="P508" s="113"/>
      <c r="Q508" s="239"/>
      <c r="R508" s="239"/>
      <c r="S508" s="113"/>
      <c r="T508" s="113"/>
      <c r="U508" s="113"/>
      <c r="V508" s="113"/>
      <c r="W508" s="117"/>
      <c r="X508" s="113"/>
      <c r="Y508" s="152"/>
    </row>
    <row r="509" spans="1:25" s="8" customFormat="1" x14ac:dyDescent="0.25">
      <c r="A509" s="9"/>
      <c r="B509" s="4"/>
      <c r="C509" s="17"/>
      <c r="D509" s="113"/>
      <c r="E509" s="113"/>
      <c r="F509" s="113"/>
      <c r="G509" s="227"/>
      <c r="H509" s="113"/>
      <c r="I509" s="113"/>
      <c r="J509" s="113"/>
      <c r="K509" s="113"/>
      <c r="L509" s="113"/>
      <c r="M509" s="113"/>
      <c r="N509" s="113"/>
      <c r="O509" s="113"/>
      <c r="P509" s="113"/>
      <c r="Q509" s="239"/>
      <c r="R509" s="239"/>
      <c r="S509" s="113"/>
      <c r="T509" s="113"/>
      <c r="U509" s="113"/>
      <c r="V509" s="113"/>
      <c r="W509" s="117"/>
      <c r="X509" s="113"/>
      <c r="Y509" s="152"/>
    </row>
    <row r="510" spans="1:25" s="8" customFormat="1" x14ac:dyDescent="0.25">
      <c r="A510" s="9"/>
      <c r="B510" s="4"/>
      <c r="C510" s="17"/>
      <c r="D510" s="113"/>
      <c r="E510" s="113"/>
      <c r="F510" s="113"/>
      <c r="G510" s="227"/>
      <c r="H510" s="113"/>
      <c r="I510" s="113"/>
      <c r="J510" s="113"/>
      <c r="K510" s="113"/>
      <c r="L510" s="113"/>
      <c r="M510" s="113"/>
      <c r="N510" s="113"/>
      <c r="O510" s="113"/>
      <c r="P510" s="113"/>
      <c r="Q510" s="239"/>
      <c r="R510" s="239"/>
      <c r="S510" s="113"/>
      <c r="T510" s="113"/>
      <c r="U510" s="113"/>
      <c r="V510" s="113"/>
      <c r="W510" s="117"/>
      <c r="X510" s="113"/>
      <c r="Y510" s="152"/>
    </row>
    <row r="511" spans="1:25" s="8" customFormat="1" x14ac:dyDescent="0.25">
      <c r="A511" s="9"/>
      <c r="B511" s="4"/>
      <c r="C511" s="17"/>
      <c r="D511" s="113"/>
      <c r="E511" s="113"/>
      <c r="F511" s="113"/>
      <c r="G511" s="227"/>
      <c r="H511" s="113"/>
      <c r="I511" s="113"/>
      <c r="J511" s="113"/>
      <c r="K511" s="113"/>
      <c r="L511" s="113"/>
      <c r="M511" s="113"/>
      <c r="N511" s="113"/>
      <c r="O511" s="113"/>
      <c r="P511" s="113"/>
      <c r="Q511" s="239"/>
      <c r="R511" s="239"/>
      <c r="S511" s="113"/>
      <c r="T511" s="113"/>
      <c r="U511" s="113"/>
      <c r="V511" s="113"/>
      <c r="W511" s="117"/>
      <c r="X511" s="113"/>
      <c r="Y511" s="152"/>
    </row>
    <row r="512" spans="1:25" s="8" customFormat="1" x14ac:dyDescent="0.25">
      <c r="A512" s="9"/>
      <c r="B512" s="4"/>
      <c r="C512" s="17"/>
      <c r="D512" s="113"/>
      <c r="E512" s="113"/>
      <c r="F512" s="113"/>
      <c r="G512" s="227"/>
      <c r="H512" s="113"/>
      <c r="I512" s="113"/>
      <c r="J512" s="113"/>
      <c r="K512" s="113"/>
      <c r="L512" s="113"/>
      <c r="M512" s="113"/>
      <c r="N512" s="113"/>
      <c r="O512" s="113"/>
      <c r="P512" s="113"/>
      <c r="Q512" s="239"/>
      <c r="R512" s="239"/>
      <c r="S512" s="113"/>
      <c r="T512" s="113"/>
      <c r="U512" s="113"/>
      <c r="V512" s="113"/>
      <c r="W512" s="117"/>
      <c r="X512" s="113"/>
      <c r="Y512" s="152"/>
    </row>
    <row r="513" spans="1:25" s="8" customFormat="1" x14ac:dyDescent="0.25">
      <c r="A513" s="9"/>
      <c r="B513" s="4"/>
      <c r="C513" s="17"/>
      <c r="D513" s="113"/>
      <c r="E513" s="113"/>
      <c r="F513" s="113"/>
      <c r="G513" s="227"/>
      <c r="H513" s="113"/>
      <c r="I513" s="113"/>
      <c r="J513" s="113"/>
      <c r="K513" s="113"/>
      <c r="L513" s="113"/>
      <c r="M513" s="113"/>
      <c r="N513" s="113"/>
      <c r="O513" s="113"/>
      <c r="P513" s="113"/>
      <c r="Q513" s="239"/>
      <c r="R513" s="239"/>
      <c r="S513" s="113"/>
      <c r="T513" s="113"/>
      <c r="U513" s="113"/>
      <c r="V513" s="113"/>
      <c r="W513" s="117"/>
      <c r="X513" s="113"/>
      <c r="Y513" s="152"/>
    </row>
    <row r="514" spans="1:25" s="8" customFormat="1" x14ac:dyDescent="0.25">
      <c r="A514" s="9"/>
      <c r="B514" s="4"/>
      <c r="C514" s="17"/>
      <c r="D514" s="113"/>
      <c r="E514" s="113"/>
      <c r="F514" s="113"/>
      <c r="G514" s="227"/>
      <c r="H514" s="113"/>
      <c r="I514" s="113"/>
      <c r="J514" s="113"/>
      <c r="K514" s="113"/>
      <c r="L514" s="113"/>
      <c r="M514" s="113"/>
      <c r="N514" s="113"/>
      <c r="O514" s="113"/>
      <c r="P514" s="113"/>
      <c r="Q514" s="239"/>
      <c r="R514" s="239"/>
      <c r="S514" s="113"/>
      <c r="T514" s="113"/>
      <c r="U514" s="113"/>
      <c r="V514" s="113"/>
      <c r="W514" s="117"/>
      <c r="X514" s="113"/>
      <c r="Y514" s="152"/>
    </row>
    <row r="515" spans="1:25" s="8" customFormat="1" x14ac:dyDescent="0.25">
      <c r="A515" s="9"/>
      <c r="B515" s="4"/>
      <c r="C515" s="17"/>
      <c r="D515" s="113"/>
      <c r="E515" s="113"/>
      <c r="F515" s="113"/>
      <c r="G515" s="227"/>
      <c r="H515" s="113"/>
      <c r="I515" s="113"/>
      <c r="J515" s="113"/>
      <c r="K515" s="113"/>
      <c r="L515" s="113"/>
      <c r="M515" s="113"/>
      <c r="N515" s="113"/>
      <c r="O515" s="113"/>
      <c r="P515" s="113"/>
      <c r="Q515" s="239"/>
      <c r="R515" s="239"/>
      <c r="S515" s="113"/>
      <c r="T515" s="113"/>
      <c r="U515" s="113"/>
      <c r="V515" s="113"/>
      <c r="W515" s="117"/>
      <c r="X515" s="113"/>
      <c r="Y515" s="152"/>
    </row>
    <row r="516" spans="1:25" s="8" customFormat="1" x14ac:dyDescent="0.25">
      <c r="A516" s="9"/>
      <c r="B516" s="4"/>
      <c r="C516" s="17"/>
      <c r="D516" s="113"/>
      <c r="E516" s="113"/>
      <c r="F516" s="113"/>
      <c r="G516" s="227"/>
      <c r="H516" s="113"/>
      <c r="I516" s="113"/>
      <c r="J516" s="113"/>
      <c r="K516" s="113"/>
      <c r="L516" s="113"/>
      <c r="M516" s="113"/>
      <c r="N516" s="113"/>
      <c r="O516" s="113"/>
      <c r="P516" s="113"/>
      <c r="Q516" s="239"/>
      <c r="R516" s="239"/>
      <c r="S516" s="113"/>
      <c r="T516" s="113"/>
      <c r="U516" s="113"/>
      <c r="V516" s="113"/>
      <c r="W516" s="117"/>
      <c r="X516" s="113"/>
      <c r="Y516" s="152"/>
    </row>
    <row r="517" spans="1:25" s="8" customFormat="1" x14ac:dyDescent="0.25">
      <c r="A517" s="9"/>
      <c r="B517" s="4"/>
      <c r="C517" s="17"/>
      <c r="D517" s="113"/>
      <c r="E517" s="113"/>
      <c r="F517" s="113"/>
      <c r="G517" s="227"/>
      <c r="H517" s="113"/>
      <c r="I517" s="113"/>
      <c r="J517" s="113"/>
      <c r="K517" s="113"/>
      <c r="L517" s="113"/>
      <c r="M517" s="113"/>
      <c r="N517" s="113"/>
      <c r="O517" s="113"/>
      <c r="P517" s="113"/>
      <c r="Q517" s="239"/>
      <c r="R517" s="239"/>
      <c r="S517" s="113"/>
      <c r="T517" s="113"/>
      <c r="U517" s="113"/>
      <c r="V517" s="113"/>
      <c r="W517" s="117"/>
      <c r="X517" s="113"/>
      <c r="Y517" s="152"/>
    </row>
    <row r="518" spans="1:25" s="8" customFormat="1" x14ac:dyDescent="0.25">
      <c r="A518" s="9"/>
      <c r="B518" s="4"/>
      <c r="C518" s="17"/>
      <c r="D518" s="113"/>
      <c r="E518" s="113"/>
      <c r="F518" s="113"/>
      <c r="G518" s="227"/>
      <c r="H518" s="113"/>
      <c r="I518" s="113"/>
      <c r="J518" s="113"/>
      <c r="K518" s="113"/>
      <c r="L518" s="113"/>
      <c r="M518" s="113"/>
      <c r="N518" s="113"/>
      <c r="O518" s="113"/>
      <c r="P518" s="113"/>
      <c r="Q518" s="239"/>
      <c r="R518" s="239"/>
      <c r="S518" s="113"/>
      <c r="T518" s="113"/>
      <c r="U518" s="113"/>
      <c r="V518" s="113"/>
      <c r="W518" s="117"/>
      <c r="X518" s="113"/>
      <c r="Y518" s="152"/>
    </row>
    <row r="519" spans="1:25" s="8" customFormat="1" x14ac:dyDescent="0.25">
      <c r="A519" s="9"/>
      <c r="B519" s="4"/>
      <c r="C519" s="17"/>
      <c r="D519" s="113"/>
      <c r="E519" s="113"/>
      <c r="F519" s="113"/>
      <c r="G519" s="227"/>
      <c r="H519" s="113"/>
      <c r="I519" s="113"/>
      <c r="J519" s="113"/>
      <c r="K519" s="113"/>
      <c r="L519" s="113"/>
      <c r="M519" s="113"/>
      <c r="N519" s="113"/>
      <c r="O519" s="113"/>
      <c r="P519" s="113"/>
      <c r="Q519" s="239"/>
      <c r="R519" s="239"/>
      <c r="S519" s="113"/>
      <c r="T519" s="113"/>
      <c r="U519" s="113"/>
      <c r="V519" s="113"/>
      <c r="W519" s="117"/>
      <c r="X519" s="113"/>
      <c r="Y519" s="152"/>
    </row>
    <row r="520" spans="1:25" s="8" customFormat="1" x14ac:dyDescent="0.25">
      <c r="A520" s="9"/>
      <c r="B520" s="4"/>
      <c r="C520" s="17"/>
      <c r="D520" s="113"/>
      <c r="E520" s="113"/>
      <c r="F520" s="113"/>
      <c r="G520" s="227"/>
      <c r="H520" s="113"/>
      <c r="I520" s="113"/>
      <c r="J520" s="113"/>
      <c r="K520" s="113"/>
      <c r="L520" s="113"/>
      <c r="M520" s="113"/>
      <c r="N520" s="113"/>
      <c r="O520" s="113"/>
      <c r="P520" s="113"/>
      <c r="Q520" s="239"/>
      <c r="R520" s="239"/>
      <c r="S520" s="113"/>
      <c r="T520" s="113"/>
      <c r="U520" s="113"/>
      <c r="V520" s="113"/>
      <c r="W520" s="117"/>
      <c r="X520" s="113"/>
      <c r="Y520" s="152"/>
    </row>
    <row r="521" spans="1:25" s="8" customFormat="1" x14ac:dyDescent="0.25">
      <c r="A521" s="9"/>
      <c r="B521" s="4"/>
      <c r="C521" s="17"/>
      <c r="D521" s="113"/>
      <c r="E521" s="113"/>
      <c r="F521" s="113"/>
      <c r="G521" s="227"/>
      <c r="H521" s="113"/>
      <c r="I521" s="113"/>
      <c r="J521" s="113"/>
      <c r="K521" s="113"/>
      <c r="L521" s="113"/>
      <c r="M521" s="113"/>
      <c r="N521" s="113"/>
      <c r="O521" s="113"/>
      <c r="P521" s="113"/>
      <c r="Q521" s="239"/>
      <c r="R521" s="239"/>
      <c r="S521" s="113"/>
      <c r="T521" s="113"/>
      <c r="U521" s="113"/>
      <c r="V521" s="113"/>
      <c r="W521" s="117"/>
      <c r="X521" s="113"/>
      <c r="Y521" s="152"/>
    </row>
    <row r="522" spans="1:25" s="8" customFormat="1" x14ac:dyDescent="0.25">
      <c r="A522" s="9"/>
      <c r="B522" s="4"/>
      <c r="C522" s="17"/>
      <c r="D522" s="113"/>
      <c r="E522" s="113"/>
      <c r="F522" s="113"/>
      <c r="G522" s="227"/>
      <c r="H522" s="113"/>
      <c r="I522" s="113"/>
      <c r="J522" s="113"/>
      <c r="K522" s="113"/>
      <c r="L522" s="113"/>
      <c r="M522" s="113"/>
      <c r="N522" s="113"/>
      <c r="O522" s="113"/>
      <c r="P522" s="113"/>
      <c r="Q522" s="239"/>
      <c r="R522" s="239"/>
      <c r="S522" s="113"/>
      <c r="T522" s="113"/>
      <c r="U522" s="113"/>
      <c r="V522" s="113"/>
      <c r="W522" s="117"/>
      <c r="X522" s="113"/>
      <c r="Y522" s="152"/>
    </row>
    <row r="523" spans="1:25" s="8" customFormat="1" x14ac:dyDescent="0.25">
      <c r="A523" s="9"/>
      <c r="B523" s="4"/>
      <c r="C523" s="17"/>
      <c r="D523" s="113"/>
      <c r="E523" s="113"/>
      <c r="F523" s="113"/>
      <c r="G523" s="227"/>
      <c r="H523" s="113"/>
      <c r="I523" s="113"/>
      <c r="J523" s="113"/>
      <c r="K523" s="113"/>
      <c r="L523" s="113"/>
      <c r="M523" s="113"/>
      <c r="N523" s="113"/>
      <c r="O523" s="113"/>
      <c r="P523" s="113"/>
      <c r="Q523" s="239"/>
      <c r="R523" s="239"/>
      <c r="S523" s="113"/>
      <c r="T523" s="113"/>
      <c r="U523" s="113"/>
      <c r="V523" s="113"/>
      <c r="W523" s="117"/>
      <c r="X523" s="113"/>
      <c r="Y523" s="152"/>
    </row>
    <row r="524" spans="1:25" s="8" customFormat="1" x14ac:dyDescent="0.25">
      <c r="A524" s="9"/>
      <c r="B524" s="4"/>
      <c r="C524" s="17"/>
      <c r="D524" s="113"/>
      <c r="E524" s="113"/>
      <c r="F524" s="113"/>
      <c r="G524" s="227"/>
      <c r="H524" s="113"/>
      <c r="I524" s="113"/>
      <c r="J524" s="113"/>
      <c r="K524" s="113"/>
      <c r="L524" s="113"/>
      <c r="M524" s="113"/>
      <c r="N524" s="113"/>
      <c r="O524" s="113"/>
      <c r="P524" s="113"/>
      <c r="Q524" s="239"/>
      <c r="R524" s="239"/>
      <c r="S524" s="113"/>
      <c r="T524" s="113"/>
      <c r="U524" s="113"/>
      <c r="V524" s="113"/>
      <c r="W524" s="117"/>
      <c r="X524" s="113"/>
      <c r="Y524" s="152"/>
    </row>
    <row r="525" spans="1:25" s="8" customFormat="1" x14ac:dyDescent="0.25">
      <c r="A525" s="9"/>
      <c r="B525" s="4"/>
      <c r="C525" s="17"/>
      <c r="D525" s="113"/>
      <c r="E525" s="113"/>
      <c r="F525" s="113"/>
      <c r="G525" s="227"/>
      <c r="H525" s="113"/>
      <c r="I525" s="113"/>
      <c r="J525" s="113"/>
      <c r="K525" s="113"/>
      <c r="L525" s="113"/>
      <c r="M525" s="113"/>
      <c r="N525" s="113"/>
      <c r="O525" s="113"/>
      <c r="P525" s="113"/>
      <c r="Q525" s="239"/>
      <c r="R525" s="239"/>
      <c r="S525" s="113"/>
      <c r="T525" s="113"/>
      <c r="U525" s="113"/>
      <c r="V525" s="113"/>
      <c r="W525" s="117"/>
      <c r="X525" s="113"/>
      <c r="Y525" s="152"/>
    </row>
    <row r="526" spans="1:25" s="8" customFormat="1" x14ac:dyDescent="0.25">
      <c r="A526" s="9"/>
      <c r="B526" s="4"/>
      <c r="C526" s="17"/>
      <c r="D526" s="113"/>
      <c r="E526" s="113"/>
      <c r="F526" s="113"/>
      <c r="G526" s="227"/>
      <c r="H526" s="113"/>
      <c r="I526" s="113"/>
      <c r="J526" s="113"/>
      <c r="K526" s="113"/>
      <c r="L526" s="113"/>
      <c r="M526" s="113"/>
      <c r="N526" s="113"/>
      <c r="O526" s="113"/>
      <c r="P526" s="113"/>
      <c r="Q526" s="239"/>
      <c r="R526" s="239"/>
      <c r="S526" s="113"/>
      <c r="T526" s="113"/>
      <c r="U526" s="113"/>
      <c r="V526" s="113"/>
      <c r="W526" s="117"/>
      <c r="X526" s="113"/>
      <c r="Y526" s="152"/>
    </row>
    <row r="527" spans="1:25" s="8" customFormat="1" x14ac:dyDescent="0.25">
      <c r="A527" s="9"/>
      <c r="B527" s="4"/>
      <c r="C527" s="17"/>
      <c r="D527" s="113"/>
      <c r="E527" s="113"/>
      <c r="F527" s="113"/>
      <c r="G527" s="227"/>
      <c r="H527" s="113"/>
      <c r="I527" s="113"/>
      <c r="J527" s="113"/>
      <c r="K527" s="113"/>
      <c r="L527" s="113"/>
      <c r="M527" s="113"/>
      <c r="N527" s="113"/>
      <c r="O527" s="113"/>
      <c r="P527" s="113"/>
      <c r="Q527" s="239"/>
      <c r="R527" s="239"/>
      <c r="S527" s="113"/>
      <c r="T527" s="113"/>
      <c r="U527" s="113"/>
      <c r="V527" s="113"/>
      <c r="W527" s="117"/>
      <c r="X527" s="113"/>
      <c r="Y527" s="152"/>
    </row>
    <row r="528" spans="1:25" s="8" customFormat="1" x14ac:dyDescent="0.25">
      <c r="A528" s="9"/>
      <c r="B528" s="4"/>
      <c r="C528" s="17"/>
      <c r="D528" s="113"/>
      <c r="E528" s="113"/>
      <c r="F528" s="113"/>
      <c r="G528" s="227"/>
      <c r="H528" s="113"/>
      <c r="I528" s="113"/>
      <c r="J528" s="113"/>
      <c r="K528" s="113"/>
      <c r="L528" s="113"/>
      <c r="M528" s="113"/>
      <c r="N528" s="113"/>
      <c r="O528" s="113"/>
      <c r="P528" s="113"/>
      <c r="Q528" s="239"/>
      <c r="R528" s="239"/>
      <c r="S528" s="113"/>
      <c r="T528" s="113"/>
      <c r="U528" s="113"/>
      <c r="V528" s="113"/>
      <c r="W528" s="117"/>
      <c r="X528" s="113"/>
      <c r="Y528" s="152"/>
    </row>
    <row r="529" spans="1:25" s="8" customFormat="1" x14ac:dyDescent="0.25">
      <c r="A529" s="9"/>
      <c r="B529" s="4"/>
      <c r="C529" s="17"/>
      <c r="D529" s="113"/>
      <c r="E529" s="113"/>
      <c r="F529" s="113"/>
      <c r="G529" s="227"/>
      <c r="H529" s="113"/>
      <c r="I529" s="113"/>
      <c r="J529" s="113"/>
      <c r="K529" s="113"/>
      <c r="L529" s="113"/>
      <c r="M529" s="113"/>
      <c r="N529" s="113"/>
      <c r="O529" s="113"/>
      <c r="P529" s="113"/>
      <c r="Q529" s="239"/>
      <c r="R529" s="239"/>
      <c r="S529" s="113"/>
      <c r="T529" s="113"/>
      <c r="U529" s="113"/>
      <c r="V529" s="113"/>
      <c r="W529" s="117"/>
      <c r="X529" s="113"/>
      <c r="Y529" s="152"/>
    </row>
    <row r="530" spans="1:25" s="8" customFormat="1" x14ac:dyDescent="0.25">
      <c r="A530" s="9"/>
      <c r="B530" s="4"/>
      <c r="C530" s="17"/>
      <c r="D530" s="113"/>
      <c r="E530" s="113"/>
      <c r="F530" s="113"/>
      <c r="G530" s="227"/>
      <c r="H530" s="113"/>
      <c r="I530" s="113"/>
      <c r="J530" s="113"/>
      <c r="K530" s="113"/>
      <c r="L530" s="113"/>
      <c r="M530" s="113"/>
      <c r="N530" s="113"/>
      <c r="O530" s="113"/>
      <c r="P530" s="113"/>
      <c r="Q530" s="239"/>
      <c r="R530" s="239"/>
      <c r="S530" s="113"/>
      <c r="T530" s="113"/>
      <c r="U530" s="113"/>
      <c r="V530" s="113"/>
      <c r="W530" s="117"/>
      <c r="X530" s="113"/>
      <c r="Y530" s="152"/>
    </row>
    <row r="531" spans="1:25" s="8" customFormat="1" x14ac:dyDescent="0.25">
      <c r="A531" s="9"/>
      <c r="B531" s="4"/>
      <c r="C531" s="17"/>
      <c r="D531" s="113"/>
      <c r="E531" s="113"/>
      <c r="F531" s="113"/>
      <c r="G531" s="227"/>
      <c r="H531" s="113"/>
      <c r="I531" s="113"/>
      <c r="J531" s="113"/>
      <c r="K531" s="113"/>
      <c r="L531" s="113"/>
      <c r="M531" s="113"/>
      <c r="N531" s="113"/>
      <c r="O531" s="113"/>
      <c r="P531" s="113"/>
      <c r="Q531" s="239"/>
      <c r="R531" s="239"/>
      <c r="S531" s="113"/>
      <c r="T531" s="113"/>
      <c r="U531" s="113"/>
      <c r="V531" s="113"/>
      <c r="W531" s="117"/>
      <c r="X531" s="113"/>
      <c r="Y531" s="152"/>
    </row>
    <row r="532" spans="1:25" s="8" customFormat="1" x14ac:dyDescent="0.25">
      <c r="A532" s="9"/>
      <c r="B532" s="4"/>
      <c r="C532" s="17"/>
      <c r="D532" s="113"/>
      <c r="E532" s="113"/>
      <c r="F532" s="113"/>
      <c r="G532" s="227"/>
      <c r="H532" s="113"/>
      <c r="I532" s="113"/>
      <c r="J532" s="113"/>
      <c r="K532" s="113"/>
      <c r="L532" s="113"/>
      <c r="M532" s="113"/>
      <c r="N532" s="113"/>
      <c r="O532" s="113"/>
      <c r="P532" s="113"/>
      <c r="Q532" s="239"/>
      <c r="R532" s="239"/>
      <c r="S532" s="113"/>
      <c r="T532" s="113"/>
      <c r="U532" s="113"/>
      <c r="V532" s="113"/>
      <c r="W532" s="117"/>
      <c r="X532" s="113"/>
      <c r="Y532" s="152"/>
    </row>
    <row r="533" spans="1:25" s="8" customFormat="1" x14ac:dyDescent="0.25">
      <c r="A533" s="9"/>
      <c r="B533" s="4"/>
      <c r="C533" s="17"/>
      <c r="D533" s="113"/>
      <c r="E533" s="113"/>
      <c r="F533" s="113"/>
      <c r="G533" s="227"/>
      <c r="H533" s="113"/>
      <c r="I533" s="113"/>
      <c r="J533" s="113"/>
      <c r="K533" s="113"/>
      <c r="L533" s="113"/>
      <c r="M533" s="113"/>
      <c r="N533" s="113"/>
      <c r="O533" s="113"/>
      <c r="P533" s="113"/>
      <c r="Q533" s="239"/>
      <c r="R533" s="239"/>
      <c r="S533" s="113"/>
      <c r="T533" s="113"/>
      <c r="U533" s="113"/>
      <c r="V533" s="113"/>
      <c r="W533" s="117"/>
      <c r="X533" s="113"/>
      <c r="Y533" s="152"/>
    </row>
    <row r="534" spans="1:25" s="8" customFormat="1" x14ac:dyDescent="0.25">
      <c r="A534" s="9"/>
      <c r="B534" s="4"/>
      <c r="C534" s="17"/>
      <c r="D534" s="113"/>
      <c r="E534" s="113"/>
      <c r="F534" s="113"/>
      <c r="G534" s="227"/>
      <c r="H534" s="113"/>
      <c r="I534" s="113"/>
      <c r="J534" s="113"/>
      <c r="K534" s="113"/>
      <c r="L534" s="113"/>
      <c r="M534" s="113"/>
      <c r="N534" s="113"/>
      <c r="O534" s="113"/>
      <c r="P534" s="113"/>
      <c r="Q534" s="239"/>
      <c r="R534" s="239"/>
      <c r="S534" s="113"/>
      <c r="T534" s="113"/>
      <c r="U534" s="113"/>
      <c r="V534" s="113"/>
      <c r="W534" s="117"/>
      <c r="X534" s="113"/>
      <c r="Y534" s="152"/>
    </row>
    <row r="535" spans="1:25" s="8" customFormat="1" x14ac:dyDescent="0.25">
      <c r="A535" s="9"/>
      <c r="B535" s="4"/>
      <c r="C535" s="17"/>
      <c r="D535" s="113"/>
      <c r="E535" s="113"/>
      <c r="F535" s="113"/>
      <c r="G535" s="227"/>
      <c r="H535" s="113"/>
      <c r="I535" s="113"/>
      <c r="J535" s="113"/>
      <c r="K535" s="113"/>
      <c r="L535" s="113"/>
      <c r="M535" s="113"/>
      <c r="N535" s="113"/>
      <c r="O535" s="113"/>
      <c r="P535" s="113"/>
      <c r="Q535" s="239"/>
      <c r="R535" s="239"/>
      <c r="S535" s="113"/>
      <c r="T535" s="113"/>
      <c r="U535" s="113"/>
      <c r="V535" s="113"/>
      <c r="W535" s="117"/>
      <c r="X535" s="113"/>
      <c r="Y535" s="152"/>
    </row>
    <row r="536" spans="1:25" s="8" customFormat="1" x14ac:dyDescent="0.25">
      <c r="A536" s="9"/>
      <c r="B536" s="4"/>
      <c r="C536" s="17"/>
      <c r="D536" s="113"/>
      <c r="E536" s="113"/>
      <c r="F536" s="113"/>
      <c r="G536" s="227"/>
      <c r="H536" s="113"/>
      <c r="I536" s="113"/>
      <c r="J536" s="113"/>
      <c r="K536" s="113"/>
      <c r="L536" s="113"/>
      <c r="M536" s="113"/>
      <c r="N536" s="113"/>
      <c r="O536" s="113"/>
      <c r="P536" s="113"/>
      <c r="Q536" s="239"/>
      <c r="R536" s="239"/>
      <c r="S536" s="113"/>
      <c r="T536" s="113"/>
      <c r="U536" s="113"/>
      <c r="V536" s="113"/>
      <c r="W536" s="117"/>
      <c r="X536" s="113"/>
      <c r="Y536" s="152"/>
    </row>
    <row r="537" spans="1:25" s="8" customFormat="1" x14ac:dyDescent="0.25">
      <c r="A537" s="9"/>
      <c r="B537" s="4"/>
      <c r="C537" s="17"/>
      <c r="D537" s="113"/>
      <c r="E537" s="113"/>
      <c r="F537" s="113"/>
      <c r="G537" s="227"/>
      <c r="H537" s="113"/>
      <c r="I537" s="113"/>
      <c r="J537" s="113"/>
      <c r="K537" s="113"/>
      <c r="L537" s="113"/>
      <c r="M537" s="113"/>
      <c r="N537" s="113"/>
      <c r="O537" s="113"/>
      <c r="P537" s="113"/>
      <c r="Q537" s="239"/>
      <c r="R537" s="239"/>
      <c r="S537" s="113"/>
      <c r="T537" s="113"/>
      <c r="U537" s="113"/>
      <c r="V537" s="113"/>
      <c r="W537" s="117"/>
      <c r="X537" s="113"/>
      <c r="Y537" s="152"/>
    </row>
    <row r="538" spans="1:25" s="8" customFormat="1" x14ac:dyDescent="0.25">
      <c r="A538" s="9"/>
      <c r="B538" s="4"/>
      <c r="C538" s="17"/>
      <c r="D538" s="113"/>
      <c r="E538" s="113"/>
      <c r="F538" s="113"/>
      <c r="G538" s="227"/>
      <c r="H538" s="113"/>
      <c r="I538" s="113"/>
      <c r="J538" s="113"/>
      <c r="K538" s="113"/>
      <c r="L538" s="113"/>
      <c r="M538" s="113"/>
      <c r="N538" s="113"/>
      <c r="O538" s="113"/>
      <c r="P538" s="113"/>
      <c r="Q538" s="239"/>
      <c r="R538" s="239"/>
      <c r="S538" s="113"/>
      <c r="T538" s="113"/>
      <c r="U538" s="113"/>
      <c r="V538" s="113"/>
      <c r="W538" s="117"/>
      <c r="X538" s="113"/>
      <c r="Y538" s="152"/>
    </row>
    <row r="539" spans="1:25" s="8" customFormat="1" x14ac:dyDescent="0.25">
      <c r="A539" s="9"/>
      <c r="B539" s="4"/>
      <c r="C539" s="17"/>
      <c r="D539" s="113"/>
      <c r="E539" s="113"/>
      <c r="F539" s="113"/>
      <c r="G539" s="227"/>
      <c r="H539" s="113"/>
      <c r="I539" s="113"/>
      <c r="J539" s="113"/>
      <c r="K539" s="113"/>
      <c r="L539" s="113"/>
      <c r="M539" s="113"/>
      <c r="N539" s="113"/>
      <c r="O539" s="113"/>
      <c r="P539" s="113"/>
      <c r="Q539" s="239"/>
      <c r="R539" s="239"/>
      <c r="S539" s="113"/>
      <c r="T539" s="113"/>
      <c r="U539" s="113"/>
      <c r="V539" s="113"/>
      <c r="W539" s="117"/>
      <c r="X539" s="113"/>
      <c r="Y539" s="152"/>
    </row>
    <row r="540" spans="1:25" s="8" customFormat="1" x14ac:dyDescent="0.25">
      <c r="A540" s="9"/>
      <c r="B540" s="4"/>
      <c r="C540" s="17"/>
      <c r="D540" s="113"/>
      <c r="E540" s="113"/>
      <c r="F540" s="113"/>
      <c r="G540" s="227"/>
      <c r="H540" s="113"/>
      <c r="I540" s="113"/>
      <c r="J540" s="113"/>
      <c r="K540" s="113"/>
      <c r="L540" s="113"/>
      <c r="M540" s="113"/>
      <c r="N540" s="113"/>
      <c r="O540" s="113"/>
      <c r="P540" s="113"/>
      <c r="Q540" s="239"/>
      <c r="R540" s="239"/>
      <c r="S540" s="113"/>
      <c r="T540" s="113"/>
      <c r="U540" s="113"/>
      <c r="V540" s="113"/>
      <c r="W540" s="117"/>
      <c r="X540" s="113"/>
      <c r="Y540" s="152"/>
    </row>
    <row r="541" spans="1:25" s="8" customFormat="1" x14ac:dyDescent="0.25">
      <c r="A541" s="9"/>
      <c r="B541" s="4"/>
      <c r="C541" s="17"/>
      <c r="D541" s="113"/>
      <c r="E541" s="113"/>
      <c r="F541" s="113"/>
      <c r="G541" s="227"/>
      <c r="H541" s="113"/>
      <c r="I541" s="113"/>
      <c r="J541" s="113"/>
      <c r="K541" s="113"/>
      <c r="L541" s="113"/>
      <c r="M541" s="113"/>
      <c r="N541" s="113"/>
      <c r="O541" s="113"/>
      <c r="P541" s="113"/>
      <c r="Q541" s="239"/>
      <c r="R541" s="239"/>
      <c r="S541" s="113"/>
      <c r="T541" s="113"/>
      <c r="U541" s="113"/>
      <c r="V541" s="113"/>
      <c r="W541" s="117"/>
      <c r="X541" s="113"/>
      <c r="Y541" s="152"/>
    </row>
    <row r="542" spans="1:25" s="8" customFormat="1" x14ac:dyDescent="0.25">
      <c r="A542" s="9"/>
      <c r="B542" s="4"/>
      <c r="C542" s="17"/>
      <c r="D542" s="113"/>
      <c r="E542" s="113"/>
      <c r="F542" s="113"/>
      <c r="G542" s="227"/>
      <c r="H542" s="113"/>
      <c r="I542" s="113"/>
      <c r="J542" s="113"/>
      <c r="K542" s="113"/>
      <c r="L542" s="113"/>
      <c r="M542" s="113"/>
      <c r="N542" s="113"/>
      <c r="O542" s="113"/>
      <c r="P542" s="113"/>
      <c r="Q542" s="239"/>
      <c r="R542" s="239"/>
      <c r="S542" s="113"/>
      <c r="T542" s="113"/>
      <c r="U542" s="113"/>
      <c r="V542" s="113"/>
      <c r="W542" s="117"/>
      <c r="X542" s="113"/>
      <c r="Y542" s="152"/>
    </row>
    <row r="543" spans="1:25" s="8" customFormat="1" x14ac:dyDescent="0.25">
      <c r="A543" s="9"/>
      <c r="B543" s="4"/>
      <c r="C543" s="17"/>
      <c r="D543" s="113"/>
      <c r="E543" s="113"/>
      <c r="F543" s="113"/>
      <c r="G543" s="227"/>
      <c r="H543" s="113"/>
      <c r="I543" s="113"/>
      <c r="J543" s="113"/>
      <c r="K543" s="113"/>
      <c r="L543" s="113"/>
      <c r="M543" s="113"/>
      <c r="N543" s="113"/>
      <c r="O543" s="113"/>
      <c r="P543" s="113"/>
      <c r="Q543" s="239"/>
      <c r="R543" s="239"/>
      <c r="S543" s="113"/>
      <c r="T543" s="113"/>
      <c r="U543" s="113"/>
      <c r="V543" s="113"/>
      <c r="W543" s="117"/>
      <c r="X543" s="113"/>
      <c r="Y543" s="152"/>
    </row>
    <row r="544" spans="1:25" s="8" customFormat="1" x14ac:dyDescent="0.25">
      <c r="A544" s="9"/>
      <c r="B544" s="4"/>
      <c r="C544" s="17"/>
      <c r="D544" s="113"/>
      <c r="E544" s="113"/>
      <c r="F544" s="113"/>
      <c r="G544" s="227"/>
      <c r="H544" s="113"/>
      <c r="I544" s="113"/>
      <c r="J544" s="113"/>
      <c r="K544" s="113"/>
      <c r="L544" s="113"/>
      <c r="M544" s="113"/>
      <c r="N544" s="113"/>
      <c r="O544" s="113"/>
      <c r="P544" s="113"/>
      <c r="Q544" s="239"/>
      <c r="R544" s="239"/>
      <c r="S544" s="113"/>
      <c r="T544" s="113"/>
      <c r="U544" s="113"/>
      <c r="V544" s="113"/>
      <c r="W544" s="117"/>
      <c r="X544" s="113"/>
      <c r="Y544" s="152"/>
    </row>
    <row r="545" spans="1:25" s="8" customFormat="1" x14ac:dyDescent="0.25">
      <c r="A545" s="9"/>
      <c r="B545" s="4"/>
      <c r="C545" s="17"/>
      <c r="D545" s="113"/>
      <c r="E545" s="113"/>
      <c r="F545" s="113"/>
      <c r="G545" s="227"/>
      <c r="H545" s="113"/>
      <c r="I545" s="113"/>
      <c r="J545" s="113"/>
      <c r="K545" s="113"/>
      <c r="L545" s="113"/>
      <c r="M545" s="113"/>
      <c r="N545" s="113"/>
      <c r="O545" s="113"/>
      <c r="P545" s="113"/>
      <c r="Q545" s="239"/>
      <c r="R545" s="239"/>
      <c r="S545" s="113"/>
      <c r="T545" s="113"/>
      <c r="U545" s="113"/>
      <c r="V545" s="113"/>
      <c r="W545" s="117"/>
      <c r="X545" s="113"/>
      <c r="Y545" s="152"/>
    </row>
    <row r="546" spans="1:25" s="8" customFormat="1" x14ac:dyDescent="0.25">
      <c r="A546" s="9"/>
      <c r="B546" s="4"/>
      <c r="C546" s="17"/>
      <c r="D546" s="113"/>
      <c r="E546" s="113"/>
      <c r="F546" s="113"/>
      <c r="G546" s="227"/>
      <c r="H546" s="113"/>
      <c r="I546" s="113"/>
      <c r="J546" s="113"/>
      <c r="K546" s="113"/>
      <c r="L546" s="113"/>
      <c r="M546" s="113"/>
      <c r="N546" s="113"/>
      <c r="O546" s="113"/>
      <c r="P546" s="113"/>
      <c r="Q546" s="239"/>
      <c r="R546" s="239"/>
      <c r="S546" s="113"/>
      <c r="T546" s="113"/>
      <c r="U546" s="113"/>
      <c r="V546" s="113"/>
      <c r="W546" s="117"/>
      <c r="X546" s="113"/>
      <c r="Y546" s="152"/>
    </row>
    <row r="547" spans="1:25" s="8" customFormat="1" x14ac:dyDescent="0.25">
      <c r="A547" s="9"/>
      <c r="B547" s="4"/>
      <c r="C547" s="17"/>
      <c r="D547" s="113"/>
      <c r="E547" s="113"/>
      <c r="F547" s="113"/>
      <c r="G547" s="227"/>
      <c r="H547" s="113"/>
      <c r="I547" s="113"/>
      <c r="J547" s="113"/>
      <c r="K547" s="113"/>
      <c r="L547" s="113"/>
      <c r="M547" s="113"/>
      <c r="N547" s="113"/>
      <c r="O547" s="113"/>
      <c r="P547" s="113"/>
      <c r="Q547" s="239"/>
      <c r="R547" s="239"/>
      <c r="S547" s="113"/>
      <c r="T547" s="113"/>
      <c r="U547" s="113"/>
      <c r="V547" s="113"/>
      <c r="W547" s="117"/>
      <c r="X547" s="113"/>
      <c r="Y547" s="152"/>
    </row>
    <row r="548" spans="1:25" s="8" customFormat="1" x14ac:dyDescent="0.25">
      <c r="A548" s="9"/>
      <c r="B548" s="4"/>
      <c r="C548" s="17"/>
      <c r="D548" s="113"/>
      <c r="E548" s="113"/>
      <c r="F548" s="113"/>
      <c r="G548" s="227"/>
      <c r="H548" s="113"/>
      <c r="I548" s="113"/>
      <c r="J548" s="113"/>
      <c r="K548" s="113"/>
      <c r="L548" s="113"/>
      <c r="M548" s="113"/>
      <c r="N548" s="113"/>
      <c r="O548" s="113"/>
      <c r="P548" s="113"/>
      <c r="Q548" s="239"/>
      <c r="R548" s="239"/>
      <c r="S548" s="113"/>
      <c r="T548" s="113"/>
      <c r="U548" s="113"/>
      <c r="V548" s="113"/>
      <c r="W548" s="117"/>
      <c r="X548" s="113"/>
      <c r="Y548" s="152"/>
    </row>
    <row r="549" spans="1:25" s="8" customFormat="1" x14ac:dyDescent="0.25">
      <c r="A549" s="9"/>
      <c r="B549" s="4"/>
      <c r="C549" s="17"/>
      <c r="D549" s="113"/>
      <c r="E549" s="113"/>
      <c r="F549" s="113"/>
      <c r="G549" s="227"/>
      <c r="H549" s="113"/>
      <c r="I549" s="113"/>
      <c r="J549" s="113"/>
      <c r="K549" s="113"/>
      <c r="L549" s="113"/>
      <c r="M549" s="113"/>
      <c r="N549" s="113"/>
      <c r="O549" s="113"/>
      <c r="P549" s="113"/>
      <c r="Q549" s="239"/>
      <c r="R549" s="239"/>
      <c r="S549" s="113"/>
      <c r="T549" s="113"/>
      <c r="U549" s="113"/>
      <c r="V549" s="113"/>
      <c r="W549" s="117"/>
      <c r="X549" s="113"/>
      <c r="Y549" s="152"/>
    </row>
    <row r="550" spans="1:25" s="8" customFormat="1" x14ac:dyDescent="0.25">
      <c r="A550" s="9"/>
      <c r="B550" s="4"/>
      <c r="C550" s="17"/>
      <c r="D550" s="113"/>
      <c r="E550" s="113"/>
      <c r="F550" s="113"/>
      <c r="G550" s="227"/>
      <c r="H550" s="113"/>
      <c r="I550" s="113"/>
      <c r="J550" s="113"/>
      <c r="K550" s="113"/>
      <c r="L550" s="113"/>
      <c r="M550" s="113"/>
      <c r="N550" s="113"/>
      <c r="O550" s="113"/>
      <c r="P550" s="113"/>
      <c r="Q550" s="239"/>
      <c r="R550" s="239"/>
      <c r="S550" s="113"/>
      <c r="T550" s="113"/>
      <c r="U550" s="113"/>
      <c r="V550" s="113"/>
      <c r="W550" s="117"/>
      <c r="X550" s="113"/>
      <c r="Y550" s="152"/>
    </row>
    <row r="551" spans="1:25" s="8" customFormat="1" x14ac:dyDescent="0.25">
      <c r="A551" s="9"/>
      <c r="B551" s="4"/>
      <c r="C551" s="17"/>
      <c r="D551" s="113"/>
      <c r="E551" s="113"/>
      <c r="F551" s="113"/>
      <c r="G551" s="227"/>
      <c r="H551" s="113"/>
      <c r="I551" s="113"/>
      <c r="J551" s="113"/>
      <c r="K551" s="113"/>
      <c r="L551" s="113"/>
      <c r="M551" s="113"/>
      <c r="N551" s="113"/>
      <c r="O551" s="113"/>
      <c r="P551" s="113"/>
      <c r="Q551" s="239"/>
      <c r="R551" s="239"/>
      <c r="S551" s="113"/>
      <c r="T551" s="113"/>
      <c r="U551" s="113"/>
      <c r="V551" s="113"/>
      <c r="W551" s="117"/>
      <c r="X551" s="113"/>
      <c r="Y551" s="152"/>
    </row>
    <row r="552" spans="1:25" s="8" customFormat="1" x14ac:dyDescent="0.25">
      <c r="A552" s="9"/>
      <c r="B552" s="4"/>
      <c r="C552" s="17"/>
      <c r="D552" s="113"/>
      <c r="E552" s="113"/>
      <c r="F552" s="113"/>
      <c r="G552" s="227"/>
      <c r="H552" s="113"/>
      <c r="I552" s="113"/>
      <c r="J552" s="113"/>
      <c r="K552" s="113"/>
      <c r="L552" s="113"/>
      <c r="M552" s="113"/>
      <c r="N552" s="113"/>
      <c r="O552" s="113"/>
      <c r="P552" s="113"/>
      <c r="Q552" s="239"/>
      <c r="R552" s="239"/>
      <c r="S552" s="113"/>
      <c r="T552" s="113"/>
      <c r="U552" s="113"/>
      <c r="V552" s="113"/>
      <c r="W552" s="117"/>
      <c r="X552" s="113"/>
      <c r="Y552" s="152"/>
    </row>
    <row r="553" spans="1:25" s="8" customFormat="1" x14ac:dyDescent="0.25">
      <c r="A553" s="9"/>
      <c r="B553" s="4"/>
      <c r="C553" s="17"/>
      <c r="D553" s="113"/>
      <c r="E553" s="113"/>
      <c r="F553" s="113"/>
      <c r="G553" s="227"/>
      <c r="H553" s="113"/>
      <c r="I553" s="113"/>
      <c r="J553" s="113"/>
      <c r="K553" s="113"/>
      <c r="L553" s="113"/>
      <c r="M553" s="113"/>
      <c r="N553" s="113"/>
      <c r="O553" s="113"/>
      <c r="P553" s="113"/>
      <c r="Q553" s="239"/>
      <c r="R553" s="239"/>
      <c r="S553" s="113"/>
      <c r="T553" s="113"/>
      <c r="U553" s="113"/>
      <c r="V553" s="113"/>
      <c r="W553" s="117"/>
      <c r="X553" s="113"/>
      <c r="Y553" s="152"/>
    </row>
    <row r="554" spans="1:25" s="8" customFormat="1" x14ac:dyDescent="0.25">
      <c r="A554" s="9"/>
      <c r="B554" s="4"/>
      <c r="C554" s="17"/>
      <c r="D554" s="113"/>
      <c r="E554" s="113"/>
      <c r="F554" s="113"/>
      <c r="G554" s="227"/>
      <c r="H554" s="113"/>
      <c r="I554" s="113"/>
      <c r="J554" s="113"/>
      <c r="K554" s="113"/>
      <c r="L554" s="113"/>
      <c r="M554" s="113"/>
      <c r="N554" s="113"/>
      <c r="O554" s="113"/>
      <c r="P554" s="113"/>
      <c r="Q554" s="239"/>
      <c r="R554" s="239"/>
      <c r="S554" s="113"/>
      <c r="T554" s="113"/>
      <c r="U554" s="113"/>
      <c r="V554" s="113"/>
      <c r="W554" s="117"/>
      <c r="X554" s="113"/>
      <c r="Y554" s="152"/>
    </row>
    <row r="555" spans="1:25" s="8" customFormat="1" x14ac:dyDescent="0.25">
      <c r="A555" s="9"/>
      <c r="B555" s="4"/>
      <c r="C555" s="17"/>
      <c r="D555" s="113"/>
      <c r="E555" s="113"/>
      <c r="F555" s="113"/>
      <c r="G555" s="227"/>
      <c r="H555" s="113"/>
      <c r="I555" s="113"/>
      <c r="J555" s="113"/>
      <c r="K555" s="113"/>
      <c r="L555" s="113"/>
      <c r="M555" s="113"/>
      <c r="N555" s="113"/>
      <c r="O555" s="113"/>
      <c r="P555" s="113"/>
      <c r="Q555" s="239"/>
      <c r="R555" s="239"/>
      <c r="S555" s="113"/>
      <c r="T555" s="113"/>
      <c r="U555" s="113"/>
      <c r="V555" s="113"/>
      <c r="W555" s="117"/>
      <c r="X555" s="113"/>
      <c r="Y555" s="152"/>
    </row>
    <row r="556" spans="1:25" s="8" customFormat="1" x14ac:dyDescent="0.25">
      <c r="A556" s="9"/>
      <c r="B556" s="4"/>
      <c r="C556" s="17"/>
      <c r="D556" s="113"/>
      <c r="E556" s="113"/>
      <c r="F556" s="113"/>
      <c r="G556" s="227"/>
      <c r="H556" s="113"/>
      <c r="I556" s="113"/>
      <c r="J556" s="113"/>
      <c r="K556" s="113"/>
      <c r="L556" s="113"/>
      <c r="M556" s="113"/>
      <c r="N556" s="113"/>
      <c r="O556" s="113"/>
      <c r="P556" s="113"/>
      <c r="Q556" s="239"/>
      <c r="R556" s="239"/>
      <c r="S556" s="113"/>
      <c r="T556" s="113"/>
      <c r="U556" s="113"/>
      <c r="V556" s="113"/>
      <c r="W556" s="117"/>
      <c r="X556" s="113"/>
      <c r="Y556" s="152"/>
    </row>
    <row r="557" spans="1:25" s="8" customFormat="1" x14ac:dyDescent="0.25">
      <c r="A557" s="9"/>
      <c r="B557" s="4"/>
      <c r="C557" s="17"/>
      <c r="D557" s="113"/>
      <c r="E557" s="113"/>
      <c r="F557" s="113"/>
      <c r="G557" s="227"/>
      <c r="H557" s="113"/>
      <c r="I557" s="113"/>
      <c r="J557" s="113"/>
      <c r="K557" s="113"/>
      <c r="L557" s="113"/>
      <c r="M557" s="113"/>
      <c r="N557" s="113"/>
      <c r="O557" s="113"/>
      <c r="P557" s="113"/>
      <c r="Q557" s="239"/>
      <c r="R557" s="239"/>
      <c r="S557" s="113"/>
      <c r="T557" s="113"/>
      <c r="U557" s="113"/>
      <c r="V557" s="113"/>
      <c r="W557" s="117"/>
      <c r="X557" s="113"/>
      <c r="Y557" s="152"/>
    </row>
    <row r="558" spans="1:25" s="8" customFormat="1" x14ac:dyDescent="0.25">
      <c r="A558" s="9"/>
      <c r="B558" s="4"/>
      <c r="C558" s="17"/>
      <c r="D558" s="113"/>
      <c r="E558" s="113"/>
      <c r="F558" s="113"/>
      <c r="G558" s="227"/>
      <c r="H558" s="113"/>
      <c r="I558" s="113"/>
      <c r="J558" s="113"/>
      <c r="K558" s="113"/>
      <c r="L558" s="113"/>
      <c r="M558" s="113"/>
      <c r="N558" s="113"/>
      <c r="O558" s="113"/>
      <c r="P558" s="113"/>
      <c r="Q558" s="239"/>
      <c r="R558" s="239"/>
      <c r="S558" s="113"/>
      <c r="T558" s="113"/>
      <c r="U558" s="113"/>
      <c r="V558" s="113"/>
      <c r="W558" s="117"/>
      <c r="X558" s="113"/>
      <c r="Y558" s="152"/>
    </row>
    <row r="559" spans="1:25" s="8" customFormat="1" x14ac:dyDescent="0.25">
      <c r="A559" s="9"/>
      <c r="B559" s="4"/>
      <c r="C559" s="17"/>
      <c r="D559" s="113"/>
      <c r="E559" s="113"/>
      <c r="F559" s="113"/>
      <c r="G559" s="227"/>
      <c r="H559" s="113"/>
      <c r="I559" s="113"/>
      <c r="J559" s="113"/>
      <c r="K559" s="113"/>
      <c r="L559" s="113"/>
      <c r="M559" s="113"/>
      <c r="N559" s="113"/>
      <c r="O559" s="113"/>
      <c r="P559" s="113"/>
      <c r="Q559" s="239"/>
      <c r="R559" s="239"/>
      <c r="S559" s="113"/>
      <c r="T559" s="113"/>
      <c r="U559" s="113"/>
      <c r="V559" s="113"/>
      <c r="W559" s="117"/>
      <c r="X559" s="113"/>
      <c r="Y559" s="152"/>
    </row>
    <row r="560" spans="1:25" s="8" customFormat="1" x14ac:dyDescent="0.25">
      <c r="A560" s="9"/>
      <c r="B560" s="4"/>
      <c r="C560" s="17"/>
      <c r="D560" s="113"/>
      <c r="E560" s="113"/>
      <c r="F560" s="113"/>
      <c r="G560" s="227"/>
      <c r="H560" s="113"/>
      <c r="I560" s="113"/>
      <c r="J560" s="113"/>
      <c r="K560" s="113"/>
      <c r="L560" s="113"/>
      <c r="M560" s="113"/>
      <c r="N560" s="113"/>
      <c r="O560" s="113"/>
      <c r="P560" s="113"/>
      <c r="Q560" s="239"/>
      <c r="R560" s="239"/>
      <c r="S560" s="113"/>
      <c r="T560" s="113"/>
      <c r="U560" s="113"/>
      <c r="V560" s="113"/>
      <c r="W560" s="117"/>
      <c r="X560" s="113"/>
      <c r="Y560" s="152"/>
    </row>
  </sheetData>
  <mergeCells count="42">
    <mergeCell ref="Y1:Y59"/>
    <mergeCell ref="Y60:Y101"/>
    <mergeCell ref="Y102:Y137"/>
    <mergeCell ref="Y138:Y188"/>
    <mergeCell ref="Y189:Y230"/>
    <mergeCell ref="E13:F13"/>
    <mergeCell ref="M13:M14"/>
    <mergeCell ref="J11:J14"/>
    <mergeCell ref="M7:P7"/>
    <mergeCell ref="L13:L14"/>
    <mergeCell ref="X11:X14"/>
    <mergeCell ref="A9:X9"/>
    <mergeCell ref="D12:F12"/>
    <mergeCell ref="G12:I12"/>
    <mergeCell ref="G13:G14"/>
    <mergeCell ref="H13:I13"/>
    <mergeCell ref="D11:I11"/>
    <mergeCell ref="K12:P12"/>
    <mergeCell ref="Q11:V11"/>
    <mergeCell ref="K11:P11"/>
    <mergeCell ref="K13:K14"/>
    <mergeCell ref="P13:P14"/>
    <mergeCell ref="Q12:V12"/>
    <mergeCell ref="S13:S14"/>
    <mergeCell ref="T13:U13"/>
    <mergeCell ref="V13:V14"/>
    <mergeCell ref="Q2:W2"/>
    <mergeCell ref="Q3:W3"/>
    <mergeCell ref="Q4:W4"/>
    <mergeCell ref="A241:C241"/>
    <mergeCell ref="A239:C239"/>
    <mergeCell ref="B11:B14"/>
    <mergeCell ref="C11:C14"/>
    <mergeCell ref="A11:A14"/>
    <mergeCell ref="P231:T231"/>
    <mergeCell ref="W11:W14"/>
    <mergeCell ref="R13:R14"/>
    <mergeCell ref="Q7:T7"/>
    <mergeCell ref="Q13:Q14"/>
    <mergeCell ref="M5:P5"/>
    <mergeCell ref="N13:O13"/>
    <mergeCell ref="D13:D14"/>
  </mergeCells>
  <phoneticPr fontId="2" type="noConversion"/>
  <printOptions horizontalCentered="1"/>
  <pageMargins left="0.27559055118110237" right="0.27559055118110237" top="0.74803149606299213" bottom="0.39370078740157483" header="0.39370078740157483" footer="0.19685039370078741"/>
  <pageSetup paperSize="9" scale="31" fitToHeight="6" orientation="landscape" verticalDpi="300" r:id="rId1"/>
  <headerFooter alignWithMargins="0">
    <oddFooter>&amp;R&amp;22Сторінка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3</vt:lpstr>
      <vt:lpstr>'дод 2 '!Заголовки_для_печати</vt:lpstr>
      <vt:lpstr>'дод 3'!Заголовки_для_печати</vt:lpstr>
      <vt:lpstr>'дод 2 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Кравченко Марина Анатоліївна</cp:lastModifiedBy>
  <cp:lastPrinted>2019-04-22T07:25:30Z</cp:lastPrinted>
  <dcterms:created xsi:type="dcterms:W3CDTF">2014-01-17T10:52:16Z</dcterms:created>
  <dcterms:modified xsi:type="dcterms:W3CDTF">2019-06-07T08:08:31Z</dcterms:modified>
</cp:coreProperties>
</file>