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Додаток 1" sheetId="1" r:id="rId1"/>
    <sheet name="Додаток 2" sheetId="2" r:id="rId2"/>
    <sheet name="Додаток 3" sheetId="3" r:id="rId3"/>
  </sheets>
  <definedNames>
    <definedName name="_xlnm.Print_Titles" localSheetId="1">'Додаток 2'!$7:$10</definedName>
    <definedName name="_xlnm.Print_Titles" localSheetId="2">'Додаток 3'!$7:$10</definedName>
    <definedName name="_xlnm.Print_Area" localSheetId="0">'Додаток 1'!$A$1:$C$29</definedName>
    <definedName name="_xlnm.Print_Area" localSheetId="1">'Додаток 2'!$A$1:$K$126</definedName>
    <definedName name="_xlnm.Print_Area" localSheetId="2">'Додаток 3'!$A$1:$K$266</definedName>
  </definedNames>
  <calcPr fullCalcOnLoad="1"/>
</workbook>
</file>

<file path=xl/sharedStrings.xml><?xml version="1.0" encoding="utf-8"?>
<sst xmlns="http://schemas.openxmlformats.org/spreadsheetml/2006/main" count="614" uniqueCount="290">
  <si>
    <t>2020 (прогноз)</t>
  </si>
  <si>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</si>
  <si>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</si>
  <si>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</si>
  <si>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</si>
  <si>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</si>
  <si>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</si>
  <si>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</si>
  <si>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</si>
  <si>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</si>
  <si>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</si>
  <si>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</si>
  <si>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Виконавець: Чумаченко О.Ю.</t>
  </si>
  <si>
    <t>Виконавець:Чумаченко О.Ю.</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</si>
  <si>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</si>
  <si>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</si>
  <si>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</si>
  <si>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</si>
  <si>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</si>
  <si>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</si>
  <si>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</si>
  <si>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</si>
  <si>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</si>
  <si>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</si>
  <si>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</si>
  <si>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</si>
  <si>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</si>
  <si>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</si>
  <si>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</si>
  <si>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</si>
  <si>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</si>
  <si>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Централізовані заходи з лікування хворих на цукровий та нецукровий діабет</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</si>
  <si>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</si>
  <si>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</si>
  <si>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</si>
  <si>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</si>
  <si>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</si>
  <si>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</si>
  <si>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</si>
  <si>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</si>
  <si>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</si>
  <si>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</si>
  <si>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</si>
  <si>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</si>
  <si>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</si>
  <si>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</si>
  <si>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 xml:space="preserve">Кошти міського бюджету (загальний фонд)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</si>
  <si>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</si>
  <si>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</si>
  <si>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</si>
  <si>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</si>
  <si>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 xml:space="preserve">Кошти міського бюджету (спеціальний  фонд)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</si>
  <si>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</si>
  <si>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</si>
  <si>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</si>
  <si>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</si>
  <si>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</si>
  <si>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</si>
  <si>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</si>
  <si>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</si>
  <si>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</si>
  <si>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</si>
  <si>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</si>
  <si>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</si>
  <si>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</si>
  <si>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</si>
  <si>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</si>
  <si>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</si>
  <si>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</si>
  <si>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</si>
  <si>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</si>
  <si>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</si>
  <si>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</si>
  <si>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</si>
  <si>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</si>
  <si>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</si>
  <si>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</si>
  <si>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2020 рік (прогноз)</t>
  </si>
  <si>
    <t>2021рік (прогноз)</t>
  </si>
  <si>
    <t>в тому числі</t>
  </si>
  <si>
    <t>Загальний фонд</t>
  </si>
  <si>
    <t>Спеціальний фонд</t>
  </si>
  <si>
    <t>Всього на виконання програми, грн</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</si>
  <si>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</si>
  <si>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</si>
  <si>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</si>
  <si>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</si>
  <si>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</si>
  <si>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</si>
  <si>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РАЗОМ ПО ПРОГРАМІ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</si>
  <si>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</si>
  <si>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</si>
  <si>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</si>
  <si>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</si>
  <si>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</si>
  <si>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</si>
  <si>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</si>
  <si>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</si>
  <si>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</si>
  <si>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</si>
  <si>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</si>
  <si>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</si>
  <si>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</si>
  <si>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</si>
  <si>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</si>
  <si>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 xml:space="preserve">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</si>
  <si>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</si>
  <si>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</si>
  <si>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</si>
  <si>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</si>
  <si>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</si>
  <si>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</si>
  <si>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</si>
  <si>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</si>
  <si>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</si>
  <si>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</si>
  <si>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</si>
  <si>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</si>
  <si>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</si>
  <si>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</si>
  <si>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</si>
  <si>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</si>
  <si>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</si>
  <si>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</si>
  <si>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</si>
  <si>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</si>
  <si>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</si>
  <si>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</si>
  <si>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</si>
  <si>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</si>
  <si>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</si>
  <si>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</si>
  <si>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</si>
  <si>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</si>
  <si>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</si>
  <si>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</si>
  <si>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</si>
  <si>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</si>
  <si>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</si>
  <si>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</si>
  <si>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</si>
  <si>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</si>
  <si>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</si>
  <si>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</si>
  <si>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</si>
  <si>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</si>
  <si>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</si>
  <si>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</si>
  <si>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</si>
  <si>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</si>
  <si>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</si>
  <si>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</si>
  <si>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</si>
  <si>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</si>
  <si>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</si>
  <si>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</si>
  <si>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</si>
  <si>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</si>
  <si>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</si>
  <si>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</si>
  <si>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</si>
  <si>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</si>
  <si>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</si>
  <si>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</si>
  <si>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</si>
  <si>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</si>
  <si>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</si>
  <si>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</si>
  <si>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</si>
  <si>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</si>
  <si>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</si>
  <si>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</si>
  <si>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</si>
  <si>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</si>
  <si>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</si>
  <si>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</si>
  <si>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</si>
  <si>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</si>
  <si>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</si>
  <si>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</si>
  <si>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</si>
  <si>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</si>
  <si>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збільшення  питомої ваги  кількості осіб, що отримали  пільгове зубопротезування, до загальної  кількості  осіб, що перебувають  на черзі на пільгове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</si>
  <si>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</si>
  <si>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</si>
  <si>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</si>
  <si>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</si>
  <si>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</si>
  <si>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</si>
  <si>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</si>
  <si>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</si>
  <si>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</si>
  <si>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</si>
  <si>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</si>
  <si>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</si>
  <si>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</si>
  <si>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</si>
  <si>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</si>
  <si>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</si>
  <si>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</si>
  <si>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</si>
  <si>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</si>
  <si>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</si>
  <si>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</si>
  <si>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</si>
  <si>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</si>
  <si>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t>
  </si>
  <si>
    <t>_________"___"______. 2019 р.</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</si>
  <si>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</si>
  <si>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</si>
  <si>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</si>
  <si>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</si>
  <si>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</si>
  <si>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</si>
  <si>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</si>
  <si>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</si>
  <si>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</si>
  <si>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</si>
  <si>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</si>
  <si>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</si>
  <si>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 xml:space="preserve">до рішення Сумської міської ради "Про внесення змін до рішення Сумської міської ради від 19 грудня 2018 року №4333 - МР "Про затвердження комплексної міської Програми «Охорона здоров’я м. Суми на 2019-2021 роки» </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</si>
  <si>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</si>
  <si>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</si>
  <si>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</si>
  <si>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Кількість придбанної комп'ютерної техніки , шт.</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</si>
  <si>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</si>
  <si>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</si>
  <si>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</si>
  <si>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</si>
  <si>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</si>
  <si>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</si>
  <si>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</si>
  <si>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</si>
  <si>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_________"___"______2019 р.</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</si>
  <si>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</si>
  <si>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</si>
  <si>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</si>
  <si>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</si>
  <si>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</si>
  <si>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</si>
  <si>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</si>
  <si>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</si>
  <si>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_________"___"____.2019 р.</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</si>
  <si>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</si>
  <si>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</si>
  <si>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</si>
  <si>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</si>
  <si>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</si>
  <si>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</si>
  <si>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</si>
  <si>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rPr>
      <t>2</t>
    </r>
  </si>
  <si>
    <r>
      <t>середні витрати оплати за комунальні послуги та енергоносії на 1 м</t>
    </r>
    <r>
      <rPr>
        <vertAlign val="superscript"/>
        <sz val="16"/>
        <rFont val="Times New Roman"/>
        <family val="1"/>
      </rPr>
      <t xml:space="preserve">2 </t>
    </r>
    <r>
      <rPr>
        <sz val="16"/>
        <rFont val="Times New Roman"/>
        <family val="1"/>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</si>
  <si>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</si>
  <si>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</si>
  <si>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</si>
  <si>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</si>
  <si>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</si>
  <si>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</si>
  <si>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</si>
  <si>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</si>
  <si>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</si>
  <si>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Підпрограма 11.  Будівництво та реконструкція медичних установ та закладів</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</si>
  <si>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</si>
  <si>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</si>
  <si>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</si>
  <si>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</si>
  <si>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</si>
  <si>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</si>
  <si>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</si>
  <si>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</si>
  <si>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</si>
  <si>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</si>
  <si>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t>
  </si>
  <si>
    <t xml:space="preserve">На виконання міської програми " Про програму підвищення енергоефективності в бюджетній сфері міста Суми на 2017-2019 роки" </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</si>
  <si>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</si>
  <si>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</si>
  <si>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</si>
  <si>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</si>
  <si>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</si>
  <si>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</si>
  <si>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</si>
  <si>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</si>
  <si>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</si>
  <si>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</si>
  <si>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</si>
  <si>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</si>
  <si>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</si>
  <si>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від  24 квітня 2019 року № 4927 -МР</t>
  </si>
  <si>
    <t>Секретар Сумської міської ради</t>
  </si>
  <si>
    <t>А.В. Баранов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</si>
</sst>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00"/>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s>
  <fonts count="64">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sz val="8"/>
      <name val="Arial"/>
      <family val="2"/>
    </font>
    <font>
      <sz val="12"/>
      <name val="Arial"/>
      <family val="2"/>
    </font>
    <font>
      <sz val="8"/>
      <color indexed="8"/>
      <name val="Arial"/>
      <family val="2"/>
    </font>
    <font>
      <sz val="14"/>
      <color indexed="8"/>
      <name val="Times New Roman"/>
      <family val="1"/>
    </font>
    <font>
      <sz val="16"/>
      <name val="Times New Roman"/>
      <family val="1"/>
    </font>
    <font>
      <b/>
      <sz val="18"/>
      <name val="Times New Roman"/>
      <family val="1"/>
    </font>
    <font>
      <sz val="10"/>
      <name val="Arial Cyr"/>
      <family val="2"/>
    </font>
    <font>
      <b/>
      <sz val="16"/>
      <name val="Times New Roman"/>
      <family val="1"/>
    </font>
    <font>
      <sz val="14"/>
      <name val="Arial"/>
      <family val="2"/>
    </font>
    <font>
      <b/>
      <i/>
      <sz val="16"/>
      <name val="Times New Roman"/>
      <family val="1"/>
    </font>
    <font>
      <i/>
      <sz val="16"/>
      <name val="Times New Roman"/>
      <family val="1"/>
    </font>
    <font>
      <vertAlign val="superscrip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36"/>
      <name val="Times New Roman"/>
      <family val="1"/>
    </font>
    <font>
      <sz val="10"/>
      <color indexed="36"/>
      <name val="Arial"/>
      <family val="2"/>
    </font>
    <font>
      <sz val="14"/>
      <color indexed="9"/>
      <name val="Times New Roman"/>
      <family val="1"/>
    </font>
    <font>
      <b/>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7030A0"/>
      <name val="Times New Roman"/>
      <family val="1"/>
    </font>
    <font>
      <sz val="10"/>
      <color rgb="FF7030A0"/>
      <name val="Arial"/>
      <family val="2"/>
    </font>
    <font>
      <sz val="14"/>
      <color theme="1"/>
      <name val="Times New Roman"/>
      <family val="1"/>
    </font>
    <font>
      <sz val="14"/>
      <color theme="0"/>
      <name val="Times New Roman"/>
      <family val="1"/>
    </font>
    <font>
      <b/>
      <sz val="16"/>
      <color theme="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6"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8" fillId="0" borderId="0">
      <alignment/>
      <protection/>
    </xf>
    <xf numFmtId="0" fontId="0" fillId="0" borderId="0">
      <alignment/>
      <protection/>
    </xf>
    <xf numFmtId="0" fontId="6" fillId="0" borderId="0">
      <alignment horizontal="left"/>
      <protection/>
    </xf>
    <xf numFmtId="0" fontId="2" fillId="0" borderId="0">
      <alignment/>
      <protection/>
    </xf>
    <xf numFmtId="0" fontId="2" fillId="0" borderId="0">
      <alignment/>
      <protection/>
    </xf>
    <xf numFmtId="0" fontId="12" fillId="0" borderId="0">
      <alignment/>
      <protection/>
    </xf>
    <xf numFmtId="0" fontId="5"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2" fillId="0" borderId="0">
      <alignment/>
      <protection/>
    </xf>
    <xf numFmtId="0" fontId="5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7" fillId="31" borderId="0" applyNumberFormat="0" applyBorder="0" applyAlignment="0" applyProtection="0"/>
  </cellStyleXfs>
  <cellXfs count="27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9"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10" xfId="0" applyFont="1" applyBorder="1" applyAlignment="1">
      <alignment horizontal="center"/>
    </xf>
    <xf numFmtId="1" fontId="58" fillId="32" borderId="0" xfId="0" applyNumberFormat="1" applyFont="1" applyFill="1" applyAlignment="1">
      <alignment vertical="top"/>
    </xf>
    <xf numFmtId="0" fontId="3" fillId="32" borderId="0" xfId="0" applyFont="1" applyFill="1" applyAlignment="1">
      <alignment/>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vertical="top" wrapText="1"/>
    </xf>
    <xf numFmtId="0" fontId="7"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1" fontId="3" fillId="32" borderId="0" xfId="0" applyNumberFormat="1" applyFont="1" applyFill="1" applyAlignment="1">
      <alignment/>
    </xf>
    <xf numFmtId="176" fontId="59" fillId="32" borderId="0" xfId="0" applyNumberFormat="1" applyFont="1" applyFill="1" applyBorder="1" applyAlignment="1">
      <alignment horizontal="center" wrapText="1"/>
    </xf>
    <xf numFmtId="0" fontId="58" fillId="32" borderId="0" xfId="0" applyFont="1" applyFill="1" applyAlignment="1">
      <alignment vertical="top"/>
    </xf>
    <xf numFmtId="0" fontId="0" fillId="32" borderId="0" xfId="0" applyFont="1" applyFill="1" applyAlignment="1">
      <alignment/>
    </xf>
    <xf numFmtId="0" fontId="60" fillId="32" borderId="0" xfId="0" applyFont="1" applyFill="1" applyAlignment="1">
      <alignment/>
    </xf>
    <xf numFmtId="0" fontId="58" fillId="32" borderId="0" xfId="0" applyFont="1" applyFill="1" applyAlignment="1">
      <alignment/>
    </xf>
    <xf numFmtId="0" fontId="3" fillId="32" borderId="0" xfId="0" applyFont="1" applyFill="1" applyAlignment="1">
      <alignment horizontal="left" vertical="center"/>
    </xf>
    <xf numFmtId="0" fontId="58" fillId="32" borderId="0" xfId="0" applyFont="1" applyFill="1" applyAlignment="1">
      <alignment horizontal="left" vertical="center"/>
    </xf>
    <xf numFmtId="0" fontId="58" fillId="32" borderId="0" xfId="0" applyFont="1" applyFill="1" applyAlignment="1">
      <alignment vertical="center"/>
    </xf>
    <xf numFmtId="0" fontId="3" fillId="32" borderId="0" xfId="0" applyFont="1" applyFill="1" applyAlignment="1">
      <alignment/>
    </xf>
    <xf numFmtId="0" fontId="3" fillId="32" borderId="0" xfId="0" applyFont="1" applyFill="1" applyAlignment="1">
      <alignment horizontal="right"/>
    </xf>
    <xf numFmtId="0" fontId="58" fillId="32" borderId="0" xfId="0" applyFont="1" applyFill="1" applyBorder="1" applyAlignment="1">
      <alignment vertical="center"/>
    </xf>
    <xf numFmtId="0" fontId="61" fillId="32" borderId="0" xfId="0" applyFont="1" applyFill="1" applyBorder="1" applyAlignment="1">
      <alignment vertical="center"/>
    </xf>
    <xf numFmtId="0" fontId="3" fillId="32" borderId="0" xfId="0" applyFont="1" applyFill="1" applyBorder="1" applyAlignment="1">
      <alignment vertical="center"/>
    </xf>
    <xf numFmtId="0" fontId="3" fillId="32" borderId="0" xfId="0" applyFont="1" applyFill="1" applyBorder="1" applyAlignment="1">
      <alignment/>
    </xf>
    <xf numFmtId="176" fontId="58" fillId="32" borderId="0" xfId="0" applyNumberFormat="1" applyFont="1" applyFill="1" applyAlignment="1">
      <alignment vertical="center"/>
    </xf>
    <xf numFmtId="176" fontId="3" fillId="32" borderId="0" xfId="0" applyNumberFormat="1" applyFont="1" applyFill="1" applyAlignment="1">
      <alignment vertical="center"/>
    </xf>
    <xf numFmtId="176" fontId="3" fillId="32" borderId="0" xfId="0" applyNumberFormat="1" applyFont="1" applyFill="1" applyBorder="1" applyAlignment="1">
      <alignment vertical="center"/>
    </xf>
    <xf numFmtId="176" fontId="58" fillId="32" borderId="0" xfId="0" applyNumberFormat="1" applyFont="1" applyFill="1" applyBorder="1" applyAlignment="1">
      <alignment vertical="center"/>
    </xf>
    <xf numFmtId="176" fontId="3" fillId="32" borderId="0" xfId="0" applyNumberFormat="1" applyFont="1" applyFill="1" applyAlignment="1">
      <alignment/>
    </xf>
    <xf numFmtId="0" fontId="10" fillId="32" borderId="0" xfId="0" applyFont="1" applyFill="1" applyAlignment="1">
      <alignment/>
    </xf>
    <xf numFmtId="176" fontId="10" fillId="32" borderId="0" xfId="0" applyNumberFormat="1" applyFont="1" applyFill="1" applyAlignment="1">
      <alignment/>
    </xf>
    <xf numFmtId="0" fontId="1" fillId="32" borderId="0" xfId="0" applyFont="1" applyFill="1" applyBorder="1" applyAlignment="1">
      <alignment vertical="top" wrapText="1"/>
    </xf>
    <xf numFmtId="176"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0" fillId="32" borderId="0" xfId="0" applyFont="1" applyFill="1" applyAlignment="1">
      <alignment horizontal="center" vertical="center"/>
    </xf>
    <xf numFmtId="0" fontId="10" fillId="32" borderId="0" xfId="0" applyFont="1" applyFill="1" applyAlignment="1">
      <alignment wrapText="1"/>
    </xf>
    <xf numFmtId="0" fontId="10" fillId="32" borderId="0" xfId="0" applyFont="1" applyFill="1" applyAlignment="1">
      <alignment horizontal="center"/>
    </xf>
    <xf numFmtId="0" fontId="10" fillId="32" borderId="0" xfId="0" applyFont="1" applyFill="1" applyAlignment="1">
      <alignment vertical="top" wrapText="1"/>
    </xf>
    <xf numFmtId="0" fontId="10" fillId="32" borderId="0" xfId="0" applyFont="1" applyFill="1" applyAlignment="1">
      <alignment vertical="top"/>
    </xf>
    <xf numFmtId="0" fontId="3" fillId="32" borderId="0" xfId="0" applyFont="1" applyFill="1" applyAlignment="1">
      <alignment horizontal="left"/>
    </xf>
    <xf numFmtId="0" fontId="1" fillId="32" borderId="0" xfId="0" applyFont="1" applyFill="1" applyBorder="1" applyAlignment="1">
      <alignment horizontal="left" vertical="top"/>
    </xf>
    <xf numFmtId="0" fontId="62" fillId="32" borderId="0" xfId="0" applyFont="1" applyFill="1" applyAlignment="1">
      <alignment wrapText="1"/>
    </xf>
    <xf numFmtId="177" fontId="62" fillId="32" borderId="0" xfId="0" applyNumberFormat="1" applyFont="1" applyFill="1" applyAlignment="1">
      <alignment wrapText="1"/>
    </xf>
    <xf numFmtId="0" fontId="14" fillId="0" borderId="0" xfId="0" applyFont="1" applyAlignment="1">
      <alignment/>
    </xf>
    <xf numFmtId="0" fontId="3" fillId="0" borderId="0" xfId="0" applyFont="1" applyAlignment="1">
      <alignment horizontal="left" wrapText="1"/>
    </xf>
    <xf numFmtId="0" fontId="3" fillId="0" borderId="0" xfId="0" applyFont="1" applyAlignment="1">
      <alignment horizontal="justify"/>
    </xf>
    <xf numFmtId="0" fontId="1" fillId="32" borderId="10" xfId="0" applyFont="1" applyFill="1" applyBorder="1" applyAlignment="1">
      <alignment horizontal="center" vertical="center" wrapText="1"/>
    </xf>
    <xf numFmtId="0" fontId="58" fillId="32" borderId="0" xfId="0" applyFont="1" applyFill="1" applyAlignment="1">
      <alignment horizontal="center" vertical="center"/>
    </xf>
    <xf numFmtId="0" fontId="3" fillId="32" borderId="10" xfId="0" applyFont="1" applyFill="1" applyBorder="1" applyAlignment="1">
      <alignment horizontal="center" vertical="top" wrapText="1"/>
    </xf>
    <xf numFmtId="176" fontId="3" fillId="32" borderId="0" xfId="0" applyNumberFormat="1" applyFont="1" applyFill="1" applyBorder="1" applyAlignment="1">
      <alignment/>
    </xf>
    <xf numFmtId="0" fontId="13" fillId="32" borderId="10" xfId="0" applyFont="1" applyFill="1" applyBorder="1" applyAlignment="1">
      <alignment/>
    </xf>
    <xf numFmtId="0" fontId="13" fillId="32" borderId="11" xfId="0" applyFont="1" applyFill="1" applyBorder="1" applyAlignment="1">
      <alignment/>
    </xf>
    <xf numFmtId="0" fontId="13" fillId="32" borderId="12" xfId="0" applyFont="1" applyFill="1" applyBorder="1" applyAlignment="1">
      <alignment/>
    </xf>
    <xf numFmtId="0" fontId="13" fillId="32" borderId="13" xfId="0" applyFont="1" applyFill="1" applyBorder="1" applyAlignment="1">
      <alignment/>
    </xf>
    <xf numFmtId="0" fontId="13" fillId="32" borderId="0" xfId="0" applyFont="1" applyFill="1" applyBorder="1" applyAlignment="1">
      <alignment/>
    </xf>
    <xf numFmtId="0" fontId="1" fillId="32" borderId="0" xfId="0" applyFont="1" applyFill="1" applyBorder="1" applyAlignment="1">
      <alignment/>
    </xf>
    <xf numFmtId="0" fontId="10" fillId="32" borderId="0" xfId="0" applyFont="1" applyFill="1" applyBorder="1" applyAlignment="1">
      <alignment/>
    </xf>
    <xf numFmtId="0" fontId="10" fillId="32" borderId="0" xfId="0" applyFont="1" applyFill="1" applyBorder="1" applyAlignment="1">
      <alignment horizontal="left" vertical="top" wrapText="1"/>
    </xf>
    <xf numFmtId="0" fontId="13" fillId="32" borderId="10" xfId="0" applyFont="1" applyFill="1" applyBorder="1" applyAlignment="1">
      <alignment horizontal="center" vertical="center" wrapText="1"/>
    </xf>
    <xf numFmtId="0" fontId="15" fillId="32" borderId="10" xfId="0" applyFont="1" applyFill="1" applyBorder="1" applyAlignment="1">
      <alignment horizontal="justify" vertical="top" wrapText="1"/>
    </xf>
    <xf numFmtId="0" fontId="10" fillId="32" borderId="10" xfId="0" applyFont="1" applyFill="1" applyBorder="1" applyAlignment="1">
      <alignment horizontal="right" vertical="top" wrapText="1"/>
    </xf>
    <xf numFmtId="0" fontId="13" fillId="33" borderId="10" xfId="55" applyFont="1" applyFill="1" applyBorder="1" applyAlignment="1">
      <alignment horizontal="left" vertical="top" wrapText="1"/>
      <protection/>
    </xf>
    <xf numFmtId="0" fontId="13" fillId="32" borderId="10" xfId="55" applyFont="1" applyFill="1" applyBorder="1" applyAlignment="1">
      <alignment horizontal="left" vertical="top" wrapText="1"/>
      <protection/>
    </xf>
    <xf numFmtId="0" fontId="16"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10" xfId="56" applyFont="1" applyFill="1" applyBorder="1" applyAlignment="1">
      <alignment vertical="top" wrapText="1"/>
      <protection/>
    </xf>
    <xf numFmtId="1" fontId="13" fillId="32" borderId="10" xfId="0" applyNumberFormat="1" applyFont="1" applyFill="1" applyBorder="1" applyAlignment="1">
      <alignment horizontal="left" vertical="top" wrapText="1"/>
    </xf>
    <xf numFmtId="0" fontId="10" fillId="32" borderId="10" xfId="0" applyFont="1" applyFill="1" applyBorder="1" applyAlignment="1">
      <alignment wrapText="1"/>
    </xf>
    <xf numFmtId="0" fontId="13" fillId="32" borderId="10" xfId="0" applyFont="1" applyFill="1" applyBorder="1" applyAlignment="1">
      <alignment vertical="top" wrapText="1" shrinkToFit="1"/>
    </xf>
    <xf numFmtId="0" fontId="10" fillId="32" borderId="10" xfId="0" applyFont="1" applyFill="1" applyBorder="1" applyAlignment="1">
      <alignment vertical="top" wrapText="1" shrinkToFit="1"/>
    </xf>
    <xf numFmtId="0" fontId="10" fillId="32" borderId="10" xfId="0" applyFont="1" applyFill="1" applyBorder="1" applyAlignment="1">
      <alignment wrapText="1" shrinkToFit="1"/>
    </xf>
    <xf numFmtId="0" fontId="10" fillId="32" borderId="10" xfId="55" applyFont="1" applyFill="1" applyBorder="1" applyAlignment="1">
      <alignment horizontal="left" vertical="top" wrapText="1"/>
      <protection/>
    </xf>
    <xf numFmtId="0" fontId="10" fillId="32" borderId="10" xfId="0" applyFont="1" applyFill="1" applyBorder="1" applyAlignment="1">
      <alignment horizontal="right" vertical="center" wrapText="1"/>
    </xf>
    <xf numFmtId="0" fontId="13" fillId="32" borderId="10" xfId="0" applyFont="1" applyFill="1" applyBorder="1" applyAlignment="1">
      <alignment horizontal="right" vertical="top"/>
    </xf>
    <xf numFmtId="0" fontId="10" fillId="32" borderId="10" xfId="0" applyFont="1" applyFill="1" applyBorder="1" applyAlignment="1">
      <alignment horizontal="right" wrapText="1"/>
    </xf>
    <xf numFmtId="0" fontId="13" fillId="32" borderId="10" xfId="0" applyFont="1" applyFill="1" applyBorder="1" applyAlignment="1">
      <alignment horizontal="right"/>
    </xf>
    <xf numFmtId="49" fontId="10" fillId="32" borderId="10" xfId="55" applyNumberFormat="1" applyFont="1" applyFill="1" applyBorder="1" applyAlignment="1">
      <alignment horizontal="left" vertical="top" wrapText="1"/>
      <protection/>
    </xf>
    <xf numFmtId="0" fontId="10" fillId="32" borderId="10" xfId="56" applyFont="1" applyFill="1" applyBorder="1" applyAlignment="1">
      <alignment wrapText="1"/>
      <protection/>
    </xf>
    <xf numFmtId="0" fontId="10" fillId="0" borderId="10" xfId="56" applyFont="1" applyFill="1" applyBorder="1" applyAlignment="1">
      <alignment wrapText="1"/>
      <protection/>
    </xf>
    <xf numFmtId="0" fontId="10" fillId="0" borderId="10" xfId="56" applyFont="1" applyBorder="1" applyAlignment="1">
      <alignment wrapText="1"/>
      <protection/>
    </xf>
    <xf numFmtId="0" fontId="13" fillId="32" borderId="10" xfId="0" applyFont="1" applyFill="1" applyBorder="1" applyAlignment="1">
      <alignment vertical="top" wrapText="1"/>
    </xf>
    <xf numFmtId="0" fontId="10" fillId="32" borderId="0" xfId="0" applyFont="1" applyFill="1" applyAlignment="1">
      <alignment horizontal="left"/>
    </xf>
    <xf numFmtId="0" fontId="13" fillId="32" borderId="10" xfId="0" applyFont="1" applyFill="1" applyBorder="1" applyAlignment="1">
      <alignment horizontal="center" wrapText="1"/>
    </xf>
    <xf numFmtId="0" fontId="13" fillId="32" borderId="10" xfId="0" applyFont="1" applyFill="1" applyBorder="1" applyAlignment="1">
      <alignment horizontal="center" vertical="top" wrapText="1"/>
    </xf>
    <xf numFmtId="178" fontId="13" fillId="32" borderId="10" xfId="0" applyNumberFormat="1" applyFont="1" applyFill="1" applyBorder="1" applyAlignment="1">
      <alignment horizontal="justify" vertical="top" wrapText="1"/>
    </xf>
    <xf numFmtId="178" fontId="15" fillId="32" borderId="10" xfId="0" applyNumberFormat="1" applyFont="1" applyFill="1" applyBorder="1" applyAlignment="1">
      <alignment horizontal="center"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78" fontId="13" fillId="33" borderId="10" xfId="0" applyNumberFormat="1" applyFont="1" applyFill="1" applyBorder="1" applyAlignment="1">
      <alignment horizontal="justify" vertical="top" wrapText="1"/>
    </xf>
    <xf numFmtId="178" fontId="13" fillId="33" borderId="10" xfId="0" applyNumberFormat="1" applyFont="1" applyFill="1" applyBorder="1" applyAlignment="1">
      <alignment horizontal="center" vertical="top" wrapText="1"/>
    </xf>
    <xf numFmtId="178" fontId="10" fillId="32" borderId="0" xfId="0" applyNumberFormat="1" applyFont="1" applyFill="1" applyAlignment="1">
      <alignment/>
    </xf>
    <xf numFmtId="178" fontId="13" fillId="32" borderId="10" xfId="0" applyNumberFormat="1" applyFont="1" applyFill="1" applyBorder="1" applyAlignment="1">
      <alignment horizontal="center" vertical="top" wrapText="1"/>
    </xf>
    <xf numFmtId="0" fontId="10" fillId="32" borderId="10" xfId="0" applyFont="1" applyFill="1" applyBorder="1" applyAlignment="1">
      <alignment/>
    </xf>
    <xf numFmtId="176" fontId="10" fillId="32" borderId="10" xfId="0" applyNumberFormat="1" applyFont="1" applyFill="1" applyBorder="1" applyAlignment="1">
      <alignment/>
    </xf>
    <xf numFmtId="0" fontId="10" fillId="32" borderId="10" xfId="0" applyFont="1" applyFill="1" applyBorder="1" applyAlignment="1">
      <alignment horizontal="justify" vertical="top" wrapText="1"/>
    </xf>
    <xf numFmtId="4" fontId="10" fillId="32" borderId="10" xfId="0" applyNumberFormat="1" applyFont="1" applyFill="1" applyBorder="1" applyAlignment="1">
      <alignment horizontal="center" vertical="top" wrapText="1"/>
    </xf>
    <xf numFmtId="4" fontId="13" fillId="32" borderId="10" xfId="0" applyNumberFormat="1" applyFont="1" applyFill="1" applyBorder="1" applyAlignment="1">
      <alignment horizontal="center" vertical="top" wrapText="1"/>
    </xf>
    <xf numFmtId="3" fontId="10" fillId="32" borderId="10" xfId="0" applyNumberFormat="1" applyFont="1" applyFill="1" applyBorder="1" applyAlignment="1">
      <alignment horizontal="center" vertical="top" wrapText="1"/>
    </xf>
    <xf numFmtId="178" fontId="10" fillId="32" borderId="10" xfId="0" applyNumberFormat="1" applyFont="1" applyFill="1" applyBorder="1" applyAlignment="1">
      <alignment horizontal="center" vertical="top" wrapText="1"/>
    </xf>
    <xf numFmtId="0" fontId="10" fillId="32" borderId="10" xfId="0" applyFont="1" applyFill="1" applyBorder="1" applyAlignment="1">
      <alignment horizontal="center" vertical="top" wrapText="1"/>
    </xf>
    <xf numFmtId="0" fontId="10" fillId="32" borderId="0" xfId="0" applyFont="1" applyFill="1" applyAlignment="1">
      <alignment vertical="center"/>
    </xf>
    <xf numFmtId="0" fontId="10" fillId="32" borderId="10" xfId="58" applyFont="1" applyFill="1" applyBorder="1" applyAlignment="1">
      <alignment horizontal="center" vertical="center" wrapText="1"/>
      <protection/>
    </xf>
    <xf numFmtId="1" fontId="10" fillId="32" borderId="10" xfId="0" applyNumberFormat="1" applyFont="1" applyFill="1" applyBorder="1" applyAlignment="1">
      <alignment horizontal="center" vertical="top" wrapText="1"/>
    </xf>
    <xf numFmtId="176"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wrapText="1"/>
    </xf>
    <xf numFmtId="176" fontId="10" fillId="32" borderId="10" xfId="0" applyNumberFormat="1" applyFont="1" applyFill="1" applyBorder="1" applyAlignment="1">
      <alignment horizontal="center" wrapText="1"/>
    </xf>
    <xf numFmtId="1" fontId="10" fillId="32" borderId="10" xfId="56" applyNumberFormat="1" applyFont="1" applyFill="1" applyBorder="1" applyAlignment="1">
      <alignment horizontal="center" wrapText="1"/>
      <protection/>
    </xf>
    <xf numFmtId="176" fontId="10" fillId="32" borderId="10" xfId="56" applyNumberFormat="1" applyFont="1" applyFill="1" applyBorder="1" applyAlignment="1">
      <alignment horizontal="center" wrapText="1"/>
      <protection/>
    </xf>
    <xf numFmtId="2" fontId="10" fillId="32" borderId="10" xfId="0" applyNumberFormat="1" applyFont="1" applyFill="1" applyBorder="1" applyAlignment="1">
      <alignment/>
    </xf>
    <xf numFmtId="1" fontId="10" fillId="32" borderId="10" xfId="0" applyNumberFormat="1" applyFont="1" applyFill="1" applyBorder="1" applyAlignment="1">
      <alignment horizontal="left" vertical="top" wrapText="1"/>
    </xf>
    <xf numFmtId="0" fontId="13" fillId="34" borderId="10" xfId="0" applyFont="1" applyFill="1" applyBorder="1" applyAlignment="1">
      <alignment horizontal="right"/>
    </xf>
    <xf numFmtId="0" fontId="10" fillId="32" borderId="10" xfId="0" applyFont="1" applyFill="1" applyBorder="1" applyAlignment="1">
      <alignment horizontal="left"/>
    </xf>
    <xf numFmtId="0" fontId="18" fillId="32" borderId="10" xfId="0" applyFont="1" applyFill="1" applyBorder="1" applyAlignment="1">
      <alignment/>
    </xf>
    <xf numFmtId="0" fontId="13" fillId="35" borderId="10" xfId="0" applyFont="1" applyFill="1" applyBorder="1" applyAlignment="1">
      <alignment horizontal="right" vertical="top"/>
    </xf>
    <xf numFmtId="178" fontId="10" fillId="32" borderId="10" xfId="0" applyNumberFormat="1" applyFont="1" applyFill="1" applyBorder="1" applyAlignment="1">
      <alignment horizontal="left"/>
    </xf>
    <xf numFmtId="176" fontId="13" fillId="33" borderId="10" xfId="0" applyNumberFormat="1" applyFont="1" applyFill="1" applyBorder="1" applyAlignment="1">
      <alignment/>
    </xf>
    <xf numFmtId="176" fontId="13" fillId="33" borderId="10" xfId="56" applyNumberFormat="1" applyFont="1" applyFill="1" applyBorder="1" applyAlignment="1">
      <alignment horizontal="center" wrapText="1"/>
      <protection/>
    </xf>
    <xf numFmtId="0" fontId="13" fillId="33" borderId="12" xfId="55" applyFont="1" applyFill="1" applyBorder="1" applyAlignment="1">
      <alignment horizontal="left" vertical="top" wrapText="1"/>
      <protection/>
    </xf>
    <xf numFmtId="0" fontId="10" fillId="33" borderId="10" xfId="0" applyFont="1" applyFill="1" applyBorder="1" applyAlignment="1">
      <alignment/>
    </xf>
    <xf numFmtId="0" fontId="13" fillId="33" borderId="14" xfId="55" applyFont="1" applyFill="1" applyBorder="1" applyAlignment="1">
      <alignment horizontal="left" vertical="top" wrapText="1"/>
      <protection/>
    </xf>
    <xf numFmtId="176" fontId="13" fillId="33" borderId="15" xfId="0" applyNumberFormat="1" applyFont="1" applyFill="1" applyBorder="1" applyAlignment="1">
      <alignment/>
    </xf>
    <xf numFmtId="176" fontId="13" fillId="33" borderId="15" xfId="56" applyNumberFormat="1" applyFont="1" applyFill="1" applyBorder="1" applyAlignment="1">
      <alignment horizontal="center" wrapText="1"/>
      <protection/>
    </xf>
    <xf numFmtId="0" fontId="13" fillId="33" borderId="12" xfId="0" applyFont="1" applyFill="1" applyBorder="1" applyAlignment="1">
      <alignment/>
    </xf>
    <xf numFmtId="0" fontId="13" fillId="33" borderId="13" xfId="0" applyFont="1" applyFill="1" applyBorder="1" applyAlignment="1">
      <alignment/>
    </xf>
    <xf numFmtId="0" fontId="13" fillId="33" borderId="11" xfId="0" applyFont="1" applyFill="1" applyBorder="1" applyAlignment="1">
      <alignment/>
    </xf>
    <xf numFmtId="0" fontId="13" fillId="33" borderId="16" xfId="0" applyFont="1" applyFill="1" applyBorder="1" applyAlignment="1">
      <alignment/>
    </xf>
    <xf numFmtId="0" fontId="10" fillId="33" borderId="0" xfId="0" applyFont="1" applyFill="1" applyBorder="1" applyAlignment="1">
      <alignment/>
    </xf>
    <xf numFmtId="0" fontId="10" fillId="33" borderId="17" xfId="0" applyFont="1" applyFill="1" applyBorder="1" applyAlignment="1">
      <alignment/>
    </xf>
    <xf numFmtId="0" fontId="13" fillId="32" borderId="10" xfId="0" applyFont="1" applyFill="1" applyBorder="1" applyAlignment="1">
      <alignment horizontal="center" vertical="top"/>
    </xf>
    <xf numFmtId="0" fontId="10" fillId="32" borderId="10" xfId="0" applyFont="1" applyFill="1" applyBorder="1" applyAlignment="1">
      <alignment horizontal="center" vertical="center" wrapText="1"/>
    </xf>
    <xf numFmtId="176" fontId="10" fillId="32" borderId="10" xfId="0" applyNumberFormat="1" applyFont="1" applyFill="1" applyBorder="1" applyAlignment="1">
      <alignment horizontal="left" vertical="top" wrapText="1"/>
    </xf>
    <xf numFmtId="16" fontId="10" fillId="32" borderId="10" xfId="0" applyNumberFormat="1" applyFont="1" applyFill="1" applyBorder="1" applyAlignment="1">
      <alignment horizontal="left" vertical="top" wrapText="1"/>
    </xf>
    <xf numFmtId="176" fontId="13" fillId="32" borderId="10" xfId="0" applyNumberFormat="1" applyFont="1" applyFill="1" applyBorder="1" applyAlignment="1">
      <alignment horizontal="left" vertical="top" wrapText="1"/>
    </xf>
    <xf numFmtId="0" fontId="13" fillId="32" borderId="10" xfId="57" applyFont="1" applyFill="1" applyBorder="1" applyAlignment="1">
      <alignment horizontal="center" vertical="top" wrapText="1"/>
      <protection/>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16" fontId="10" fillId="32" borderId="10" xfId="0" applyNumberFormat="1" applyFont="1" applyFill="1" applyBorder="1" applyAlignment="1">
      <alignment horizontal="justify" vertical="top"/>
    </xf>
    <xf numFmtId="49" fontId="13" fillId="32" borderId="10" xfId="0" applyNumberFormat="1" applyFont="1" applyFill="1" applyBorder="1" applyAlignment="1">
      <alignment horizontal="left" vertical="top" wrapText="1"/>
    </xf>
    <xf numFmtId="49" fontId="10" fillId="32" borderId="10" xfId="0" applyNumberFormat="1" applyFont="1" applyFill="1" applyBorder="1" applyAlignment="1">
      <alignment horizontal="left" vertical="top" wrapText="1"/>
    </xf>
    <xf numFmtId="0" fontId="13" fillId="32" borderId="15" xfId="0" applyFont="1" applyFill="1" applyBorder="1" applyAlignment="1">
      <alignment horizontal="left" vertical="top"/>
    </xf>
    <xf numFmtId="0" fontId="10" fillId="32" borderId="10" xfId="0" applyNumberFormat="1" applyFont="1" applyFill="1" applyBorder="1" applyAlignment="1">
      <alignment vertical="top" wrapText="1"/>
    </xf>
    <xf numFmtId="0" fontId="10" fillId="32" borderId="10" xfId="0" applyFont="1" applyFill="1" applyBorder="1" applyAlignment="1">
      <alignment vertical="top"/>
    </xf>
    <xf numFmtId="0" fontId="13" fillId="32" borderId="18" xfId="0" applyFont="1" applyFill="1" applyBorder="1" applyAlignment="1">
      <alignment horizontal="left" vertical="top"/>
    </xf>
    <xf numFmtId="0" fontId="13" fillId="32" borderId="19" xfId="0" applyFont="1" applyFill="1" applyBorder="1" applyAlignment="1">
      <alignment horizontal="left" vertical="top"/>
    </xf>
    <xf numFmtId="0" fontId="13" fillId="32" borderId="20" xfId="0" applyFont="1" applyFill="1" applyBorder="1" applyAlignment="1">
      <alignment horizontal="left" vertical="top"/>
    </xf>
    <xf numFmtId="0" fontId="13" fillId="32" borderId="10" xfId="0" applyFont="1" applyFill="1" applyBorder="1" applyAlignment="1">
      <alignment horizontal="left" vertical="top"/>
    </xf>
    <xf numFmtId="0" fontId="13" fillId="32" borderId="13" xfId="0" applyFont="1" applyFill="1" applyBorder="1" applyAlignment="1">
      <alignment horizontal="left" vertical="top"/>
    </xf>
    <xf numFmtId="0" fontId="13" fillId="32" borderId="10" xfId="0" applyFont="1" applyFill="1" applyBorder="1" applyAlignment="1">
      <alignment vertical="top"/>
    </xf>
    <xf numFmtId="0" fontId="10" fillId="32" borderId="21" xfId="0" applyFont="1" applyFill="1" applyBorder="1" applyAlignment="1">
      <alignment vertical="top" wrapText="1"/>
    </xf>
    <xf numFmtId="2" fontId="13" fillId="32" borderId="10" xfId="0" applyNumberFormat="1" applyFont="1" applyFill="1" applyBorder="1" applyAlignment="1">
      <alignment horizontal="left" vertical="top" wrapText="1"/>
    </xf>
    <xf numFmtId="0" fontId="1" fillId="32" borderId="10" xfId="0" applyFont="1" applyFill="1" applyBorder="1" applyAlignment="1">
      <alignment horizontal="center" vertical="center" wrapText="1"/>
    </xf>
    <xf numFmtId="0" fontId="10" fillId="32" borderId="10" xfId="0" applyFont="1" applyFill="1" applyBorder="1" applyAlignment="1">
      <alignment horizontal="left" vertical="top" wrapText="1"/>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0" fontId="13" fillId="32" borderId="10" xfId="0" applyFont="1" applyFill="1" applyBorder="1" applyAlignment="1">
      <alignment horizontal="left" vertical="top" wrapText="1"/>
    </xf>
    <xf numFmtId="0" fontId="13" fillId="32" borderId="10" xfId="0" applyFont="1" applyFill="1" applyBorder="1" applyAlignment="1">
      <alignment vertical="top" wrapText="1"/>
    </xf>
    <xf numFmtId="0" fontId="10" fillId="32" borderId="10" xfId="0" applyFont="1" applyFill="1" applyBorder="1" applyAlignment="1">
      <alignment vertical="top" wrapText="1"/>
    </xf>
    <xf numFmtId="0" fontId="13" fillId="32" borderId="15" xfId="0" applyFont="1" applyFill="1" applyBorder="1" applyAlignment="1">
      <alignment horizontal="left" vertical="top" wrapText="1"/>
    </xf>
    <xf numFmtId="0" fontId="3" fillId="0" borderId="0" xfId="0" applyFont="1" applyAlignment="1">
      <alignment horizontal="left"/>
    </xf>
    <xf numFmtId="0" fontId="13" fillId="32" borderId="0" xfId="0" applyFont="1" applyFill="1" applyBorder="1" applyAlignment="1">
      <alignment horizontal="left" vertical="top"/>
    </xf>
    <xf numFmtId="0" fontId="1" fillId="0" borderId="14" xfId="0" applyFont="1" applyBorder="1" applyAlignment="1">
      <alignment horizontal="center" wrapText="1"/>
    </xf>
    <xf numFmtId="0" fontId="1" fillId="0" borderId="22" xfId="0" applyFont="1" applyBorder="1" applyAlignment="1">
      <alignment horizontal="center" wrapText="1"/>
    </xf>
    <xf numFmtId="0" fontId="3" fillId="0" borderId="10" xfId="0" applyFont="1" applyBorder="1" applyAlignment="1">
      <alignment horizontal="left" vertical="top" wrapText="1"/>
    </xf>
    <xf numFmtId="0" fontId="3" fillId="32" borderId="10" xfId="0" applyFont="1" applyFill="1" applyBorder="1" applyAlignment="1">
      <alignment horizontal="left" vertical="top" wrapText="1"/>
    </xf>
    <xf numFmtId="0" fontId="3" fillId="0" borderId="0" xfId="57" applyFont="1" applyFill="1" applyAlignment="1">
      <alignment horizontal="left"/>
      <protection/>
    </xf>
    <xf numFmtId="0" fontId="3" fillId="0" borderId="0" xfId="0" applyFont="1" applyAlignment="1">
      <alignment horizontal="left" wrapText="1"/>
    </xf>
    <xf numFmtId="0" fontId="3" fillId="0" borderId="0" xfId="0" applyFont="1" applyAlignment="1">
      <alignment horizontal="left"/>
    </xf>
    <xf numFmtId="0" fontId="1" fillId="0" borderId="12"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8" xfId="0" applyFont="1" applyBorder="1" applyAlignment="1">
      <alignment horizontal="center" vertical="top" wrapText="1"/>
    </xf>
    <xf numFmtId="0" fontId="1" fillId="0" borderId="20" xfId="0" applyFont="1" applyBorder="1" applyAlignment="1">
      <alignment horizontal="center" vertical="top"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3" fillId="32" borderId="10" xfId="0" applyFont="1" applyFill="1" applyBorder="1" applyAlignment="1">
      <alignment horizontal="left" vertical="top"/>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0" fontId="10" fillId="32" borderId="10" xfId="0" applyFont="1" applyFill="1" applyBorder="1" applyAlignment="1">
      <alignment horizontal="center" vertical="center" wrapText="1"/>
    </xf>
    <xf numFmtId="0" fontId="13" fillId="32" borderId="10" xfId="57" applyFont="1" applyFill="1" applyBorder="1" applyAlignment="1">
      <alignment horizontal="center" vertical="top" wrapText="1"/>
      <protection/>
    </xf>
    <xf numFmtId="0" fontId="10" fillId="32" borderId="10" xfId="0" applyFont="1" applyFill="1" applyBorder="1" applyAlignment="1">
      <alignment horizontal="center" vertical="top" wrapText="1"/>
    </xf>
    <xf numFmtId="0" fontId="13" fillId="32" borderId="14" xfId="0" applyFont="1" applyFill="1" applyBorder="1" applyAlignment="1">
      <alignment horizontal="left" vertical="top"/>
    </xf>
    <xf numFmtId="0" fontId="13" fillId="32" borderId="23" xfId="0" applyFont="1" applyFill="1" applyBorder="1" applyAlignment="1">
      <alignment horizontal="left" vertical="top"/>
    </xf>
    <xf numFmtId="0" fontId="13" fillId="32" borderId="22" xfId="0" applyFont="1" applyFill="1" applyBorder="1" applyAlignment="1">
      <alignment horizontal="left" vertical="top"/>
    </xf>
    <xf numFmtId="0" fontId="13" fillId="32" borderId="16" xfId="0" applyFont="1" applyFill="1" applyBorder="1" applyAlignment="1">
      <alignment horizontal="left" vertical="top"/>
    </xf>
    <xf numFmtId="0" fontId="13" fillId="32" borderId="0"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9" xfId="0" applyFont="1" applyFill="1" applyBorder="1" applyAlignment="1">
      <alignment horizontal="left" vertical="top"/>
    </xf>
    <xf numFmtId="0" fontId="13" fillId="32" borderId="20" xfId="0" applyFont="1" applyFill="1" applyBorder="1" applyAlignment="1">
      <alignment horizontal="left" vertical="top"/>
    </xf>
    <xf numFmtId="0" fontId="13" fillId="33" borderId="10" xfId="0" applyFont="1" applyFill="1" applyBorder="1" applyAlignment="1">
      <alignment horizontal="center"/>
    </xf>
    <xf numFmtId="0" fontId="13" fillId="32" borderId="10" xfId="0" applyFont="1" applyFill="1" applyBorder="1" applyAlignment="1">
      <alignment horizontal="left" vertical="top" wrapText="1"/>
    </xf>
    <xf numFmtId="0" fontId="13" fillId="33" borderId="10" xfId="0" applyFont="1" applyFill="1" applyBorder="1" applyAlignment="1">
      <alignment horizontal="center" vertical="center"/>
    </xf>
    <xf numFmtId="0" fontId="13" fillId="32" borderId="10" xfId="57" applyFont="1" applyFill="1" applyBorder="1" applyAlignment="1">
      <alignment horizontal="left" vertical="top" wrapText="1"/>
      <protection/>
    </xf>
    <xf numFmtId="0" fontId="10" fillId="32" borderId="10" xfId="0" applyFont="1" applyFill="1" applyBorder="1" applyAlignment="1">
      <alignment horizontal="left" vertical="center" wrapText="1"/>
    </xf>
    <xf numFmtId="0" fontId="13" fillId="32" borderId="10" xfId="0" applyFont="1" applyFill="1" applyBorder="1" applyAlignment="1">
      <alignment vertical="top" wrapText="1"/>
    </xf>
    <xf numFmtId="0" fontId="13" fillId="32" borderId="10" xfId="0" applyFont="1" applyFill="1" applyBorder="1" applyAlignment="1">
      <alignment horizontal="center" vertical="top"/>
    </xf>
    <xf numFmtId="0" fontId="13" fillId="32" borderId="15" xfId="0" applyFont="1" applyFill="1" applyBorder="1" applyAlignment="1">
      <alignment horizontal="center" vertical="top"/>
    </xf>
    <xf numFmtId="0" fontId="13" fillId="32" borderId="24" xfId="0" applyFont="1" applyFill="1" applyBorder="1" applyAlignment="1">
      <alignment horizontal="center" vertical="top"/>
    </xf>
    <xf numFmtId="0" fontId="13" fillId="32" borderId="21" xfId="0" applyFont="1" applyFill="1" applyBorder="1" applyAlignment="1">
      <alignment horizontal="center" vertical="top"/>
    </xf>
    <xf numFmtId="0" fontId="11" fillId="32" borderId="0" xfId="0" applyFont="1" applyFill="1" applyAlignment="1">
      <alignment horizontal="center" vertical="center"/>
    </xf>
    <xf numFmtId="0" fontId="13" fillId="33" borderId="10" xfId="57"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10" fillId="32" borderId="10" xfId="0" applyFont="1" applyFill="1" applyBorder="1" applyAlignment="1">
      <alignment/>
    </xf>
    <xf numFmtId="0" fontId="58" fillId="32" borderId="0" xfId="0" applyFont="1" applyFill="1" applyAlignment="1">
      <alignment horizontal="center" vertical="center"/>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10" xfId="0" applyFont="1" applyFill="1" applyBorder="1" applyAlignment="1">
      <alignment horizontal="center" vertical="top"/>
    </xf>
    <xf numFmtId="0" fontId="1" fillId="32" borderId="10" xfId="0" applyFont="1" applyFill="1" applyBorder="1" applyAlignment="1">
      <alignment horizontal="center" wrapText="1"/>
    </xf>
    <xf numFmtId="0" fontId="10" fillId="32" borderId="15" xfId="0" applyFont="1" applyFill="1" applyBorder="1" applyAlignment="1">
      <alignment horizontal="left" vertical="top" wrapText="1"/>
    </xf>
    <xf numFmtId="0" fontId="10" fillId="32" borderId="24" xfId="0" applyFont="1" applyFill="1" applyBorder="1" applyAlignment="1">
      <alignment horizontal="left" vertical="top" wrapText="1"/>
    </xf>
    <xf numFmtId="0" fontId="10" fillId="32" borderId="21" xfId="0" applyFont="1" applyFill="1" applyBorder="1" applyAlignment="1">
      <alignment horizontal="left" vertical="top" wrapText="1"/>
    </xf>
    <xf numFmtId="0" fontId="10" fillId="32" borderId="15"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21" xfId="0" applyFont="1" applyFill="1" applyBorder="1" applyAlignment="1">
      <alignment horizontal="center" vertical="center" wrapText="1"/>
    </xf>
    <xf numFmtId="0" fontId="10" fillId="32" borderId="15" xfId="57" applyFont="1" applyFill="1" applyBorder="1" applyAlignment="1">
      <alignment horizontal="center" vertical="top" wrapText="1"/>
      <protection/>
    </xf>
    <xf numFmtId="0" fontId="10" fillId="32" borderId="24" xfId="57" applyFont="1" applyFill="1" applyBorder="1" applyAlignment="1">
      <alignment horizontal="center" vertical="top" wrapText="1"/>
      <protection/>
    </xf>
    <xf numFmtId="0" fontId="10" fillId="32" borderId="21" xfId="57" applyFont="1" applyFill="1" applyBorder="1" applyAlignment="1">
      <alignment horizontal="center" vertical="top" wrapText="1"/>
      <protection/>
    </xf>
    <xf numFmtId="0" fontId="13" fillId="32" borderId="15" xfId="0" applyFont="1" applyFill="1" applyBorder="1" applyAlignment="1">
      <alignment horizontal="left" vertical="top" wrapText="1"/>
    </xf>
    <xf numFmtId="0" fontId="13" fillId="32" borderId="24" xfId="0" applyFont="1" applyFill="1" applyBorder="1" applyAlignment="1">
      <alignment horizontal="left" vertical="top" wrapText="1"/>
    </xf>
    <xf numFmtId="0" fontId="13" fillId="32" borderId="21" xfId="0" applyFont="1" applyFill="1" applyBorder="1" applyAlignment="1">
      <alignment horizontal="left" vertical="top" wrapText="1"/>
    </xf>
    <xf numFmtId="0" fontId="13" fillId="33" borderId="12" xfId="0" applyFont="1" applyFill="1" applyBorder="1" applyAlignment="1">
      <alignment horizontal="center"/>
    </xf>
    <xf numFmtId="0" fontId="13" fillId="33" borderId="13" xfId="0" applyFont="1" applyFill="1" applyBorder="1" applyAlignment="1">
      <alignment horizontal="center"/>
    </xf>
    <xf numFmtId="0" fontId="13" fillId="33" borderId="11" xfId="0" applyFont="1" applyFill="1" applyBorder="1" applyAlignment="1">
      <alignment horizontal="center"/>
    </xf>
    <xf numFmtId="0" fontId="13" fillId="32" borderId="15" xfId="0" applyFont="1" applyFill="1" applyBorder="1" applyAlignment="1">
      <alignment horizontal="left" vertical="top"/>
    </xf>
    <xf numFmtId="0" fontId="13" fillId="32" borderId="21" xfId="0" applyFont="1" applyFill="1" applyBorder="1" applyAlignment="1">
      <alignment horizontal="left" vertical="top"/>
    </xf>
    <xf numFmtId="0" fontId="10" fillId="32" borderId="15" xfId="0" applyFont="1" applyFill="1" applyBorder="1" applyAlignment="1">
      <alignment horizontal="left" vertical="center" wrapText="1"/>
    </xf>
    <xf numFmtId="0" fontId="10" fillId="32" borderId="21" xfId="0" applyFont="1" applyFill="1" applyBorder="1" applyAlignment="1">
      <alignment horizontal="left" vertical="center" wrapText="1"/>
    </xf>
    <xf numFmtId="0" fontId="10" fillId="32" borderId="15" xfId="57" applyFont="1" applyFill="1" applyBorder="1" applyAlignment="1">
      <alignment horizontal="left" vertical="center" wrapText="1"/>
      <protection/>
    </xf>
    <xf numFmtId="0" fontId="10" fillId="32" borderId="21" xfId="57" applyFont="1" applyFill="1" applyBorder="1" applyAlignment="1">
      <alignment horizontal="left" vertical="center" wrapText="1"/>
      <protection/>
    </xf>
    <xf numFmtId="0" fontId="13" fillId="33" borderId="12" xfId="0" applyFont="1" applyFill="1" applyBorder="1" applyAlignment="1">
      <alignment horizontal="center" wrapText="1"/>
    </xf>
    <xf numFmtId="0" fontId="10" fillId="32" borderId="15" xfId="0" applyFont="1" applyFill="1" applyBorder="1" applyAlignment="1">
      <alignment horizontal="center" vertical="top" wrapText="1"/>
    </xf>
    <xf numFmtId="0" fontId="10" fillId="32" borderId="21" xfId="0" applyFont="1" applyFill="1" applyBorder="1" applyAlignment="1">
      <alignment horizontal="center" vertical="top" wrapText="1"/>
    </xf>
    <xf numFmtId="178" fontId="13" fillId="32" borderId="12" xfId="0" applyNumberFormat="1" applyFont="1" applyFill="1" applyBorder="1" applyAlignment="1">
      <alignment horizontal="center" vertical="top" wrapText="1"/>
    </xf>
    <xf numFmtId="178" fontId="13" fillId="32" borderId="13" xfId="0" applyNumberFormat="1" applyFont="1" applyFill="1" applyBorder="1" applyAlignment="1">
      <alignment horizontal="center" vertical="top" wrapText="1"/>
    </xf>
    <xf numFmtId="178" fontId="13" fillId="32" borderId="11" xfId="0" applyNumberFormat="1" applyFont="1" applyFill="1" applyBorder="1" applyAlignment="1">
      <alignment horizontal="center" vertical="top" wrapText="1"/>
    </xf>
    <xf numFmtId="0" fontId="13" fillId="32" borderId="10" xfId="0" applyFont="1" applyFill="1" applyBorder="1" applyAlignment="1">
      <alignment horizontal="left"/>
    </xf>
    <xf numFmtId="0" fontId="13" fillId="32" borderId="10" xfId="0" applyFont="1" applyFill="1" applyBorder="1" applyAlignment="1">
      <alignment horizontal="left" wrapText="1"/>
    </xf>
    <xf numFmtId="0" fontId="13" fillId="33" borderId="10" xfId="0" applyFont="1" applyFill="1" applyBorder="1" applyAlignment="1">
      <alignment horizontal="left"/>
    </xf>
    <xf numFmtId="0" fontId="10" fillId="32" borderId="10" xfId="0" applyFont="1" applyFill="1" applyBorder="1" applyAlignment="1">
      <alignment horizontal="left"/>
    </xf>
    <xf numFmtId="0" fontId="18" fillId="32" borderId="10" xfId="0" applyFont="1" applyFill="1" applyBorder="1" applyAlignment="1">
      <alignment/>
    </xf>
    <xf numFmtId="0" fontId="63"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3" borderId="12" xfId="0" applyFont="1" applyFill="1" applyBorder="1" applyAlignment="1">
      <alignment horizontal="left" wrapText="1"/>
    </xf>
    <xf numFmtId="0" fontId="13" fillId="33" borderId="13" xfId="0" applyFont="1" applyFill="1" applyBorder="1" applyAlignment="1">
      <alignment horizontal="left" wrapText="1"/>
    </xf>
    <xf numFmtId="0" fontId="13" fillId="33" borderId="11" xfId="0" applyFont="1" applyFill="1" applyBorder="1" applyAlignment="1">
      <alignment horizontal="left" wrapText="1"/>
    </xf>
    <xf numFmtId="0" fontId="10" fillId="32" borderId="10" xfId="0" applyFont="1" applyFill="1" applyBorder="1" applyAlignment="1">
      <alignment horizontal="left" vertical="center"/>
    </xf>
    <xf numFmtId="0" fontId="13" fillId="32" borderId="10" xfId="0" applyFont="1" applyFill="1" applyBorder="1" applyAlignment="1">
      <alignment horizontal="center" wrapText="1"/>
    </xf>
    <xf numFmtId="0" fontId="10" fillId="32" borderId="10" xfId="0" applyFont="1" applyFill="1" applyBorder="1" applyAlignment="1">
      <alignment horizontal="left" wrapText="1"/>
    </xf>
    <xf numFmtId="0" fontId="10" fillId="32" borderId="0" xfId="0" applyFont="1" applyFill="1" applyAlignment="1">
      <alignment horizontal="left"/>
    </xf>
    <xf numFmtId="0" fontId="10" fillId="32" borderId="0" xfId="0" applyFont="1" applyFill="1" applyAlignment="1">
      <alignment horizontal="left" wrapText="1"/>
    </xf>
    <xf numFmtId="0" fontId="10" fillId="0" borderId="0" xfId="0" applyFont="1" applyAlignment="1">
      <alignment horizontal="left" wrapText="1"/>
    </xf>
    <xf numFmtId="0" fontId="13" fillId="32" borderId="0" xfId="0" applyFont="1" applyFill="1" applyAlignment="1">
      <alignment horizontal="center" vertical="center" wrapText="1"/>
    </xf>
    <xf numFmtId="0" fontId="13" fillId="32" borderId="12" xfId="0" applyFont="1" applyFill="1" applyBorder="1" applyAlignment="1">
      <alignment horizontal="left"/>
    </xf>
    <xf numFmtId="0" fontId="13" fillId="32" borderId="13" xfId="0" applyFont="1" applyFill="1" applyBorder="1" applyAlignment="1">
      <alignment horizontal="left"/>
    </xf>
    <xf numFmtId="0" fontId="13" fillId="32" borderId="11" xfId="0" applyFont="1" applyFill="1" applyBorder="1" applyAlignment="1">
      <alignment horizontal="left"/>
    </xf>
    <xf numFmtId="0" fontId="10" fillId="32" borderId="0" xfId="0" applyFont="1" applyFill="1" applyBorder="1" applyAlignment="1">
      <alignment wrapText="1"/>
    </xf>
    <xf numFmtId="2" fontId="10" fillId="32" borderId="0" xfId="0" applyNumberFormat="1" applyFont="1" applyFill="1" applyBorder="1" applyAlignment="1">
      <alignment/>
    </xf>
    <xf numFmtId="0" fontId="13" fillId="32" borderId="0" xfId="0" applyFont="1" applyFill="1" applyBorder="1" applyAlignment="1">
      <alignment horizontal="left" vertical="top" wrapText="1"/>
    </xf>
    <xf numFmtId="176" fontId="13" fillId="32" borderId="0" xfId="0" applyNumberFormat="1" applyFont="1" applyFill="1" applyBorder="1" applyAlignment="1">
      <alignment horizontal="left" vertical="top" wrapText="1"/>
    </xf>
    <xf numFmtId="0" fontId="10" fillId="32" borderId="0" xfId="0" applyFont="1" applyFill="1" applyBorder="1" applyAlignment="1">
      <alignment vertical="top" wrapText="1"/>
    </xf>
    <xf numFmtId="0" fontId="3" fillId="32" borderId="0" xfId="0" applyFont="1" applyFill="1" applyBorder="1" applyAlignment="1">
      <alignment horizontal="center" vertical="top"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29"/>
  <sheetViews>
    <sheetView view="pageBreakPreview" zoomScale="84" zoomScaleSheetLayoutView="84" zoomScalePageLayoutView="0" workbookViewId="0" topLeftCell="A13">
      <selection activeCell="B31" sqref="B31"/>
    </sheetView>
  </sheetViews>
  <sheetFormatPr defaultColWidth="9.140625" defaultRowHeight="12.75"/>
  <cols>
    <col min="1" max="1" width="40.8515625" style="1" customWidth="1"/>
    <col min="2" max="2" width="38.8515625" style="1" customWidth="1"/>
    <col min="3" max="3" width="52.140625" style="1" customWidth="1"/>
    <col min="4" max="4" width="9.140625" style="1" customWidth="1"/>
    <col min="5" max="5" width="37.421875" style="1" customWidth="1"/>
    <col min="6" max="16384" width="9.140625" style="1" customWidth="1"/>
  </cols>
  <sheetData>
    <row r="1" ht="18.75">
      <c r="C1" s="1" t="s">
        <v>2</v>
      </c>
    </row>
    <row r="2" spans="3:13" ht="123" customHeight="1">
      <c r="C2" s="4" t="s">
        <v>206</v>
      </c>
      <c r="F2" s="182"/>
      <c r="G2" s="182"/>
      <c r="H2" s="182"/>
      <c r="I2" s="2"/>
      <c r="J2" s="2"/>
      <c r="K2" s="2"/>
      <c r="L2" s="61"/>
      <c r="M2" s="61"/>
    </row>
    <row r="3" spans="3:13" ht="24" customHeight="1">
      <c r="C3" s="4" t="s">
        <v>287</v>
      </c>
      <c r="E3" s="63"/>
      <c r="F3" s="183"/>
      <c r="G3" s="183"/>
      <c r="H3" s="183"/>
      <c r="J3" s="61"/>
      <c r="K3" s="61"/>
      <c r="L3" s="61"/>
      <c r="M3" s="61"/>
    </row>
    <row r="4" spans="3:13" ht="30" customHeight="1">
      <c r="C4" s="4"/>
      <c r="E4" s="63"/>
      <c r="F4" s="62"/>
      <c r="G4" s="62"/>
      <c r="H4" s="62"/>
      <c r="J4" s="61"/>
      <c r="K4" s="61"/>
      <c r="L4" s="61"/>
      <c r="M4" s="61"/>
    </row>
    <row r="5" spans="1:13" ht="17.25" customHeight="1">
      <c r="A5" s="187" t="s">
        <v>27</v>
      </c>
      <c r="B5" s="187"/>
      <c r="C5" s="187"/>
      <c r="F5" s="184"/>
      <c r="G5" s="184"/>
      <c r="H5" s="184"/>
      <c r="I5" s="184"/>
      <c r="J5" s="184"/>
      <c r="K5" s="184"/>
      <c r="L5" s="184"/>
      <c r="M5" s="184"/>
    </row>
    <row r="6" spans="1:3" ht="17.25" customHeight="1">
      <c r="A6" s="187" t="s">
        <v>70</v>
      </c>
      <c r="B6" s="187"/>
      <c r="C6" s="187"/>
    </row>
    <row r="7" spans="1:3" ht="17.25" customHeight="1">
      <c r="A7" s="187" t="s">
        <v>36</v>
      </c>
      <c r="B7" s="187"/>
      <c r="C7" s="187"/>
    </row>
    <row r="8" ht="22.5" customHeight="1"/>
    <row r="9" spans="1:3" ht="37.5" customHeight="1">
      <c r="A9" s="190" t="s">
        <v>26</v>
      </c>
      <c r="B9" s="178" t="s">
        <v>28</v>
      </c>
      <c r="C9" s="179"/>
    </row>
    <row r="10" spans="1:3" ht="37.5" customHeight="1">
      <c r="A10" s="191"/>
      <c r="B10" s="188" t="s">
        <v>29</v>
      </c>
      <c r="C10" s="189"/>
    </row>
    <row r="11" spans="1:3" ht="18.75">
      <c r="A11" s="9">
        <v>1</v>
      </c>
      <c r="B11" s="185">
        <v>2</v>
      </c>
      <c r="C11" s="186"/>
    </row>
    <row r="12" spans="1:3" ht="49.5" customHeight="1">
      <c r="A12" s="7">
        <v>712010</v>
      </c>
      <c r="B12" s="180" t="s">
        <v>30</v>
      </c>
      <c r="C12" s="180"/>
    </row>
    <row r="13" spans="1:3" ht="49.5" customHeight="1">
      <c r="A13" s="7">
        <v>712030</v>
      </c>
      <c r="B13" s="180" t="s">
        <v>35</v>
      </c>
      <c r="C13" s="180"/>
    </row>
    <row r="14" spans="1:3" ht="49.5" customHeight="1">
      <c r="A14" s="8">
        <v>712100</v>
      </c>
      <c r="B14" s="180" t="s">
        <v>33</v>
      </c>
      <c r="C14" s="180"/>
    </row>
    <row r="15" spans="1:3" ht="49.5" customHeight="1">
      <c r="A15" s="8">
        <v>712151</v>
      </c>
      <c r="B15" s="180" t="s">
        <v>202</v>
      </c>
      <c r="C15" s="180"/>
    </row>
    <row r="16" spans="1:3" ht="49.5" customHeight="1">
      <c r="A16" s="8">
        <v>712152</v>
      </c>
      <c r="B16" s="180" t="s">
        <v>201</v>
      </c>
      <c r="C16" s="180"/>
    </row>
    <row r="17" spans="1:3" ht="49.5" customHeight="1">
      <c r="A17" s="8">
        <v>712144</v>
      </c>
      <c r="B17" s="181" t="s">
        <v>31</v>
      </c>
      <c r="C17" s="181"/>
    </row>
    <row r="18" spans="1:3" ht="49.5" customHeight="1">
      <c r="A18" s="8">
        <v>712146</v>
      </c>
      <c r="B18" s="181" t="s">
        <v>32</v>
      </c>
      <c r="C18" s="181"/>
    </row>
    <row r="19" spans="1:3" ht="57" customHeight="1">
      <c r="A19" s="8">
        <v>712111</v>
      </c>
      <c r="B19" s="180" t="s">
        <v>34</v>
      </c>
      <c r="C19" s="180"/>
    </row>
    <row r="20" spans="1:3" ht="41.25" customHeight="1">
      <c r="A20" s="66">
        <v>717363</v>
      </c>
      <c r="B20" s="181" t="s">
        <v>203</v>
      </c>
      <c r="C20" s="181"/>
    </row>
    <row r="21" spans="1:3" ht="41.25" customHeight="1">
      <c r="A21" s="66">
        <v>717640</v>
      </c>
      <c r="B21" s="181" t="s">
        <v>204</v>
      </c>
      <c r="C21" s="181"/>
    </row>
    <row r="22" spans="1:3" ht="41.25" customHeight="1">
      <c r="A22" s="66">
        <v>717700</v>
      </c>
      <c r="B22" s="181" t="s">
        <v>205</v>
      </c>
      <c r="C22" s="181"/>
    </row>
    <row r="23" spans="1:3" ht="14.25" customHeight="1">
      <c r="A23" s="278"/>
      <c r="B23" s="51"/>
      <c r="C23" s="51"/>
    </row>
    <row r="24" spans="1:3" ht="14.25" customHeight="1">
      <c r="A24" s="278"/>
      <c r="B24" s="51"/>
      <c r="C24" s="51"/>
    </row>
    <row r="25" spans="1:3" ht="14.25" customHeight="1">
      <c r="A25" s="278"/>
      <c r="B25" s="51"/>
      <c r="C25" s="51"/>
    </row>
    <row r="26" ht="14.25" customHeight="1"/>
    <row r="27" spans="1:8" ht="22.5" customHeight="1">
      <c r="A27" s="1" t="s">
        <v>288</v>
      </c>
      <c r="B27"/>
      <c r="C27" s="2" t="s">
        <v>289</v>
      </c>
      <c r="D27" s="3"/>
      <c r="F27" s="4"/>
      <c r="H27" s="6"/>
    </row>
    <row r="28" spans="1:8" ht="20.25" customHeight="1">
      <c r="A28" s="176" t="s">
        <v>13</v>
      </c>
      <c r="B28"/>
      <c r="C28" s="5"/>
      <c r="D28" s="3"/>
      <c r="F28" s="4"/>
      <c r="H28" s="6"/>
    </row>
    <row r="29" ht="18.75">
      <c r="A29" s="1" t="s">
        <v>242</v>
      </c>
    </row>
  </sheetData>
  <sheetProtection/>
  <mergeCells count="21">
    <mergeCell ref="B20:C20"/>
    <mergeCell ref="B19:C19"/>
    <mergeCell ref="B12:C12"/>
    <mergeCell ref="B13:C13"/>
    <mergeCell ref="B14:C14"/>
    <mergeCell ref="A7:C7"/>
    <mergeCell ref="B10:C10"/>
    <mergeCell ref="A9:A10"/>
    <mergeCell ref="B16:C16"/>
    <mergeCell ref="B17:C17"/>
    <mergeCell ref="B18:C18"/>
    <mergeCell ref="B9:C9"/>
    <mergeCell ref="B15:C15"/>
    <mergeCell ref="B21:C21"/>
    <mergeCell ref="B22:C22"/>
    <mergeCell ref="F2:H2"/>
    <mergeCell ref="F3:H3"/>
    <mergeCell ref="F5:M5"/>
    <mergeCell ref="B11:C11"/>
    <mergeCell ref="A5:C5"/>
    <mergeCell ref="A6:C6"/>
  </mergeCells>
  <printOptions/>
  <pageMargins left="0.7086614173228347" right="0.5118110236220472" top="0.9448818897637796" bottom="0.5511811023622047"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92D050"/>
  </sheetPr>
  <dimension ref="A1:Q138"/>
  <sheetViews>
    <sheetView view="pageBreakPreview" zoomScale="62" zoomScaleNormal="74" zoomScaleSheetLayoutView="62" zoomScalePageLayoutView="0" workbookViewId="0" topLeftCell="A1">
      <pane ySplit="10" topLeftCell="A118" activePane="bottomLeft" state="frozen"/>
      <selection pane="topLeft" activeCell="A1" sqref="A1"/>
      <selection pane="bottomLeft" activeCell="D135" sqref="D135"/>
    </sheetView>
  </sheetViews>
  <sheetFormatPr defaultColWidth="9.140625" defaultRowHeight="12.75"/>
  <cols>
    <col min="1" max="1" width="6.7109375" style="11" customWidth="1"/>
    <col min="2" max="2" width="27.421875" style="11" customWidth="1"/>
    <col min="3" max="3" width="65.7109375" style="12" customWidth="1"/>
    <col min="4" max="4" width="16.421875" style="13" customWidth="1"/>
    <col min="5" max="5" width="27.28125" style="11" customWidth="1"/>
    <col min="6" max="6" width="33.421875" style="16" customWidth="1"/>
    <col min="7" max="7" width="18.140625" style="16" customWidth="1"/>
    <col min="8" max="8" width="16.28125" style="16" customWidth="1"/>
    <col min="9" max="9" width="15.8515625" style="16" customWidth="1"/>
    <col min="10" max="10" width="14.7109375" style="16" customWidth="1"/>
    <col min="11" max="11" width="55.421875" style="18" customWidth="1"/>
    <col min="12" max="12" width="17.8515625" style="11" customWidth="1"/>
    <col min="13" max="13" width="15.421875" style="11" customWidth="1"/>
    <col min="14" max="14" width="12.140625" style="11" bestFit="1" customWidth="1"/>
    <col min="15" max="15" width="14.57421875" style="11" customWidth="1"/>
    <col min="16" max="16" width="13.28125" style="11" bestFit="1" customWidth="1"/>
    <col min="17" max="17" width="10.00390625" style="11" bestFit="1" customWidth="1"/>
    <col min="18" max="16384" width="9.140625" style="11" customWidth="1"/>
  </cols>
  <sheetData>
    <row r="1" spans="6:14" ht="23.25" customHeight="1">
      <c r="F1" s="14"/>
      <c r="G1" s="14"/>
      <c r="H1" s="14"/>
      <c r="I1" s="14"/>
      <c r="J1" s="14"/>
      <c r="K1" s="11" t="s">
        <v>11</v>
      </c>
      <c r="L1" s="15"/>
      <c r="M1" s="15"/>
      <c r="N1" s="15"/>
    </row>
    <row r="2" ht="123.75" customHeight="1">
      <c r="K2" s="16" t="s">
        <v>206</v>
      </c>
    </row>
    <row r="3" spans="1:11" ht="25.5" customHeight="1">
      <c r="A3" s="17"/>
      <c r="K3" s="4" t="s">
        <v>287</v>
      </c>
    </row>
    <row r="4" ht="45.75" customHeight="1">
      <c r="A4" s="17"/>
    </row>
    <row r="5" spans="1:11" ht="33.75" customHeight="1">
      <c r="A5" s="217" t="s">
        <v>71</v>
      </c>
      <c r="B5" s="217"/>
      <c r="C5" s="217"/>
      <c r="D5" s="217"/>
      <c r="E5" s="217"/>
      <c r="F5" s="217"/>
      <c r="G5" s="217"/>
      <c r="H5" s="217"/>
      <c r="I5" s="217"/>
      <c r="J5" s="217"/>
      <c r="K5" s="217"/>
    </row>
    <row r="6" spans="7:8" ht="44.25" customHeight="1">
      <c r="G6" s="59" t="s">
        <v>150</v>
      </c>
      <c r="H6" s="60">
        <f>H25+H45+H61+H85</f>
        <v>373.65</v>
      </c>
    </row>
    <row r="7" spans="1:11" ht="20.25" customHeight="1">
      <c r="A7" s="219" t="s">
        <v>3</v>
      </c>
      <c r="B7" s="219" t="s">
        <v>4</v>
      </c>
      <c r="C7" s="219" t="s">
        <v>5</v>
      </c>
      <c r="D7" s="219" t="s">
        <v>6</v>
      </c>
      <c r="E7" s="219" t="s">
        <v>7</v>
      </c>
      <c r="F7" s="219" t="s">
        <v>8</v>
      </c>
      <c r="G7" s="225" t="s">
        <v>41</v>
      </c>
      <c r="H7" s="225"/>
      <c r="I7" s="225"/>
      <c r="J7" s="225"/>
      <c r="K7" s="219" t="s">
        <v>9</v>
      </c>
    </row>
    <row r="8" spans="1:11" ht="20.25" customHeight="1">
      <c r="A8" s="219"/>
      <c r="B8" s="219"/>
      <c r="C8" s="219"/>
      <c r="D8" s="219"/>
      <c r="E8" s="219"/>
      <c r="F8" s="219"/>
      <c r="G8" s="219" t="s">
        <v>42</v>
      </c>
      <c r="H8" s="225" t="s">
        <v>43</v>
      </c>
      <c r="I8" s="225"/>
      <c r="J8" s="225"/>
      <c r="K8" s="219"/>
    </row>
    <row r="9" spans="1:11" s="13" customFormat="1" ht="42.75" customHeight="1">
      <c r="A9" s="219"/>
      <c r="B9" s="219"/>
      <c r="C9" s="219"/>
      <c r="D9" s="219"/>
      <c r="E9" s="219"/>
      <c r="F9" s="219"/>
      <c r="G9" s="219"/>
      <c r="H9" s="168" t="s">
        <v>262</v>
      </c>
      <c r="I9" s="64" t="s">
        <v>0</v>
      </c>
      <c r="J9" s="64" t="s">
        <v>44</v>
      </c>
      <c r="K9" s="219"/>
    </row>
    <row r="10" spans="1:16" s="13" customFormat="1" ht="19.5" customHeight="1">
      <c r="A10" s="64">
        <v>1</v>
      </c>
      <c r="B10" s="64">
        <v>2</v>
      </c>
      <c r="C10" s="64">
        <v>3</v>
      </c>
      <c r="D10" s="64">
        <v>4</v>
      </c>
      <c r="E10" s="64">
        <v>5</v>
      </c>
      <c r="F10" s="64">
        <v>6</v>
      </c>
      <c r="G10" s="64">
        <v>7</v>
      </c>
      <c r="H10" s="64">
        <v>8</v>
      </c>
      <c r="I10" s="64">
        <v>9</v>
      </c>
      <c r="J10" s="64">
        <v>10</v>
      </c>
      <c r="K10" s="64">
        <v>11</v>
      </c>
      <c r="O10" s="19"/>
      <c r="P10" s="20"/>
    </row>
    <row r="11" spans="1:15" s="21" customFormat="1" ht="49.5" customHeight="1">
      <c r="A11" s="218" t="s">
        <v>14</v>
      </c>
      <c r="B11" s="218"/>
      <c r="C11" s="218"/>
      <c r="D11" s="218"/>
      <c r="E11" s="218"/>
      <c r="F11" s="218"/>
      <c r="G11" s="218"/>
      <c r="H11" s="218"/>
      <c r="I11" s="218"/>
      <c r="J11" s="218"/>
      <c r="K11" s="218"/>
      <c r="O11" s="19"/>
    </row>
    <row r="12" spans="1:16" ht="173.25" customHeight="1">
      <c r="A12" s="146">
        <v>1</v>
      </c>
      <c r="B12" s="98" t="s">
        <v>37</v>
      </c>
      <c r="C12" s="105" t="s">
        <v>252</v>
      </c>
      <c r="D12" s="147" t="s">
        <v>48</v>
      </c>
      <c r="E12" s="105" t="s">
        <v>47</v>
      </c>
      <c r="F12" s="105" t="s">
        <v>46</v>
      </c>
      <c r="G12" s="148">
        <f aca="true" t="shared" si="0" ref="G12:G17">H12+I12+J12</f>
        <v>35119.535</v>
      </c>
      <c r="H12" s="148">
        <v>11000</v>
      </c>
      <c r="I12" s="148">
        <v>11737</v>
      </c>
      <c r="J12" s="148">
        <v>12382.535</v>
      </c>
      <c r="K12" s="82" t="s">
        <v>45</v>
      </c>
      <c r="L12" s="10"/>
      <c r="O12" s="19"/>
      <c r="P12" s="22"/>
    </row>
    <row r="13" spans="1:15" ht="125.25" customHeight="1">
      <c r="A13" s="146">
        <v>2</v>
      </c>
      <c r="B13" s="98" t="s">
        <v>38</v>
      </c>
      <c r="C13" s="82" t="s">
        <v>253</v>
      </c>
      <c r="D13" s="147" t="s">
        <v>48</v>
      </c>
      <c r="E13" s="105" t="s">
        <v>47</v>
      </c>
      <c r="F13" s="105" t="s">
        <v>46</v>
      </c>
      <c r="G13" s="148">
        <f t="shared" si="0"/>
        <v>5746.833</v>
      </c>
      <c r="H13" s="148">
        <v>1800</v>
      </c>
      <c r="I13" s="148">
        <v>1920.6</v>
      </c>
      <c r="J13" s="148">
        <v>2026.2329999999997</v>
      </c>
      <c r="K13" s="82" t="s">
        <v>15</v>
      </c>
      <c r="L13" s="10"/>
      <c r="O13" s="19"/>
    </row>
    <row r="14" spans="1:16" ht="114" customHeight="1">
      <c r="A14" s="146">
        <v>3</v>
      </c>
      <c r="B14" s="104" t="s">
        <v>39</v>
      </c>
      <c r="C14" s="105" t="s">
        <v>105</v>
      </c>
      <c r="D14" s="147" t="s">
        <v>48</v>
      </c>
      <c r="E14" s="105" t="s">
        <v>47</v>
      </c>
      <c r="F14" s="105" t="s">
        <v>46</v>
      </c>
      <c r="G14" s="148">
        <f t="shared" si="0"/>
        <v>8650.6</v>
      </c>
      <c r="H14" s="148">
        <v>2680</v>
      </c>
      <c r="I14" s="148">
        <v>2899.8</v>
      </c>
      <c r="J14" s="148">
        <v>3070.8</v>
      </c>
      <c r="K14" s="82" t="s">
        <v>49</v>
      </c>
      <c r="L14" s="10"/>
      <c r="O14" s="19"/>
      <c r="P14" s="23"/>
    </row>
    <row r="15" spans="1:16" ht="85.5" customHeight="1">
      <c r="A15" s="214">
        <v>4</v>
      </c>
      <c r="B15" s="235" t="s">
        <v>55</v>
      </c>
      <c r="C15" s="226" t="s">
        <v>208</v>
      </c>
      <c r="D15" s="229" t="s">
        <v>210</v>
      </c>
      <c r="E15" s="248" t="s">
        <v>47</v>
      </c>
      <c r="F15" s="105" t="s">
        <v>46</v>
      </c>
      <c r="G15" s="148">
        <f t="shared" si="0"/>
        <v>131.8</v>
      </c>
      <c r="H15" s="148">
        <f>81.8+50</f>
        <v>131.8</v>
      </c>
      <c r="I15" s="148"/>
      <c r="J15" s="148"/>
      <c r="K15" s="226" t="s">
        <v>211</v>
      </c>
      <c r="L15" s="10"/>
      <c r="O15" s="19"/>
      <c r="P15" s="23"/>
    </row>
    <row r="16" spans="1:16" ht="81.75" customHeight="1">
      <c r="A16" s="216"/>
      <c r="B16" s="237"/>
      <c r="C16" s="228"/>
      <c r="D16" s="231"/>
      <c r="E16" s="249"/>
      <c r="F16" s="169" t="s">
        <v>51</v>
      </c>
      <c r="G16" s="148">
        <f t="shared" si="0"/>
        <v>60</v>
      </c>
      <c r="H16" s="148">
        <f>10+50</f>
        <v>60</v>
      </c>
      <c r="I16" s="148"/>
      <c r="J16" s="148"/>
      <c r="K16" s="228"/>
      <c r="L16" s="10"/>
      <c r="O16" s="19"/>
      <c r="P16" s="23"/>
    </row>
    <row r="17" spans="1:16" ht="140.25" customHeight="1">
      <c r="A17" s="146">
        <v>5</v>
      </c>
      <c r="B17" s="98" t="s">
        <v>62</v>
      </c>
      <c r="C17" s="149" t="s">
        <v>209</v>
      </c>
      <c r="D17" s="147" t="s">
        <v>48</v>
      </c>
      <c r="E17" s="105" t="s">
        <v>47</v>
      </c>
      <c r="F17" s="105" t="s">
        <v>51</v>
      </c>
      <c r="G17" s="148">
        <f t="shared" si="0"/>
        <v>9578.055</v>
      </c>
      <c r="H17" s="148">
        <v>3000</v>
      </c>
      <c r="I17" s="148">
        <v>3201</v>
      </c>
      <c r="J17" s="148">
        <v>3377.055</v>
      </c>
      <c r="K17" s="174" t="s">
        <v>277</v>
      </c>
      <c r="L17" s="24"/>
      <c r="P17" s="22"/>
    </row>
    <row r="18" spans="1:17" ht="37.5" customHeight="1">
      <c r="A18" s="192" t="s">
        <v>52</v>
      </c>
      <c r="B18" s="192"/>
      <c r="C18" s="192"/>
      <c r="D18" s="192"/>
      <c r="E18" s="192"/>
      <c r="F18" s="104"/>
      <c r="G18" s="150">
        <f>G12+G13+G14+G17+G15+G16</f>
        <v>59286.823000000004</v>
      </c>
      <c r="H18" s="150">
        <f>H12+H13+H14+H17+H15+H16</f>
        <v>18671.8</v>
      </c>
      <c r="I18" s="150">
        <f>I12+I13+I14+I17</f>
        <v>19758.4</v>
      </c>
      <c r="J18" s="150">
        <f>J12+J13+J14+J17</f>
        <v>20856.623</v>
      </c>
      <c r="K18" s="82"/>
      <c r="L18" s="24"/>
      <c r="P18" s="25"/>
      <c r="Q18" s="26"/>
    </row>
    <row r="19" spans="1:17" ht="71.25" customHeight="1">
      <c r="A19" s="192" t="s">
        <v>53</v>
      </c>
      <c r="B19" s="192"/>
      <c r="C19" s="192"/>
      <c r="D19" s="192"/>
      <c r="E19" s="192"/>
      <c r="F19" s="104" t="s">
        <v>46</v>
      </c>
      <c r="G19" s="150">
        <f>G12+G13+G14+G15</f>
        <v>49648.768000000004</v>
      </c>
      <c r="H19" s="150">
        <f>H12+H13+H14+H15</f>
        <v>15611.8</v>
      </c>
      <c r="I19" s="150">
        <f>I12+I13+I14</f>
        <v>16557.4</v>
      </c>
      <c r="J19" s="150">
        <f>J12+J13+J14</f>
        <v>17479.568</v>
      </c>
      <c r="K19" s="82"/>
      <c r="L19" s="24"/>
      <c r="P19" s="25"/>
      <c r="Q19" s="26"/>
    </row>
    <row r="20" spans="1:17" ht="45.75" customHeight="1">
      <c r="A20" s="213"/>
      <c r="B20" s="213"/>
      <c r="C20" s="213"/>
      <c r="D20" s="213"/>
      <c r="E20" s="213"/>
      <c r="F20" s="104" t="s">
        <v>51</v>
      </c>
      <c r="G20" s="150">
        <f>G17+G16</f>
        <v>9638.055</v>
      </c>
      <c r="H20" s="150">
        <f>H17+H16</f>
        <v>3060</v>
      </c>
      <c r="I20" s="150">
        <f>I17</f>
        <v>3201</v>
      </c>
      <c r="J20" s="150">
        <f>J17</f>
        <v>3377.055</v>
      </c>
      <c r="K20" s="82"/>
      <c r="L20" s="27"/>
      <c r="Q20" s="22"/>
    </row>
    <row r="21" spans="1:11" s="21" customFormat="1" ht="56.25" customHeight="1">
      <c r="A21" s="218" t="s">
        <v>50</v>
      </c>
      <c r="B21" s="218"/>
      <c r="C21" s="218"/>
      <c r="D21" s="218"/>
      <c r="E21" s="218"/>
      <c r="F21" s="218"/>
      <c r="G21" s="218"/>
      <c r="H21" s="218"/>
      <c r="I21" s="218"/>
      <c r="J21" s="218"/>
      <c r="K21" s="218"/>
    </row>
    <row r="22" spans="1:14" s="28" customFormat="1" ht="144.75" customHeight="1">
      <c r="A22" s="210">
        <v>1</v>
      </c>
      <c r="B22" s="208" t="s">
        <v>54</v>
      </c>
      <c r="C22" s="193" t="s">
        <v>280</v>
      </c>
      <c r="D22" s="211" t="s">
        <v>48</v>
      </c>
      <c r="E22" s="193" t="s">
        <v>47</v>
      </c>
      <c r="F22" s="105" t="s">
        <v>46</v>
      </c>
      <c r="G22" s="148">
        <f aca="true" t="shared" si="1" ref="G22:G35">H22+I22+J22</f>
        <v>38366.47648889</v>
      </c>
      <c r="H22" s="148">
        <v>12016.994</v>
      </c>
      <c r="I22" s="148">
        <v>12822.132598</v>
      </c>
      <c r="J22" s="148">
        <v>13527.34989089</v>
      </c>
      <c r="K22" s="193" t="s">
        <v>279</v>
      </c>
      <c r="N22" s="29"/>
    </row>
    <row r="23" spans="1:11" s="28" customFormat="1" ht="111.75" customHeight="1">
      <c r="A23" s="210"/>
      <c r="B23" s="208"/>
      <c r="C23" s="193"/>
      <c r="D23" s="211"/>
      <c r="E23" s="193"/>
      <c r="F23" s="105" t="s">
        <v>51</v>
      </c>
      <c r="G23" s="148">
        <f t="shared" si="1"/>
        <v>1708.3371007725</v>
      </c>
      <c r="H23" s="148">
        <v>535.0785</v>
      </c>
      <c r="I23" s="148">
        <v>570.9287595</v>
      </c>
      <c r="J23" s="148">
        <v>602.3298412725</v>
      </c>
      <c r="K23" s="193"/>
    </row>
    <row r="24" spans="1:11" s="28" customFormat="1" ht="279" customHeight="1">
      <c r="A24" s="210"/>
      <c r="B24" s="208"/>
      <c r="C24" s="193"/>
      <c r="D24" s="211"/>
      <c r="E24" s="193"/>
      <c r="F24" s="105" t="s">
        <v>241</v>
      </c>
      <c r="G24" s="148">
        <f t="shared" si="1"/>
        <v>63617.205149</v>
      </c>
      <c r="H24" s="148">
        <f>19895.4+(90+7.46)</f>
        <v>19992.86</v>
      </c>
      <c r="I24" s="148">
        <v>21228.3918</v>
      </c>
      <c r="J24" s="148">
        <v>22395.953349</v>
      </c>
      <c r="K24" s="193"/>
    </row>
    <row r="25" spans="1:11" s="28" customFormat="1" ht="203.25" customHeight="1">
      <c r="A25" s="151">
        <v>2</v>
      </c>
      <c r="B25" s="172" t="s">
        <v>265</v>
      </c>
      <c r="C25" s="170" t="s">
        <v>264</v>
      </c>
      <c r="D25" s="147" t="s">
        <v>48</v>
      </c>
      <c r="E25" s="170" t="s">
        <v>266</v>
      </c>
      <c r="F25" s="105" t="s">
        <v>46</v>
      </c>
      <c r="G25" s="148">
        <f>H25+I25+J25</f>
        <v>474.30528360000005</v>
      </c>
      <c r="H25" s="148">
        <v>148.56</v>
      </c>
      <c r="I25" s="148">
        <v>158.51352</v>
      </c>
      <c r="J25" s="148">
        <v>167.2317636</v>
      </c>
      <c r="K25" s="153" t="s">
        <v>149</v>
      </c>
    </row>
    <row r="26" spans="1:12" s="21" customFormat="1" ht="91.5" customHeight="1">
      <c r="A26" s="196">
        <v>3</v>
      </c>
      <c r="B26" s="212" t="s">
        <v>55</v>
      </c>
      <c r="C26" s="193" t="s">
        <v>168</v>
      </c>
      <c r="D26" s="195" t="s">
        <v>48</v>
      </c>
      <c r="E26" s="193" t="s">
        <v>47</v>
      </c>
      <c r="F26" s="82" t="s">
        <v>46</v>
      </c>
      <c r="G26" s="148">
        <f t="shared" si="1"/>
        <v>51071.76580660499</v>
      </c>
      <c r="H26" s="148">
        <f>15980.833+50</f>
        <v>16030.833</v>
      </c>
      <c r="I26" s="148">
        <v>17051.548810999997</v>
      </c>
      <c r="J26" s="148">
        <v>17989.383995604996</v>
      </c>
      <c r="K26" s="194" t="s">
        <v>17</v>
      </c>
      <c r="L26" s="30"/>
    </row>
    <row r="27" spans="1:12" s="21" customFormat="1" ht="144.75" customHeight="1">
      <c r="A27" s="196"/>
      <c r="B27" s="212"/>
      <c r="C27" s="193"/>
      <c r="D27" s="195"/>
      <c r="E27" s="193"/>
      <c r="F27" s="105" t="s">
        <v>241</v>
      </c>
      <c r="G27" s="148">
        <f t="shared" si="1"/>
        <v>66.49</v>
      </c>
      <c r="H27" s="148">
        <v>66.49</v>
      </c>
      <c r="I27" s="148"/>
      <c r="J27" s="148"/>
      <c r="K27" s="194"/>
      <c r="L27" s="30"/>
    </row>
    <row r="28" spans="1:16" s="21" customFormat="1" ht="80.25" customHeight="1">
      <c r="A28" s="196"/>
      <c r="B28" s="212"/>
      <c r="C28" s="193"/>
      <c r="D28" s="195"/>
      <c r="E28" s="220"/>
      <c r="F28" s="105" t="s">
        <v>51</v>
      </c>
      <c r="G28" s="148">
        <f t="shared" si="1"/>
        <v>12446.475586511999</v>
      </c>
      <c r="H28" s="148">
        <v>3898.4352000000003</v>
      </c>
      <c r="I28" s="148">
        <v>4159.6303584</v>
      </c>
      <c r="J28" s="148">
        <v>4388.410028111999</v>
      </c>
      <c r="K28" s="194"/>
      <c r="N28" s="31"/>
      <c r="O28" s="31"/>
      <c r="P28" s="31"/>
    </row>
    <row r="29" spans="1:13" s="21" customFormat="1" ht="61.5" customHeight="1">
      <c r="A29" s="196">
        <v>4</v>
      </c>
      <c r="B29" s="208" t="s">
        <v>56</v>
      </c>
      <c r="C29" s="193" t="s">
        <v>169</v>
      </c>
      <c r="D29" s="195" t="s">
        <v>48</v>
      </c>
      <c r="E29" s="193" t="s">
        <v>47</v>
      </c>
      <c r="F29" s="82" t="s">
        <v>46</v>
      </c>
      <c r="G29" s="148">
        <f t="shared" si="1"/>
        <v>133501.2746992</v>
      </c>
      <c r="H29" s="148">
        <v>40811.8</v>
      </c>
      <c r="I29" s="148">
        <v>44648.109200000006</v>
      </c>
      <c r="J29" s="148">
        <v>48041.36549920001</v>
      </c>
      <c r="K29" s="193" t="s">
        <v>18</v>
      </c>
      <c r="M29" s="221"/>
    </row>
    <row r="30" spans="1:13" s="21" customFormat="1" ht="88.5" customHeight="1">
      <c r="A30" s="196"/>
      <c r="B30" s="208"/>
      <c r="C30" s="193"/>
      <c r="D30" s="195"/>
      <c r="E30" s="193"/>
      <c r="F30" s="105" t="s">
        <v>57</v>
      </c>
      <c r="G30" s="148">
        <f t="shared" si="1"/>
        <v>546681.76314</v>
      </c>
      <c r="H30" s="148">
        <v>167122.5</v>
      </c>
      <c r="I30" s="148">
        <v>182832.015</v>
      </c>
      <c r="J30" s="148">
        <v>196727.24814000004</v>
      </c>
      <c r="K30" s="193"/>
      <c r="M30" s="221"/>
    </row>
    <row r="31" spans="1:13" s="21" customFormat="1" ht="156.75" customHeight="1">
      <c r="A31" s="196"/>
      <c r="B31" s="208"/>
      <c r="C31" s="193"/>
      <c r="D31" s="195"/>
      <c r="E31" s="193"/>
      <c r="F31" s="105" t="s">
        <v>241</v>
      </c>
      <c r="G31" s="148">
        <f t="shared" si="1"/>
        <v>1026.95</v>
      </c>
      <c r="H31" s="148">
        <f>(539+118.6+302.745+66.605)</f>
        <v>1026.95</v>
      </c>
      <c r="I31" s="148"/>
      <c r="J31" s="148"/>
      <c r="K31" s="193"/>
      <c r="M31" s="65"/>
    </row>
    <row r="32" spans="1:15" s="21" customFormat="1" ht="89.25" customHeight="1">
      <c r="A32" s="196"/>
      <c r="B32" s="208"/>
      <c r="C32" s="193"/>
      <c r="D32" s="195"/>
      <c r="E32" s="193"/>
      <c r="F32" s="105" t="s">
        <v>51</v>
      </c>
      <c r="G32" s="148">
        <f t="shared" si="1"/>
        <v>30302.49105094401</v>
      </c>
      <c r="H32" s="148">
        <v>9263.576000000001</v>
      </c>
      <c r="I32" s="148">
        <v>10134.352144000002</v>
      </c>
      <c r="J32" s="148">
        <v>10904.562906944004</v>
      </c>
      <c r="K32" s="193"/>
      <c r="M32" s="13"/>
      <c r="N32" s="31"/>
      <c r="O32" s="31"/>
    </row>
    <row r="33" spans="1:12" s="21" customFormat="1" ht="75.75" customHeight="1">
      <c r="A33" s="214">
        <v>5</v>
      </c>
      <c r="B33" s="235" t="s">
        <v>39</v>
      </c>
      <c r="C33" s="226" t="s">
        <v>170</v>
      </c>
      <c r="D33" s="229" t="s">
        <v>48</v>
      </c>
      <c r="E33" s="232" t="s">
        <v>47</v>
      </c>
      <c r="F33" s="82" t="s">
        <v>46</v>
      </c>
      <c r="G33" s="148">
        <f t="shared" si="1"/>
        <v>76809.3988856504</v>
      </c>
      <c r="H33" s="148">
        <f>23987.5108-618.4</f>
        <v>23369.1108</v>
      </c>
      <c r="I33" s="148">
        <v>25954.4866856</v>
      </c>
      <c r="J33" s="148">
        <v>27485.8014000504</v>
      </c>
      <c r="K33" s="226" t="s">
        <v>19</v>
      </c>
      <c r="L33" s="30"/>
    </row>
    <row r="34" spans="1:11" s="21" customFormat="1" ht="61.5" customHeight="1">
      <c r="A34" s="215"/>
      <c r="B34" s="236"/>
      <c r="C34" s="227"/>
      <c r="D34" s="230"/>
      <c r="E34" s="233"/>
      <c r="F34" s="105" t="s">
        <v>51</v>
      </c>
      <c r="G34" s="148">
        <f t="shared" si="1"/>
        <v>774.6072025098001</v>
      </c>
      <c r="H34" s="148">
        <v>239.9771</v>
      </c>
      <c r="I34" s="148">
        <v>259.6552222</v>
      </c>
      <c r="J34" s="148">
        <v>274.9748803098</v>
      </c>
      <c r="K34" s="227"/>
    </row>
    <row r="35" spans="1:11" s="21" customFormat="1" ht="206.25" customHeight="1">
      <c r="A35" s="216"/>
      <c r="B35" s="237"/>
      <c r="C35" s="228"/>
      <c r="D35" s="231"/>
      <c r="E35" s="234"/>
      <c r="F35" s="105" t="s">
        <v>240</v>
      </c>
      <c r="G35" s="148">
        <f t="shared" si="1"/>
        <v>725.81</v>
      </c>
      <c r="H35" s="148">
        <f>618.41+107.4</f>
        <v>725.81</v>
      </c>
      <c r="I35" s="148"/>
      <c r="J35" s="148"/>
      <c r="K35" s="228"/>
    </row>
    <row r="36" spans="1:12" s="21" customFormat="1" ht="291" customHeight="1">
      <c r="A36" s="146">
        <v>6</v>
      </c>
      <c r="B36" s="98" t="s">
        <v>62</v>
      </c>
      <c r="C36" s="154" t="s">
        <v>281</v>
      </c>
      <c r="D36" s="147" t="s">
        <v>48</v>
      </c>
      <c r="E36" s="152" t="s">
        <v>47</v>
      </c>
      <c r="F36" s="105" t="s">
        <v>51</v>
      </c>
      <c r="G36" s="148">
        <f>H36+I36+J36</f>
        <v>42533.442</v>
      </c>
      <c r="H36" s="148">
        <f>13200+190+200</f>
        <v>13590</v>
      </c>
      <c r="I36" s="148">
        <v>14084.4</v>
      </c>
      <c r="J36" s="148">
        <v>14859.042</v>
      </c>
      <c r="K36" s="174" t="s">
        <v>282</v>
      </c>
      <c r="L36" s="30"/>
    </row>
    <row r="37" spans="1:12" s="21" customFormat="1" ht="66" customHeight="1">
      <c r="A37" s="192" t="s">
        <v>52</v>
      </c>
      <c r="B37" s="192"/>
      <c r="C37" s="192"/>
      <c r="D37" s="192"/>
      <c r="E37" s="192"/>
      <c r="F37" s="104"/>
      <c r="G37" s="150">
        <f>G22+G23+G26+G28+G29+G30+G32+G33+G34+G36+G24+G25+G27+G35+G31</f>
        <v>1000106.7923936838</v>
      </c>
      <c r="H37" s="150">
        <f>H22+H23+H26+H28+H29+H30+H32+H33+H34+H36+H24+H25+H27+H35+H31</f>
        <v>308838.9746</v>
      </c>
      <c r="I37" s="150">
        <f>I22+I23+I26+I28+I29+I30+I32+I33+I34+I36+I24+I25</f>
        <v>333904.1640987</v>
      </c>
      <c r="J37" s="150">
        <f>J22+J23+J26+J28+J29+J30+J32+J33+J34+J36+J24+J25</f>
        <v>357363.6536949838</v>
      </c>
      <c r="K37" s="82"/>
      <c r="L37" s="30"/>
    </row>
    <row r="38" spans="1:12" s="21" customFormat="1" ht="72" customHeight="1">
      <c r="A38" s="198" t="s">
        <v>53</v>
      </c>
      <c r="B38" s="199"/>
      <c r="C38" s="199"/>
      <c r="D38" s="199"/>
      <c r="E38" s="200"/>
      <c r="F38" s="104" t="s">
        <v>46</v>
      </c>
      <c r="G38" s="150">
        <f>G22+G26+G29+G33+G25</f>
        <v>300223.2211639454</v>
      </c>
      <c r="H38" s="150">
        <f>H22+H26+H29+H33+H25</f>
        <v>92377.2978</v>
      </c>
      <c r="I38" s="150">
        <f>I22+I26+I29+I33+I25</f>
        <v>100634.7908146</v>
      </c>
      <c r="J38" s="150">
        <f>J22+J26+J29+J33+J25</f>
        <v>107211.1325493454</v>
      </c>
      <c r="K38" s="82"/>
      <c r="L38" s="30"/>
    </row>
    <row r="39" spans="1:12" s="21" customFormat="1" ht="61.5" customHeight="1">
      <c r="A39" s="201"/>
      <c r="B39" s="202"/>
      <c r="C39" s="202"/>
      <c r="D39" s="202"/>
      <c r="E39" s="203"/>
      <c r="F39" s="104" t="s">
        <v>51</v>
      </c>
      <c r="G39" s="150">
        <f>G23+G28+G34+G36+G32</f>
        <v>87765.35294073832</v>
      </c>
      <c r="H39" s="150">
        <f>H23+H28+H34+H36+H32</f>
        <v>27527.0668</v>
      </c>
      <c r="I39" s="150">
        <f>I23+I28+I34+I36+I32</f>
        <v>29208.966484100005</v>
      </c>
      <c r="J39" s="150">
        <f>J23+J28+J34+J36+J32</f>
        <v>31029.3196566383</v>
      </c>
      <c r="K39" s="82"/>
      <c r="L39" s="30"/>
    </row>
    <row r="40" spans="1:12" s="21" customFormat="1" ht="93" customHeight="1">
      <c r="A40" s="201"/>
      <c r="B40" s="202"/>
      <c r="C40" s="202"/>
      <c r="D40" s="202"/>
      <c r="E40" s="203"/>
      <c r="F40" s="104" t="s">
        <v>57</v>
      </c>
      <c r="G40" s="150">
        <f>G30</f>
        <v>546681.76314</v>
      </c>
      <c r="H40" s="150">
        <f>H30</f>
        <v>167122.5</v>
      </c>
      <c r="I40" s="150">
        <f>I30+I27</f>
        <v>182832.015</v>
      </c>
      <c r="J40" s="150">
        <f>J30+J27</f>
        <v>196727.24814000004</v>
      </c>
      <c r="K40" s="82"/>
      <c r="L40" s="30"/>
    </row>
    <row r="41" spans="1:12" s="21" customFormat="1" ht="145.5" customHeight="1">
      <c r="A41" s="201"/>
      <c r="B41" s="202"/>
      <c r="C41" s="202"/>
      <c r="D41" s="202"/>
      <c r="E41" s="203"/>
      <c r="F41" s="104" t="s">
        <v>241</v>
      </c>
      <c r="G41" s="150">
        <f>G24+G31+G27</f>
        <v>64710.645148999996</v>
      </c>
      <c r="H41" s="150">
        <f>H24+H31+H27</f>
        <v>21086.300000000003</v>
      </c>
      <c r="I41" s="150">
        <f>I24+I31+I27</f>
        <v>21228.3918</v>
      </c>
      <c r="J41" s="150">
        <f>J24+J31+J27</f>
        <v>22395.953349</v>
      </c>
      <c r="K41" s="82"/>
      <c r="L41" s="30"/>
    </row>
    <row r="42" spans="1:12" s="21" customFormat="1" ht="202.5" customHeight="1">
      <c r="A42" s="204"/>
      <c r="B42" s="205"/>
      <c r="C42" s="205"/>
      <c r="D42" s="205"/>
      <c r="E42" s="206"/>
      <c r="F42" s="104" t="s">
        <v>240</v>
      </c>
      <c r="G42" s="150">
        <f>G35</f>
        <v>725.81</v>
      </c>
      <c r="H42" s="150">
        <f>H35</f>
        <v>725.81</v>
      </c>
      <c r="I42" s="150"/>
      <c r="J42" s="150"/>
      <c r="K42" s="82"/>
      <c r="L42" s="30"/>
    </row>
    <row r="43" spans="1:11" s="21" customFormat="1" ht="50.25" customHeight="1">
      <c r="A43" s="209" t="s">
        <v>59</v>
      </c>
      <c r="B43" s="209"/>
      <c r="C43" s="209"/>
      <c r="D43" s="209"/>
      <c r="E43" s="209"/>
      <c r="F43" s="209"/>
      <c r="G43" s="209"/>
      <c r="H43" s="209"/>
      <c r="I43" s="209"/>
      <c r="J43" s="209"/>
      <c r="K43" s="209"/>
    </row>
    <row r="44" spans="1:14" s="21" customFormat="1" ht="315.75" customHeight="1">
      <c r="A44" s="151">
        <v>1</v>
      </c>
      <c r="B44" s="98" t="s">
        <v>61</v>
      </c>
      <c r="C44" s="152" t="s">
        <v>58</v>
      </c>
      <c r="D44" s="147" t="s">
        <v>48</v>
      </c>
      <c r="E44" s="152" t="s">
        <v>47</v>
      </c>
      <c r="F44" s="105" t="s">
        <v>46</v>
      </c>
      <c r="G44" s="148">
        <f>H44+I44+J44</f>
        <v>8697.739157634998</v>
      </c>
      <c r="H44" s="148">
        <v>2724.2709999999997</v>
      </c>
      <c r="I44" s="148">
        <v>2906.7971569999995</v>
      </c>
      <c r="J44" s="148">
        <v>3066.6710006349995</v>
      </c>
      <c r="K44" s="171" t="s">
        <v>283</v>
      </c>
      <c r="L44" s="30"/>
      <c r="M44" s="32"/>
      <c r="N44" s="32"/>
    </row>
    <row r="45" spans="1:14" s="21" customFormat="1" ht="205.5" customHeight="1">
      <c r="A45" s="151">
        <v>2</v>
      </c>
      <c r="B45" s="172" t="s">
        <v>265</v>
      </c>
      <c r="C45" s="170" t="s">
        <v>267</v>
      </c>
      <c r="D45" s="147" t="s">
        <v>48</v>
      </c>
      <c r="E45" s="170" t="s">
        <v>270</v>
      </c>
      <c r="F45" s="105" t="s">
        <v>46</v>
      </c>
      <c r="G45" s="148">
        <f>H45+I45+J45</f>
        <v>51.370301649999995</v>
      </c>
      <c r="H45" s="148">
        <v>16.09</v>
      </c>
      <c r="I45" s="148">
        <v>17.168029999999998</v>
      </c>
      <c r="J45" s="148">
        <v>18.112271649999997</v>
      </c>
      <c r="K45" s="153" t="s">
        <v>149</v>
      </c>
      <c r="L45" s="30"/>
      <c r="M45" s="32"/>
      <c r="N45" s="32"/>
    </row>
    <row r="46" spans="1:12" s="34" customFormat="1" ht="68.25" customHeight="1">
      <c r="A46" s="196">
        <v>3</v>
      </c>
      <c r="B46" s="212" t="s">
        <v>55</v>
      </c>
      <c r="C46" s="193" t="s">
        <v>153</v>
      </c>
      <c r="D46" s="195" t="s">
        <v>48</v>
      </c>
      <c r="E46" s="194" t="s">
        <v>47</v>
      </c>
      <c r="F46" s="82" t="s">
        <v>46</v>
      </c>
      <c r="G46" s="148">
        <f aca="true" t="shared" si="2" ref="G46:G53">SUM(H46:J46)</f>
        <v>7378.742010899998</v>
      </c>
      <c r="H46" s="148">
        <v>2311.1399999999994</v>
      </c>
      <c r="I46" s="148">
        <v>2465.9863799999994</v>
      </c>
      <c r="J46" s="148">
        <v>2601.6156308999994</v>
      </c>
      <c r="K46" s="194" t="s">
        <v>20</v>
      </c>
      <c r="L46" s="33"/>
    </row>
    <row r="47" spans="1:15" s="35" customFormat="1" ht="108.75" customHeight="1">
      <c r="A47" s="196"/>
      <c r="B47" s="212"/>
      <c r="C47" s="193"/>
      <c r="D47" s="195"/>
      <c r="E47" s="194"/>
      <c r="F47" s="82" t="s">
        <v>51</v>
      </c>
      <c r="G47" s="148">
        <f t="shared" si="2"/>
        <v>52.6793025</v>
      </c>
      <c r="H47" s="148">
        <v>16.5</v>
      </c>
      <c r="I47" s="148">
        <v>17.6055</v>
      </c>
      <c r="J47" s="148">
        <v>18.5738025</v>
      </c>
      <c r="K47" s="194"/>
      <c r="M47" s="32"/>
      <c r="N47" s="32"/>
      <c r="O47" s="36"/>
    </row>
    <row r="48" spans="1:12" s="21" customFormat="1" ht="78" customHeight="1">
      <c r="A48" s="196">
        <v>4</v>
      </c>
      <c r="B48" s="208" t="s">
        <v>56</v>
      </c>
      <c r="C48" s="193" t="s">
        <v>152</v>
      </c>
      <c r="D48" s="195" t="s">
        <v>48</v>
      </c>
      <c r="E48" s="194" t="s">
        <v>47</v>
      </c>
      <c r="F48" s="82" t="s">
        <v>46</v>
      </c>
      <c r="G48" s="148">
        <f t="shared" si="2"/>
        <v>18918.3342096</v>
      </c>
      <c r="H48" s="148">
        <v>5783.4</v>
      </c>
      <c r="I48" s="148">
        <v>6327.0396</v>
      </c>
      <c r="J48" s="148">
        <v>6807.894609600001</v>
      </c>
      <c r="K48" s="193" t="s">
        <v>18</v>
      </c>
      <c r="L48" s="30"/>
    </row>
    <row r="49" spans="1:12" s="21" customFormat="1" ht="45.75" customHeight="1">
      <c r="A49" s="196"/>
      <c r="B49" s="208"/>
      <c r="C49" s="193"/>
      <c r="D49" s="195"/>
      <c r="E49" s="194"/>
      <c r="F49" s="82" t="s">
        <v>51</v>
      </c>
      <c r="G49" s="148">
        <f t="shared" si="2"/>
        <v>56.52536832</v>
      </c>
      <c r="H49" s="148">
        <v>17.28</v>
      </c>
      <c r="I49" s="148">
        <v>18.904320000000002</v>
      </c>
      <c r="J49" s="148">
        <v>20.341048320000002</v>
      </c>
      <c r="K49" s="193"/>
      <c r="L49" s="30"/>
    </row>
    <row r="50" spans="1:14" s="21" customFormat="1" ht="86.25" customHeight="1">
      <c r="A50" s="196"/>
      <c r="B50" s="208"/>
      <c r="C50" s="193"/>
      <c r="D50" s="195"/>
      <c r="E50" s="194"/>
      <c r="F50" s="105" t="s">
        <v>57</v>
      </c>
      <c r="G50" s="148">
        <f t="shared" si="2"/>
        <v>76870.57554240001</v>
      </c>
      <c r="H50" s="148">
        <v>23499.6</v>
      </c>
      <c r="I50" s="148">
        <v>25708.5624</v>
      </c>
      <c r="J50" s="148">
        <v>27662.4131424</v>
      </c>
      <c r="K50" s="193"/>
      <c r="M50" s="32"/>
      <c r="N50" s="32"/>
    </row>
    <row r="51" spans="1:12" s="21" customFormat="1" ht="86.25" customHeight="1">
      <c r="A51" s="213">
        <v>5</v>
      </c>
      <c r="B51" s="208" t="s">
        <v>39</v>
      </c>
      <c r="C51" s="222" t="s">
        <v>151</v>
      </c>
      <c r="D51" s="195" t="s">
        <v>48</v>
      </c>
      <c r="E51" s="194" t="s">
        <v>47</v>
      </c>
      <c r="F51" s="82" t="s">
        <v>46</v>
      </c>
      <c r="G51" s="148">
        <f t="shared" si="2"/>
        <v>13723.5651291288</v>
      </c>
      <c r="H51" s="148">
        <v>4251.6276</v>
      </c>
      <c r="I51" s="148">
        <v>4600.2610632000005</v>
      </c>
      <c r="J51" s="148">
        <v>4871.6764659288</v>
      </c>
      <c r="K51" s="223" t="s">
        <v>19</v>
      </c>
      <c r="L51" s="30"/>
    </row>
    <row r="52" spans="1:11" s="21" customFormat="1" ht="96.75" customHeight="1">
      <c r="A52" s="213"/>
      <c r="B52" s="208"/>
      <c r="C52" s="222"/>
      <c r="D52" s="195"/>
      <c r="E52" s="194"/>
      <c r="F52" s="82" t="s">
        <v>51</v>
      </c>
      <c r="G52" s="148">
        <f t="shared" si="2"/>
        <v>28.404974400000004</v>
      </c>
      <c r="H52" s="148">
        <v>8.8</v>
      </c>
      <c r="I52" s="148">
        <v>9.521600000000001</v>
      </c>
      <c r="J52" s="148">
        <v>10.0833744</v>
      </c>
      <c r="K52" s="223"/>
    </row>
    <row r="53" spans="1:12" s="21" customFormat="1" ht="151.5" customHeight="1">
      <c r="A53" s="146">
        <v>6</v>
      </c>
      <c r="B53" s="98" t="s">
        <v>62</v>
      </c>
      <c r="C53" s="154" t="s">
        <v>72</v>
      </c>
      <c r="D53" s="147" t="s">
        <v>48</v>
      </c>
      <c r="E53" s="153" t="s">
        <v>47</v>
      </c>
      <c r="F53" s="82" t="s">
        <v>51</v>
      </c>
      <c r="G53" s="148">
        <f t="shared" si="2"/>
        <v>3511.9534999999996</v>
      </c>
      <c r="H53" s="148">
        <v>1100</v>
      </c>
      <c r="I53" s="148">
        <v>1173.7</v>
      </c>
      <c r="J53" s="148">
        <v>1238.2535</v>
      </c>
      <c r="K53" s="174" t="s">
        <v>277</v>
      </c>
      <c r="L53" s="30"/>
    </row>
    <row r="54" spans="1:12" s="21" customFormat="1" ht="26.25" customHeight="1">
      <c r="A54" s="192" t="s">
        <v>52</v>
      </c>
      <c r="B54" s="192"/>
      <c r="C54" s="192"/>
      <c r="D54" s="192"/>
      <c r="E54" s="192"/>
      <c r="F54" s="104"/>
      <c r="G54" s="150">
        <f>G44+G46+G47+G48+G49+G50+G51+G52+G53+G45</f>
        <v>129289.88949653378</v>
      </c>
      <c r="H54" s="150">
        <f>H44+H46+H47+H48+H49+H50+H51+H52+H53+H45</f>
        <v>39728.7086</v>
      </c>
      <c r="I54" s="150">
        <f>I44+I46+I47+I48+I49+I50+I51+I52+I53+I45</f>
        <v>43245.5460502</v>
      </c>
      <c r="J54" s="150">
        <f>J44+J46+J47+J48+J49+J50+J51+J52+J53+J45</f>
        <v>46315.6348463338</v>
      </c>
      <c r="K54" s="82"/>
      <c r="L54" s="30"/>
    </row>
    <row r="55" spans="1:12" s="21" customFormat="1" ht="83.25" customHeight="1">
      <c r="A55" s="192" t="s">
        <v>53</v>
      </c>
      <c r="B55" s="192"/>
      <c r="C55" s="192"/>
      <c r="D55" s="192"/>
      <c r="E55" s="192"/>
      <c r="F55" s="104" t="s">
        <v>46</v>
      </c>
      <c r="G55" s="150">
        <f>G44+G46+G48+G51+G45</f>
        <v>48769.7508089138</v>
      </c>
      <c r="H55" s="150">
        <f>H44+H46+H48+H51+H45</f>
        <v>15086.528599999998</v>
      </c>
      <c r="I55" s="150">
        <f>I44+I46+I48+I51+I45</f>
        <v>16317.2522302</v>
      </c>
      <c r="J55" s="150">
        <f>J44+J46+J48+J51+J45</f>
        <v>17365.969978713798</v>
      </c>
      <c r="K55" s="82"/>
      <c r="L55" s="30"/>
    </row>
    <row r="56" spans="1:12" s="21" customFormat="1" ht="99.75" customHeight="1">
      <c r="A56" s="213"/>
      <c r="B56" s="213"/>
      <c r="C56" s="213"/>
      <c r="D56" s="213"/>
      <c r="E56" s="213"/>
      <c r="F56" s="104" t="s">
        <v>51</v>
      </c>
      <c r="G56" s="150">
        <f>G47+G49+G52+G53</f>
        <v>3649.5631452199996</v>
      </c>
      <c r="H56" s="150">
        <f>H47+H49+H52+H53</f>
        <v>1142.58</v>
      </c>
      <c r="I56" s="150">
        <f>I47+I49+I52+I53</f>
        <v>1219.73142</v>
      </c>
      <c r="J56" s="150">
        <f>J47+J49+J52+J53</f>
        <v>1287.25172522</v>
      </c>
      <c r="K56" s="82"/>
      <c r="L56" s="30"/>
    </row>
    <row r="57" spans="1:12" s="21" customFormat="1" ht="125.25" customHeight="1">
      <c r="A57" s="224"/>
      <c r="B57" s="224"/>
      <c r="C57" s="224"/>
      <c r="D57" s="224"/>
      <c r="E57" s="224"/>
      <c r="F57" s="104" t="s">
        <v>57</v>
      </c>
      <c r="G57" s="150">
        <f>G50</f>
        <v>76870.57554240001</v>
      </c>
      <c r="H57" s="150">
        <f>H50</f>
        <v>23499.6</v>
      </c>
      <c r="I57" s="150">
        <f>I50</f>
        <v>25708.5624</v>
      </c>
      <c r="J57" s="150">
        <f>J50</f>
        <v>27662.4131424</v>
      </c>
      <c r="K57" s="82"/>
      <c r="L57" s="30"/>
    </row>
    <row r="58" spans="1:11" s="21" customFormat="1" ht="79.5" customHeight="1">
      <c r="A58" s="209" t="s">
        <v>63</v>
      </c>
      <c r="B58" s="209"/>
      <c r="C58" s="209"/>
      <c r="D58" s="209"/>
      <c r="E58" s="209"/>
      <c r="F58" s="209"/>
      <c r="G58" s="209"/>
      <c r="H58" s="209"/>
      <c r="I58" s="209"/>
      <c r="J58" s="209"/>
      <c r="K58" s="209"/>
    </row>
    <row r="59" spans="1:12" s="21" customFormat="1" ht="61.5" customHeight="1">
      <c r="A59" s="196">
        <v>1</v>
      </c>
      <c r="B59" s="212" t="s">
        <v>54</v>
      </c>
      <c r="C59" s="193" t="s">
        <v>25</v>
      </c>
      <c r="D59" s="197" t="s">
        <v>48</v>
      </c>
      <c r="E59" s="193" t="s">
        <v>47</v>
      </c>
      <c r="F59" s="105" t="s">
        <v>46</v>
      </c>
      <c r="G59" s="148">
        <f aca="true" t="shared" si="3" ref="G59:G69">SUM(H59:J59)</f>
        <v>1019.1689056999999</v>
      </c>
      <c r="H59" s="148">
        <v>319.21999999999997</v>
      </c>
      <c r="I59" s="148">
        <v>340.60774</v>
      </c>
      <c r="J59" s="148">
        <v>359.3411657</v>
      </c>
      <c r="K59" s="194" t="s">
        <v>278</v>
      </c>
      <c r="L59" s="30"/>
    </row>
    <row r="60" spans="1:11" s="21" customFormat="1" ht="97.5" customHeight="1">
      <c r="A60" s="196"/>
      <c r="B60" s="212"/>
      <c r="C60" s="193"/>
      <c r="D60" s="197"/>
      <c r="E60" s="193"/>
      <c r="F60" s="105" t="s">
        <v>51</v>
      </c>
      <c r="G60" s="148">
        <f t="shared" si="3"/>
        <v>2303.841496</v>
      </c>
      <c r="H60" s="105">
        <v>721.6</v>
      </c>
      <c r="I60" s="148">
        <v>769.9472</v>
      </c>
      <c r="J60" s="148">
        <v>812.2942959999999</v>
      </c>
      <c r="K60" s="194"/>
    </row>
    <row r="61" spans="1:15" s="21" customFormat="1" ht="222.75" customHeight="1">
      <c r="A61" s="151">
        <v>2</v>
      </c>
      <c r="B61" s="172" t="s">
        <v>265</v>
      </c>
      <c r="C61" s="170" t="s">
        <v>284</v>
      </c>
      <c r="D61" s="147" t="s">
        <v>48</v>
      </c>
      <c r="E61" s="170" t="s">
        <v>270</v>
      </c>
      <c r="F61" s="105" t="s">
        <v>46</v>
      </c>
      <c r="G61" s="148">
        <f>H61+I61+J61</f>
        <v>28.734165</v>
      </c>
      <c r="H61" s="148">
        <v>9</v>
      </c>
      <c r="I61" s="148">
        <v>9.603</v>
      </c>
      <c r="J61" s="148">
        <v>10.131165</v>
      </c>
      <c r="K61" s="153" t="s">
        <v>149</v>
      </c>
      <c r="M61" s="32"/>
      <c r="N61" s="32"/>
      <c r="O61" s="36"/>
    </row>
    <row r="62" spans="1:12" s="21" customFormat="1" ht="110.25" customHeight="1">
      <c r="A62" s="196">
        <v>3</v>
      </c>
      <c r="B62" s="212" t="s">
        <v>55</v>
      </c>
      <c r="C62" s="193" t="s">
        <v>171</v>
      </c>
      <c r="D62" s="195" t="s">
        <v>48</v>
      </c>
      <c r="E62" s="193" t="s">
        <v>47</v>
      </c>
      <c r="F62" s="105" t="s">
        <v>46</v>
      </c>
      <c r="G62" s="148">
        <f t="shared" si="3"/>
        <v>1160.91134896</v>
      </c>
      <c r="H62" s="148">
        <v>363.616</v>
      </c>
      <c r="I62" s="148">
        <v>387.97827199999995</v>
      </c>
      <c r="J62" s="148">
        <v>409.3170769599999</v>
      </c>
      <c r="K62" s="194" t="s">
        <v>20</v>
      </c>
      <c r="L62" s="30"/>
    </row>
    <row r="63" spans="1:15" s="21" customFormat="1" ht="113.25" customHeight="1">
      <c r="A63" s="196"/>
      <c r="B63" s="212"/>
      <c r="C63" s="193"/>
      <c r="D63" s="195"/>
      <c r="E63" s="193"/>
      <c r="F63" s="105" t="s">
        <v>51</v>
      </c>
      <c r="G63" s="148">
        <f t="shared" si="3"/>
        <v>893.7921657499999</v>
      </c>
      <c r="H63" s="148">
        <v>279.95</v>
      </c>
      <c r="I63" s="148">
        <v>298.70664999999997</v>
      </c>
      <c r="J63" s="148">
        <v>315.13551574999997</v>
      </c>
      <c r="K63" s="194"/>
      <c r="M63" s="32"/>
      <c r="N63" s="32"/>
      <c r="O63" s="36"/>
    </row>
    <row r="64" spans="1:15" s="21" customFormat="1" ht="50.25" customHeight="1">
      <c r="A64" s="196">
        <v>4</v>
      </c>
      <c r="B64" s="208" t="s">
        <v>56</v>
      </c>
      <c r="C64" s="193" t="s">
        <v>172</v>
      </c>
      <c r="D64" s="195" t="s">
        <v>48</v>
      </c>
      <c r="E64" s="193" t="s">
        <v>47</v>
      </c>
      <c r="F64" s="82" t="s">
        <v>46</v>
      </c>
      <c r="G64" s="148">
        <f t="shared" si="3"/>
        <v>3272.4524576</v>
      </c>
      <c r="H64" s="148">
        <v>1000.4</v>
      </c>
      <c r="I64" s="148">
        <v>1094.4376</v>
      </c>
      <c r="J64" s="148">
        <v>1177.6148576</v>
      </c>
      <c r="K64" s="193" t="s">
        <v>18</v>
      </c>
      <c r="L64" s="37"/>
      <c r="O64" s="28"/>
    </row>
    <row r="65" spans="1:12" s="21" customFormat="1" ht="50.25" customHeight="1">
      <c r="A65" s="196"/>
      <c r="B65" s="208"/>
      <c r="C65" s="193"/>
      <c r="D65" s="195"/>
      <c r="E65" s="193"/>
      <c r="F65" s="82" t="s">
        <v>51</v>
      </c>
      <c r="G65" s="148">
        <f t="shared" si="3"/>
        <v>21092.336512</v>
      </c>
      <c r="H65" s="148">
        <v>6448</v>
      </c>
      <c r="I65" s="148">
        <v>7054.112000000001</v>
      </c>
      <c r="J65" s="148">
        <v>7590.224512000002</v>
      </c>
      <c r="K65" s="193"/>
      <c r="L65" s="37"/>
    </row>
    <row r="66" spans="1:14" s="21" customFormat="1" ht="100.5" customHeight="1">
      <c r="A66" s="196"/>
      <c r="B66" s="208"/>
      <c r="C66" s="193"/>
      <c r="D66" s="195"/>
      <c r="E66" s="193"/>
      <c r="F66" s="105" t="s">
        <v>57</v>
      </c>
      <c r="G66" s="148">
        <f t="shared" si="3"/>
        <v>13296.546131200002</v>
      </c>
      <c r="H66" s="148">
        <v>4064.8</v>
      </c>
      <c r="I66" s="148">
        <v>4446.891200000001</v>
      </c>
      <c r="J66" s="148">
        <v>4784.854931200001</v>
      </c>
      <c r="K66" s="193"/>
      <c r="L66" s="38"/>
      <c r="M66" s="32"/>
      <c r="N66" s="32"/>
    </row>
    <row r="67" spans="1:12" s="21" customFormat="1" ht="81" customHeight="1">
      <c r="A67" s="213">
        <v>5</v>
      </c>
      <c r="B67" s="208" t="s">
        <v>39</v>
      </c>
      <c r="C67" s="222" t="s">
        <v>173</v>
      </c>
      <c r="D67" s="195" t="s">
        <v>48</v>
      </c>
      <c r="E67" s="193" t="s">
        <v>47</v>
      </c>
      <c r="F67" s="82" t="s">
        <v>46</v>
      </c>
      <c r="G67" s="148">
        <f t="shared" si="3"/>
        <v>1887.1448348346</v>
      </c>
      <c r="H67" s="148">
        <v>584.6467</v>
      </c>
      <c r="I67" s="148">
        <v>632.5877294000001</v>
      </c>
      <c r="J67" s="148">
        <v>669.9104054346001</v>
      </c>
      <c r="K67" s="223" t="s">
        <v>19</v>
      </c>
      <c r="L67" s="37"/>
    </row>
    <row r="68" spans="1:12" s="35" customFormat="1" ht="103.5" customHeight="1">
      <c r="A68" s="213"/>
      <c r="B68" s="208"/>
      <c r="C68" s="222"/>
      <c r="D68" s="195"/>
      <c r="E68" s="193"/>
      <c r="F68" s="82" t="s">
        <v>51</v>
      </c>
      <c r="G68" s="148">
        <f t="shared" si="3"/>
        <v>979.6520608380001</v>
      </c>
      <c r="H68" s="148">
        <v>303.50100000000003</v>
      </c>
      <c r="I68" s="148">
        <v>328.38808200000005</v>
      </c>
      <c r="J68" s="148">
        <v>347.76297883800004</v>
      </c>
      <c r="K68" s="223"/>
      <c r="L68" s="39"/>
    </row>
    <row r="69" spans="1:12" s="35" customFormat="1" ht="145.5" customHeight="1">
      <c r="A69" s="146">
        <v>6</v>
      </c>
      <c r="B69" s="98" t="s">
        <v>40</v>
      </c>
      <c r="C69" s="154" t="s">
        <v>174</v>
      </c>
      <c r="D69" s="147" t="s">
        <v>48</v>
      </c>
      <c r="E69" s="152" t="s">
        <v>47</v>
      </c>
      <c r="F69" s="82" t="s">
        <v>51</v>
      </c>
      <c r="G69" s="148">
        <f t="shared" si="3"/>
        <v>1404.7813999999998</v>
      </c>
      <c r="H69" s="148">
        <v>440</v>
      </c>
      <c r="I69" s="148">
        <v>469.47999999999996</v>
      </c>
      <c r="J69" s="148">
        <v>495.30139999999994</v>
      </c>
      <c r="K69" s="174" t="s">
        <v>277</v>
      </c>
      <c r="L69" s="40"/>
    </row>
    <row r="70" spans="1:12" s="35" customFormat="1" ht="31.5" customHeight="1">
      <c r="A70" s="192" t="s">
        <v>52</v>
      </c>
      <c r="B70" s="192"/>
      <c r="C70" s="192"/>
      <c r="D70" s="192"/>
      <c r="E70" s="192"/>
      <c r="F70" s="104"/>
      <c r="G70" s="150">
        <f>G59+G60+G62+G63+G64+G65+G66+G67+G68+G69+G61</f>
        <v>47339.36147788261</v>
      </c>
      <c r="H70" s="150">
        <f>H59+H60+H62+H63+H64+H65+H66+H67+H68+H69+H61</f>
        <v>14534.733699999999</v>
      </c>
      <c r="I70" s="150">
        <f>I59+I60+I62+I63+I64+I65+I66+I67+I68+I69+I61</f>
        <v>15832.7394734</v>
      </c>
      <c r="J70" s="150">
        <f>J59+J60+J62+J63+J64+J65+J66+J67+J68+J69+J61</f>
        <v>16971.888304482603</v>
      </c>
      <c r="K70" s="82"/>
      <c r="L70" s="40"/>
    </row>
    <row r="71" spans="1:12" s="35" customFormat="1" ht="63.75" customHeight="1">
      <c r="A71" s="192" t="s">
        <v>53</v>
      </c>
      <c r="B71" s="192"/>
      <c r="C71" s="192"/>
      <c r="D71" s="192"/>
      <c r="E71" s="192"/>
      <c r="F71" s="104" t="s">
        <v>46</v>
      </c>
      <c r="G71" s="150">
        <f>G59+G62+G64+G67+G61</f>
        <v>7368.411712094599</v>
      </c>
      <c r="H71" s="150">
        <f>H59+H62+H64+H67+H61</f>
        <v>2276.8827</v>
      </c>
      <c r="I71" s="150">
        <f>I59+I62+I64+I67+I61</f>
        <v>2465.2143414</v>
      </c>
      <c r="J71" s="150">
        <f>J59+J62+J64+J67+J61</f>
        <v>2626.3146706946</v>
      </c>
      <c r="K71" s="82"/>
      <c r="L71" s="40"/>
    </row>
    <row r="72" spans="1:12" s="35" customFormat="1" ht="75.75" customHeight="1">
      <c r="A72" s="213"/>
      <c r="B72" s="213"/>
      <c r="C72" s="213"/>
      <c r="D72" s="213"/>
      <c r="E72" s="213"/>
      <c r="F72" s="104" t="s">
        <v>51</v>
      </c>
      <c r="G72" s="150">
        <f>G60+G63+G65+G68+G69</f>
        <v>26674.403634588</v>
      </c>
      <c r="H72" s="150">
        <f>H60+H63+H65+H68+H69</f>
        <v>8193.051</v>
      </c>
      <c r="I72" s="150">
        <f>I60+I63+I65+I68+I69</f>
        <v>8920.633932</v>
      </c>
      <c r="J72" s="150">
        <f>J60+J63+J65+J68+J69</f>
        <v>9560.718702588001</v>
      </c>
      <c r="K72" s="82"/>
      <c r="L72" s="40"/>
    </row>
    <row r="73" spans="1:12" s="35" customFormat="1" ht="83.25" customHeight="1">
      <c r="A73" s="224"/>
      <c r="B73" s="224"/>
      <c r="C73" s="224"/>
      <c r="D73" s="224"/>
      <c r="E73" s="224"/>
      <c r="F73" s="104" t="s">
        <v>57</v>
      </c>
      <c r="G73" s="150">
        <f>G66</f>
        <v>13296.546131200002</v>
      </c>
      <c r="H73" s="150">
        <f>H66</f>
        <v>4064.8</v>
      </c>
      <c r="I73" s="150">
        <f>I66</f>
        <v>4446.891200000001</v>
      </c>
      <c r="J73" s="150">
        <f>J66</f>
        <v>4784.854931200001</v>
      </c>
      <c r="K73" s="82"/>
      <c r="L73" s="40"/>
    </row>
    <row r="74" spans="1:11" ht="41.25" customHeight="1">
      <c r="A74" s="209" t="s">
        <v>65</v>
      </c>
      <c r="B74" s="209"/>
      <c r="C74" s="209"/>
      <c r="D74" s="209"/>
      <c r="E74" s="209"/>
      <c r="F74" s="209"/>
      <c r="G74" s="209"/>
      <c r="H74" s="209"/>
      <c r="I74" s="209"/>
      <c r="J74" s="209"/>
      <c r="K74" s="209"/>
    </row>
    <row r="75" spans="1:11" ht="84" customHeight="1">
      <c r="A75" s="146">
        <v>1</v>
      </c>
      <c r="B75" s="155" t="s">
        <v>66</v>
      </c>
      <c r="C75" s="156" t="s">
        <v>21</v>
      </c>
      <c r="D75" s="147" t="s">
        <v>48</v>
      </c>
      <c r="E75" s="152" t="s">
        <v>47</v>
      </c>
      <c r="F75" s="105" t="s">
        <v>241</v>
      </c>
      <c r="G75" s="148">
        <f>SUM(H75:J75)</f>
        <v>46293.932499999995</v>
      </c>
      <c r="H75" s="148">
        <v>14500</v>
      </c>
      <c r="I75" s="148">
        <v>15471.5</v>
      </c>
      <c r="J75" s="148">
        <v>16322.432499999999</v>
      </c>
      <c r="K75" s="82" t="s">
        <v>22</v>
      </c>
    </row>
    <row r="76" spans="1:11" ht="191.25" customHeight="1">
      <c r="A76" s="146">
        <v>2</v>
      </c>
      <c r="B76" s="98" t="s">
        <v>64</v>
      </c>
      <c r="C76" s="156" t="s">
        <v>23</v>
      </c>
      <c r="D76" s="147" t="s">
        <v>48</v>
      </c>
      <c r="E76" s="152" t="s">
        <v>47</v>
      </c>
      <c r="F76" s="105" t="s">
        <v>241</v>
      </c>
      <c r="G76" s="148">
        <f>SUM(H76:J76)</f>
        <v>1456.3000000000002</v>
      </c>
      <c r="H76" s="148">
        <f>9000-7543.7</f>
        <v>1456.3000000000002</v>
      </c>
      <c r="I76" s="148"/>
      <c r="J76" s="148"/>
      <c r="K76" s="82" t="s">
        <v>24</v>
      </c>
    </row>
    <row r="77" spans="1:11" ht="24.75" customHeight="1">
      <c r="A77" s="192" t="s">
        <v>52</v>
      </c>
      <c r="B77" s="192"/>
      <c r="C77" s="192"/>
      <c r="D77" s="192"/>
      <c r="E77" s="192"/>
      <c r="F77" s="104"/>
      <c r="G77" s="150">
        <f>G75+G76</f>
        <v>47750.2325</v>
      </c>
      <c r="H77" s="150">
        <f>H75+H76</f>
        <v>15956.3</v>
      </c>
      <c r="I77" s="150">
        <f>I75+I76</f>
        <v>15471.5</v>
      </c>
      <c r="J77" s="150">
        <f>J75+J76</f>
        <v>16322.432499999999</v>
      </c>
      <c r="K77" s="82"/>
    </row>
    <row r="78" spans="1:11" ht="144.75" customHeight="1">
      <c r="A78" s="192" t="s">
        <v>53</v>
      </c>
      <c r="B78" s="192"/>
      <c r="C78" s="192"/>
      <c r="D78" s="192"/>
      <c r="E78" s="192"/>
      <c r="F78" s="104" t="s">
        <v>241</v>
      </c>
      <c r="G78" s="150">
        <f>G75+G76</f>
        <v>47750.2325</v>
      </c>
      <c r="H78" s="150">
        <f>H75+H76</f>
        <v>15956.3</v>
      </c>
      <c r="I78" s="150">
        <f>I75+I76</f>
        <v>15471.5</v>
      </c>
      <c r="J78" s="150">
        <f>J75+J76</f>
        <v>16322.432499999999</v>
      </c>
      <c r="K78" s="82"/>
    </row>
    <row r="79" spans="1:11" ht="40.5" customHeight="1">
      <c r="A79" s="207" t="s">
        <v>73</v>
      </c>
      <c r="B79" s="207"/>
      <c r="C79" s="207"/>
      <c r="D79" s="207"/>
      <c r="E79" s="207"/>
      <c r="F79" s="207"/>
      <c r="G79" s="207"/>
      <c r="H79" s="207"/>
      <c r="I79" s="207"/>
      <c r="J79" s="207"/>
      <c r="K79" s="207"/>
    </row>
    <row r="80" spans="1:11" ht="147" customHeight="1">
      <c r="A80" s="146" t="s">
        <v>68</v>
      </c>
      <c r="B80" s="155" t="s">
        <v>69</v>
      </c>
      <c r="C80" s="156" t="s">
        <v>67</v>
      </c>
      <c r="D80" s="147" t="s">
        <v>48</v>
      </c>
      <c r="E80" s="152" t="s">
        <v>47</v>
      </c>
      <c r="F80" s="82" t="s">
        <v>46</v>
      </c>
      <c r="G80" s="148">
        <f>SUM(H80:J80)</f>
        <v>9345.698117751821</v>
      </c>
      <c r="H80" s="148">
        <v>2862.7158999999997</v>
      </c>
      <c r="I80" s="148">
        <v>3125.5330238</v>
      </c>
      <c r="J80" s="148">
        <v>3357.4491939518207</v>
      </c>
      <c r="K80" s="82" t="s">
        <v>90</v>
      </c>
    </row>
    <row r="81" spans="1:16" ht="34.5" customHeight="1">
      <c r="A81" s="192" t="s">
        <v>52</v>
      </c>
      <c r="B81" s="192"/>
      <c r="C81" s="192"/>
      <c r="D81" s="192"/>
      <c r="E81" s="192"/>
      <c r="F81" s="104"/>
      <c r="G81" s="150">
        <f>G80</f>
        <v>9345.698117751821</v>
      </c>
      <c r="H81" s="150">
        <f>H80</f>
        <v>2862.7158999999997</v>
      </c>
      <c r="I81" s="150">
        <f>I80</f>
        <v>3125.5330238</v>
      </c>
      <c r="J81" s="150">
        <f>J80</f>
        <v>3357.4491939518207</v>
      </c>
      <c r="K81" s="82"/>
      <c r="M81" s="41"/>
      <c r="N81" s="41"/>
      <c r="O81" s="41"/>
      <c r="P81" s="41"/>
    </row>
    <row r="82" spans="1:16" ht="71.25" customHeight="1">
      <c r="A82" s="192" t="s">
        <v>53</v>
      </c>
      <c r="B82" s="192"/>
      <c r="C82" s="192"/>
      <c r="D82" s="192"/>
      <c r="E82" s="192"/>
      <c r="F82" s="98" t="s">
        <v>46</v>
      </c>
      <c r="G82" s="150">
        <f>G80</f>
        <v>9345.698117751821</v>
      </c>
      <c r="H82" s="150">
        <f>H80</f>
        <v>2862.7158999999997</v>
      </c>
      <c r="I82" s="150">
        <f>I80</f>
        <v>3125.5330238</v>
      </c>
      <c r="J82" s="150">
        <f>J80</f>
        <v>3357.4491939518207</v>
      </c>
      <c r="K82" s="82"/>
      <c r="M82" s="41"/>
      <c r="N82" s="41"/>
      <c r="O82" s="41"/>
      <c r="P82" s="41"/>
    </row>
    <row r="83" spans="1:16" ht="53.25" customHeight="1">
      <c r="A83" s="207" t="s">
        <v>166</v>
      </c>
      <c r="B83" s="207"/>
      <c r="C83" s="207"/>
      <c r="D83" s="207"/>
      <c r="E83" s="207"/>
      <c r="F83" s="207"/>
      <c r="G83" s="207"/>
      <c r="H83" s="207"/>
      <c r="I83" s="207"/>
      <c r="J83" s="207"/>
      <c r="K83" s="207"/>
      <c r="M83" s="41"/>
      <c r="O83" s="41"/>
      <c r="P83" s="41"/>
    </row>
    <row r="84" spans="1:16" ht="99" customHeight="1">
      <c r="A84" s="146" t="s">
        <v>68</v>
      </c>
      <c r="B84" s="98" t="s">
        <v>60</v>
      </c>
      <c r="C84" s="156" t="s">
        <v>167</v>
      </c>
      <c r="D84" s="147" t="s">
        <v>48</v>
      </c>
      <c r="E84" s="152" t="s">
        <v>47</v>
      </c>
      <c r="F84" s="82" t="s">
        <v>46</v>
      </c>
      <c r="G84" s="148">
        <f>SUM(H84:J84)</f>
        <v>7388.894749199999</v>
      </c>
      <c r="H84" s="148">
        <v>2314.3199999999997</v>
      </c>
      <c r="I84" s="148">
        <v>2469.3794399999997</v>
      </c>
      <c r="J84" s="148">
        <v>2605.1953091999994</v>
      </c>
      <c r="K84" s="153" t="s">
        <v>175</v>
      </c>
      <c r="L84" s="41"/>
      <c r="M84" s="41"/>
      <c r="N84" s="41"/>
      <c r="O84" s="41"/>
      <c r="P84" s="41"/>
    </row>
    <row r="85" spans="1:16" ht="235.5" customHeight="1">
      <c r="A85" s="146">
        <v>2</v>
      </c>
      <c r="B85" s="172" t="s">
        <v>265</v>
      </c>
      <c r="C85" s="170" t="s">
        <v>269</v>
      </c>
      <c r="D85" s="147" t="s">
        <v>48</v>
      </c>
      <c r="E85" s="170" t="s">
        <v>270</v>
      </c>
      <c r="F85" s="82" t="s">
        <v>46</v>
      </c>
      <c r="G85" s="148">
        <f>SUM(H85:J85)</f>
        <v>638.5369999999999</v>
      </c>
      <c r="H85" s="148">
        <v>200</v>
      </c>
      <c r="I85" s="148">
        <v>213.39999999999998</v>
      </c>
      <c r="J85" s="148">
        <v>225.13699999999997</v>
      </c>
      <c r="K85" s="153" t="s">
        <v>149</v>
      </c>
      <c r="L85" s="41"/>
      <c r="M85" s="41"/>
      <c r="N85" s="41"/>
      <c r="O85" s="41"/>
      <c r="P85" s="41"/>
    </row>
    <row r="86" spans="1:16" ht="316.5" customHeight="1">
      <c r="A86" s="146">
        <v>3</v>
      </c>
      <c r="B86" s="172" t="s">
        <v>265</v>
      </c>
      <c r="C86" s="170" t="s">
        <v>268</v>
      </c>
      <c r="D86" s="147" t="s">
        <v>210</v>
      </c>
      <c r="E86" s="170" t="s">
        <v>270</v>
      </c>
      <c r="F86" s="82" t="s">
        <v>46</v>
      </c>
      <c r="G86" s="148">
        <f>SUM(H86:J86)</f>
        <v>88</v>
      </c>
      <c r="H86" s="148">
        <v>88</v>
      </c>
      <c r="I86" s="148"/>
      <c r="J86" s="148"/>
      <c r="K86" s="153" t="s">
        <v>214</v>
      </c>
      <c r="L86" s="41"/>
      <c r="M86" s="41"/>
      <c r="N86" s="41"/>
      <c r="O86" s="41"/>
      <c r="P86" s="41"/>
    </row>
    <row r="87" spans="1:16" ht="324.75" customHeight="1">
      <c r="A87" s="146">
        <v>4</v>
      </c>
      <c r="B87" s="104" t="s">
        <v>212</v>
      </c>
      <c r="C87" s="152" t="s">
        <v>213</v>
      </c>
      <c r="D87" s="147" t="s">
        <v>210</v>
      </c>
      <c r="E87" s="152" t="s">
        <v>47</v>
      </c>
      <c r="F87" s="82" t="s">
        <v>51</v>
      </c>
      <c r="G87" s="148">
        <f>SUM(H87:J87)</f>
        <v>3000</v>
      </c>
      <c r="H87" s="148">
        <v>3000</v>
      </c>
      <c r="I87" s="148"/>
      <c r="J87" s="148"/>
      <c r="K87" s="153" t="s">
        <v>243</v>
      </c>
      <c r="L87" s="41"/>
      <c r="M87" s="41"/>
      <c r="N87" s="41"/>
      <c r="O87" s="41"/>
      <c r="P87" s="41"/>
    </row>
    <row r="88" spans="1:16" ht="53.25" customHeight="1">
      <c r="A88" s="192" t="s">
        <v>52</v>
      </c>
      <c r="B88" s="192"/>
      <c r="C88" s="192"/>
      <c r="D88" s="192"/>
      <c r="E88" s="192"/>
      <c r="F88" s="104"/>
      <c r="G88" s="150">
        <f>G84+G85+G86+G87</f>
        <v>11115.4317492</v>
      </c>
      <c r="H88" s="150">
        <f>H84+H85+H86+H87</f>
        <v>5602.32</v>
      </c>
      <c r="I88" s="150">
        <f>I84+I85</f>
        <v>2682.77944</v>
      </c>
      <c r="J88" s="150">
        <f>J84+J85</f>
        <v>2830.3323091999996</v>
      </c>
      <c r="K88" s="82"/>
      <c r="M88" s="41"/>
      <c r="N88" s="41"/>
      <c r="O88" s="41"/>
      <c r="P88" s="41"/>
    </row>
    <row r="89" spans="1:16" ht="73.5" customHeight="1">
      <c r="A89" s="198" t="s">
        <v>53</v>
      </c>
      <c r="B89" s="199"/>
      <c r="C89" s="199"/>
      <c r="D89" s="199"/>
      <c r="E89" s="200"/>
      <c r="F89" s="98" t="s">
        <v>46</v>
      </c>
      <c r="G89" s="150">
        <f>G84+G85+G86</f>
        <v>8115.431749199999</v>
      </c>
      <c r="H89" s="150">
        <f>H84+H85+H86</f>
        <v>2602.3199999999997</v>
      </c>
      <c r="I89" s="150">
        <f>I84+I85+I86</f>
        <v>2682.77944</v>
      </c>
      <c r="J89" s="150">
        <f>J84+J85+J86</f>
        <v>2830.3323091999996</v>
      </c>
      <c r="K89" s="82"/>
      <c r="M89" s="41"/>
      <c r="N89" s="41"/>
      <c r="O89" s="41"/>
      <c r="P89" s="41"/>
    </row>
    <row r="90" spans="1:16" ht="82.5" customHeight="1">
      <c r="A90" s="204"/>
      <c r="B90" s="205"/>
      <c r="C90" s="205"/>
      <c r="D90" s="205"/>
      <c r="E90" s="206"/>
      <c r="F90" s="98" t="s">
        <v>51</v>
      </c>
      <c r="G90" s="150">
        <f>G87</f>
        <v>3000</v>
      </c>
      <c r="H90" s="150">
        <f>H87</f>
        <v>3000</v>
      </c>
      <c r="I90" s="150">
        <f>I87</f>
        <v>0</v>
      </c>
      <c r="J90" s="150">
        <f>J87</f>
        <v>0</v>
      </c>
      <c r="K90" s="82"/>
      <c r="M90" s="41"/>
      <c r="N90" s="41"/>
      <c r="O90" s="41"/>
      <c r="P90" s="41"/>
    </row>
    <row r="91" spans="1:16" ht="53.25" customHeight="1">
      <c r="A91" s="238" t="s">
        <v>286</v>
      </c>
      <c r="B91" s="239"/>
      <c r="C91" s="239"/>
      <c r="D91" s="239"/>
      <c r="E91" s="239"/>
      <c r="F91" s="239"/>
      <c r="G91" s="239"/>
      <c r="H91" s="239"/>
      <c r="I91" s="239"/>
      <c r="J91" s="239"/>
      <c r="K91" s="240"/>
      <c r="L91" s="73"/>
      <c r="M91" s="73"/>
      <c r="N91" s="73"/>
      <c r="O91" s="41"/>
      <c r="P91" s="41"/>
    </row>
    <row r="92" spans="1:16" ht="84" customHeight="1">
      <c r="A92" s="241" t="s">
        <v>136</v>
      </c>
      <c r="B92" s="235" t="s">
        <v>285</v>
      </c>
      <c r="C92" s="226" t="s">
        <v>217</v>
      </c>
      <c r="D92" s="243" t="s">
        <v>210</v>
      </c>
      <c r="E92" s="245" t="s">
        <v>47</v>
      </c>
      <c r="F92" s="104" t="s">
        <v>51</v>
      </c>
      <c r="G92" s="148">
        <f>SUM(H92:J92)</f>
        <v>679.9</v>
      </c>
      <c r="H92" s="150">
        <v>679.9</v>
      </c>
      <c r="I92" s="150"/>
      <c r="J92" s="150"/>
      <c r="K92" s="226" t="s">
        <v>215</v>
      </c>
      <c r="M92" s="41"/>
      <c r="N92" s="41"/>
      <c r="O92" s="41"/>
      <c r="P92" s="41"/>
    </row>
    <row r="93" spans="1:16" ht="166.5" customHeight="1">
      <c r="A93" s="242"/>
      <c r="B93" s="237"/>
      <c r="C93" s="228"/>
      <c r="D93" s="244"/>
      <c r="E93" s="246"/>
      <c r="F93" s="104" t="s">
        <v>245</v>
      </c>
      <c r="G93" s="148">
        <f>SUM(H93:J93)</f>
        <v>2639.235</v>
      </c>
      <c r="H93" s="150">
        <v>2639.235</v>
      </c>
      <c r="I93" s="150"/>
      <c r="J93" s="150"/>
      <c r="K93" s="228"/>
      <c r="M93" s="41"/>
      <c r="N93" s="41"/>
      <c r="O93" s="41"/>
      <c r="P93" s="41"/>
    </row>
    <row r="94" spans="1:16" ht="53.25" customHeight="1">
      <c r="A94" s="192" t="s">
        <v>52</v>
      </c>
      <c r="B94" s="192"/>
      <c r="C94" s="192"/>
      <c r="D94" s="192"/>
      <c r="E94" s="192"/>
      <c r="F94" s="104"/>
      <c r="G94" s="150">
        <f>G92+G93</f>
        <v>3319.135</v>
      </c>
      <c r="H94" s="150">
        <f>H92+H93</f>
        <v>3319.135</v>
      </c>
      <c r="I94" s="150">
        <f>I92+I93</f>
        <v>0</v>
      </c>
      <c r="J94" s="150">
        <f>J92+J93</f>
        <v>0</v>
      </c>
      <c r="K94" s="82"/>
      <c r="M94" s="41"/>
      <c r="N94" s="41"/>
      <c r="O94" s="41"/>
      <c r="P94" s="41"/>
    </row>
    <row r="95" spans="1:16" ht="76.5" customHeight="1">
      <c r="A95" s="198" t="s">
        <v>53</v>
      </c>
      <c r="B95" s="199"/>
      <c r="C95" s="199"/>
      <c r="D95" s="199"/>
      <c r="E95" s="200"/>
      <c r="F95" s="104" t="s">
        <v>51</v>
      </c>
      <c r="G95" s="150">
        <f aca="true" t="shared" si="4" ref="G95:J96">G92</f>
        <v>679.9</v>
      </c>
      <c r="H95" s="150">
        <f t="shared" si="4"/>
        <v>679.9</v>
      </c>
      <c r="I95" s="150">
        <f t="shared" si="4"/>
        <v>0</v>
      </c>
      <c r="J95" s="150">
        <f t="shared" si="4"/>
        <v>0</v>
      </c>
      <c r="K95" s="82"/>
      <c r="M95" s="41"/>
      <c r="N95" s="41"/>
      <c r="O95" s="41"/>
      <c r="P95" s="41"/>
    </row>
    <row r="96" spans="1:16" ht="154.5" customHeight="1">
      <c r="A96" s="204"/>
      <c r="B96" s="205"/>
      <c r="C96" s="205"/>
      <c r="D96" s="205"/>
      <c r="E96" s="206"/>
      <c r="F96" s="104" t="s">
        <v>245</v>
      </c>
      <c r="G96" s="150">
        <f t="shared" si="4"/>
        <v>2639.235</v>
      </c>
      <c r="H96" s="150">
        <f t="shared" si="4"/>
        <v>2639.235</v>
      </c>
      <c r="I96" s="150">
        <f t="shared" si="4"/>
        <v>0</v>
      </c>
      <c r="J96" s="150">
        <f t="shared" si="4"/>
        <v>0</v>
      </c>
      <c r="K96" s="82"/>
      <c r="M96" s="41"/>
      <c r="N96" s="41"/>
      <c r="O96" s="41"/>
      <c r="P96" s="41"/>
    </row>
    <row r="97" spans="1:16" ht="41.25" customHeight="1">
      <c r="A97" s="247" t="s">
        <v>271</v>
      </c>
      <c r="B97" s="239"/>
      <c r="C97" s="239"/>
      <c r="D97" s="239"/>
      <c r="E97" s="239"/>
      <c r="F97" s="239"/>
      <c r="G97" s="239"/>
      <c r="H97" s="239"/>
      <c r="I97" s="239"/>
      <c r="J97" s="239"/>
      <c r="K97" s="240"/>
      <c r="L97" s="73"/>
      <c r="M97" s="73"/>
      <c r="N97" s="73"/>
      <c r="O97" s="67"/>
      <c r="P97" s="41"/>
    </row>
    <row r="98" spans="1:16" ht="73.5" customHeight="1">
      <c r="A98" s="241" t="s">
        <v>136</v>
      </c>
      <c r="B98" s="235" t="s">
        <v>273</v>
      </c>
      <c r="C98" s="226" t="s">
        <v>276</v>
      </c>
      <c r="D98" s="243" t="s">
        <v>210</v>
      </c>
      <c r="E98" s="245" t="s">
        <v>47</v>
      </c>
      <c r="F98" s="104" t="s">
        <v>51</v>
      </c>
      <c r="G98" s="150">
        <f>H98+I98+J98</f>
        <v>8710</v>
      </c>
      <c r="H98" s="150">
        <f>12610-3900</f>
        <v>8710</v>
      </c>
      <c r="I98" s="150">
        <v>0</v>
      </c>
      <c r="J98" s="150">
        <v>0</v>
      </c>
      <c r="K98" s="226" t="s">
        <v>219</v>
      </c>
      <c r="M98" s="41"/>
      <c r="N98" s="41"/>
      <c r="O98" s="41"/>
      <c r="P98" s="41"/>
    </row>
    <row r="99" spans="1:16" ht="135.75" customHeight="1">
      <c r="A99" s="242"/>
      <c r="B99" s="237"/>
      <c r="C99" s="228"/>
      <c r="D99" s="244"/>
      <c r="E99" s="246"/>
      <c r="F99" s="104" t="s">
        <v>218</v>
      </c>
      <c r="G99" s="150">
        <f>H99+I99+J99</f>
        <v>3900</v>
      </c>
      <c r="H99" s="150">
        <v>3900</v>
      </c>
      <c r="I99" s="150">
        <v>0</v>
      </c>
      <c r="J99" s="150">
        <v>0</v>
      </c>
      <c r="K99" s="227"/>
      <c r="M99" s="41"/>
      <c r="N99" s="41"/>
      <c r="O99" s="41"/>
      <c r="P99" s="41"/>
    </row>
    <row r="100" spans="1:16" ht="53.25" customHeight="1">
      <c r="A100" s="192" t="s">
        <v>52</v>
      </c>
      <c r="B100" s="192"/>
      <c r="C100" s="192"/>
      <c r="D100" s="192"/>
      <c r="E100" s="192"/>
      <c r="F100" s="104"/>
      <c r="G100" s="150">
        <f>G98+G99</f>
        <v>12610</v>
      </c>
      <c r="H100" s="150">
        <f>H98+H99</f>
        <v>12610</v>
      </c>
      <c r="I100" s="150">
        <f>I98+I99</f>
        <v>0</v>
      </c>
      <c r="J100" s="150">
        <f>J98+J99</f>
        <v>0</v>
      </c>
      <c r="K100" s="228"/>
      <c r="M100" s="41"/>
      <c r="N100" s="41"/>
      <c r="O100" s="41"/>
      <c r="P100" s="41"/>
    </row>
    <row r="101" spans="1:16" ht="87" customHeight="1">
      <c r="A101" s="198" t="s">
        <v>53</v>
      </c>
      <c r="B101" s="199"/>
      <c r="C101" s="199"/>
      <c r="D101" s="199"/>
      <c r="E101" s="200"/>
      <c r="F101" s="104" t="s">
        <v>51</v>
      </c>
      <c r="G101" s="150">
        <f>G98</f>
        <v>8710</v>
      </c>
      <c r="H101" s="150">
        <f aca="true" t="shared" si="5" ref="H101:J102">H98</f>
        <v>8710</v>
      </c>
      <c r="I101" s="150">
        <f t="shared" si="5"/>
        <v>0</v>
      </c>
      <c r="J101" s="150">
        <f t="shared" si="5"/>
        <v>0</v>
      </c>
      <c r="K101" s="82"/>
      <c r="M101" s="41"/>
      <c r="N101" s="41"/>
      <c r="O101" s="41"/>
      <c r="P101" s="41"/>
    </row>
    <row r="102" spans="1:16" ht="59.25" customHeight="1">
      <c r="A102" s="204"/>
      <c r="B102" s="205"/>
      <c r="C102" s="205"/>
      <c r="D102" s="205"/>
      <c r="E102" s="206"/>
      <c r="F102" s="104" t="s">
        <v>218</v>
      </c>
      <c r="G102" s="150">
        <f>G99</f>
        <v>3900</v>
      </c>
      <c r="H102" s="150">
        <f t="shared" si="5"/>
        <v>3900</v>
      </c>
      <c r="I102" s="150">
        <f t="shared" si="5"/>
        <v>0</v>
      </c>
      <c r="J102" s="150">
        <f t="shared" si="5"/>
        <v>0</v>
      </c>
      <c r="K102" s="82"/>
      <c r="M102" s="41"/>
      <c r="N102" s="41"/>
      <c r="O102" s="41"/>
      <c r="P102" s="41"/>
    </row>
    <row r="103" spans="1:16" ht="69" customHeight="1">
      <c r="A103" s="247" t="s">
        <v>272</v>
      </c>
      <c r="B103" s="239"/>
      <c r="C103" s="239"/>
      <c r="D103" s="239"/>
      <c r="E103" s="239"/>
      <c r="F103" s="239"/>
      <c r="G103" s="239"/>
      <c r="H103" s="239"/>
      <c r="I103" s="239"/>
      <c r="J103" s="239"/>
      <c r="K103" s="240"/>
      <c r="L103" s="73"/>
      <c r="M103" s="73"/>
      <c r="N103" s="73"/>
      <c r="O103" s="41"/>
      <c r="P103" s="41"/>
    </row>
    <row r="104" spans="1:16" ht="177.75" customHeight="1">
      <c r="A104" s="157" t="s">
        <v>136</v>
      </c>
      <c r="B104" s="175" t="s">
        <v>273</v>
      </c>
      <c r="C104" s="158" t="s">
        <v>239</v>
      </c>
      <c r="D104" s="159" t="s">
        <v>210</v>
      </c>
      <c r="E104" s="98" t="s">
        <v>47</v>
      </c>
      <c r="F104" s="104" t="s">
        <v>221</v>
      </c>
      <c r="G104" s="150">
        <f>H104+I104+J104</f>
        <v>9392.65358</v>
      </c>
      <c r="H104" s="150">
        <v>9392.65358</v>
      </c>
      <c r="I104" s="150">
        <v>0</v>
      </c>
      <c r="J104" s="150">
        <v>0</v>
      </c>
      <c r="K104" s="82"/>
      <c r="M104" s="41"/>
      <c r="N104" s="41"/>
      <c r="O104" s="41"/>
      <c r="P104" s="41"/>
    </row>
    <row r="105" spans="1:16" ht="27.75" customHeight="1">
      <c r="A105" s="192" t="s">
        <v>52</v>
      </c>
      <c r="B105" s="192"/>
      <c r="C105" s="192"/>
      <c r="D105" s="192"/>
      <c r="E105" s="192"/>
      <c r="F105" s="104"/>
      <c r="G105" s="150">
        <f>G104</f>
        <v>9392.65358</v>
      </c>
      <c r="H105" s="150">
        <f aca="true" t="shared" si="6" ref="H105:J106">H104</f>
        <v>9392.65358</v>
      </c>
      <c r="I105" s="150">
        <f t="shared" si="6"/>
        <v>0</v>
      </c>
      <c r="J105" s="150">
        <f t="shared" si="6"/>
        <v>0</v>
      </c>
      <c r="K105" s="82"/>
      <c r="M105" s="41"/>
      <c r="N105" s="41"/>
      <c r="O105" s="41"/>
      <c r="P105" s="41"/>
    </row>
    <row r="106" spans="1:16" ht="42" customHeight="1">
      <c r="A106" s="160" t="s">
        <v>53</v>
      </c>
      <c r="B106" s="161"/>
      <c r="C106" s="161"/>
      <c r="D106" s="161"/>
      <c r="E106" s="162"/>
      <c r="F106" s="104" t="s">
        <v>221</v>
      </c>
      <c r="G106" s="150">
        <f>G105</f>
        <v>9392.65358</v>
      </c>
      <c r="H106" s="150">
        <f t="shared" si="6"/>
        <v>9392.65358</v>
      </c>
      <c r="I106" s="150">
        <f t="shared" si="6"/>
        <v>0</v>
      </c>
      <c r="J106" s="150">
        <f t="shared" si="6"/>
        <v>0</v>
      </c>
      <c r="K106" s="82"/>
      <c r="M106" s="41"/>
      <c r="N106" s="41"/>
      <c r="O106" s="41"/>
      <c r="P106" s="41"/>
    </row>
    <row r="107" spans="1:16" ht="53.25" customHeight="1">
      <c r="A107" s="238" t="s">
        <v>261</v>
      </c>
      <c r="B107" s="239"/>
      <c r="C107" s="239"/>
      <c r="D107" s="239"/>
      <c r="E107" s="239"/>
      <c r="F107" s="239"/>
      <c r="G107" s="239"/>
      <c r="H107" s="239"/>
      <c r="I107" s="239"/>
      <c r="J107" s="239"/>
      <c r="K107" s="240"/>
      <c r="L107" s="73"/>
      <c r="M107" s="73"/>
      <c r="N107" s="73"/>
      <c r="O107" s="67"/>
      <c r="P107" s="41"/>
    </row>
    <row r="108" spans="1:16" ht="152.25" customHeight="1">
      <c r="A108" s="163" t="s">
        <v>136</v>
      </c>
      <c r="B108" s="104" t="s">
        <v>222</v>
      </c>
      <c r="C108" s="164"/>
      <c r="D108" s="165" t="s">
        <v>210</v>
      </c>
      <c r="E108" s="98" t="s">
        <v>223</v>
      </c>
      <c r="F108" s="104" t="s">
        <v>51</v>
      </c>
      <c r="G108" s="150">
        <f>H108+I108+J108</f>
        <v>7500</v>
      </c>
      <c r="H108" s="150">
        <v>7500</v>
      </c>
      <c r="I108" s="150">
        <v>0</v>
      </c>
      <c r="J108" s="150">
        <v>0</v>
      </c>
      <c r="K108" s="82"/>
      <c r="M108" s="41"/>
      <c r="N108" s="41"/>
      <c r="O108" s="41"/>
      <c r="P108" s="41"/>
    </row>
    <row r="109" spans="1:16" ht="29.25" customHeight="1">
      <c r="A109" s="192" t="s">
        <v>52</v>
      </c>
      <c r="B109" s="192"/>
      <c r="C109" s="192"/>
      <c r="D109" s="192"/>
      <c r="E109" s="192"/>
      <c r="F109" s="104"/>
      <c r="G109" s="150">
        <f>G108</f>
        <v>7500</v>
      </c>
      <c r="H109" s="150">
        <f>H108</f>
        <v>7500</v>
      </c>
      <c r="I109" s="150">
        <f>I108</f>
        <v>0</v>
      </c>
      <c r="J109" s="150">
        <f>J108</f>
        <v>0</v>
      </c>
      <c r="K109" s="166"/>
      <c r="M109" s="41"/>
      <c r="N109" s="41"/>
      <c r="O109" s="41"/>
      <c r="P109" s="41"/>
    </row>
    <row r="110" spans="1:16" ht="63.75" customHeight="1">
      <c r="A110" s="160" t="s">
        <v>53</v>
      </c>
      <c r="B110" s="161"/>
      <c r="C110" s="161"/>
      <c r="D110" s="161"/>
      <c r="E110" s="162"/>
      <c r="F110" s="104" t="s">
        <v>51</v>
      </c>
      <c r="G110" s="150">
        <f>G108</f>
        <v>7500</v>
      </c>
      <c r="H110" s="150">
        <f>H108</f>
        <v>7500</v>
      </c>
      <c r="I110" s="150">
        <f>I108</f>
        <v>0</v>
      </c>
      <c r="J110" s="150">
        <f>J108</f>
        <v>0</v>
      </c>
      <c r="K110" s="82"/>
      <c r="M110" s="41"/>
      <c r="N110" s="41"/>
      <c r="O110" s="41"/>
      <c r="P110" s="41"/>
    </row>
    <row r="111" spans="1:16" ht="53.25" customHeight="1">
      <c r="A111" s="192" t="s">
        <v>89</v>
      </c>
      <c r="B111" s="192"/>
      <c r="C111" s="192"/>
      <c r="D111" s="192"/>
      <c r="E111" s="192"/>
      <c r="F111" s="98"/>
      <c r="G111" s="150">
        <f>G18+G37+G54+G70+G77+G81+G88+G94+G100+G105+G109</f>
        <v>1337056.0173150518</v>
      </c>
      <c r="H111" s="150">
        <f>H18+H37+H54+H70+H77+H81+H88+H94+H100+H105+H109</f>
        <v>439017.34138</v>
      </c>
      <c r="I111" s="150">
        <f>I18+I37+I54+I70+I77+I81+I88+I94+I100+I105+I109</f>
        <v>434020.6620861</v>
      </c>
      <c r="J111" s="150">
        <f>J18+J37+J54+J70+J77+J81+J88+J94+J100+J105+J109</f>
        <v>464018.01384895213</v>
      </c>
      <c r="K111" s="82"/>
      <c r="L111" s="43">
        <f>H111-471494.4</f>
        <v>-32477.058620000025</v>
      </c>
      <c r="M111" s="43"/>
      <c r="N111" s="43"/>
      <c r="O111" s="43"/>
      <c r="P111" s="41"/>
    </row>
    <row r="112" spans="1:16" ht="77.25" customHeight="1">
      <c r="A112" s="192" t="s">
        <v>53</v>
      </c>
      <c r="B112" s="192"/>
      <c r="C112" s="192"/>
      <c r="D112" s="192"/>
      <c r="E112" s="192"/>
      <c r="F112" s="104" t="s">
        <v>46</v>
      </c>
      <c r="G112" s="150">
        <f aca="true" t="shared" si="7" ref="G112:G119">H112+I112+J112</f>
        <v>423471.2815519057</v>
      </c>
      <c r="H112" s="150">
        <f>H19+H38+H55+H71+H82+H89</f>
        <v>130817.54500000001</v>
      </c>
      <c r="I112" s="150">
        <f>I19+I38+I55+I71+I82+I89</f>
        <v>141782.96985000002</v>
      </c>
      <c r="J112" s="150">
        <f>J19+J38+J55+J71+J82+J89</f>
        <v>150870.76670190564</v>
      </c>
      <c r="K112" s="82"/>
      <c r="M112" s="41"/>
      <c r="N112" s="41"/>
      <c r="O112" s="41"/>
      <c r="P112" s="41"/>
    </row>
    <row r="113" spans="1:16" ht="66.75" customHeight="1">
      <c r="A113" s="192"/>
      <c r="B113" s="192"/>
      <c r="C113" s="192"/>
      <c r="D113" s="192"/>
      <c r="E113" s="192"/>
      <c r="F113" s="104" t="s">
        <v>51</v>
      </c>
      <c r="G113" s="150">
        <f t="shared" si="7"/>
        <v>147617.2747205463</v>
      </c>
      <c r="H113" s="150">
        <f>H20+H39+H56+H72+H101+H110+H90+H95</f>
        <v>59812.5978</v>
      </c>
      <c r="I113" s="150">
        <f>I20+I39+I56+I72+I101+I110</f>
        <v>42550.3318361</v>
      </c>
      <c r="J113" s="150">
        <f>J20+J39+J56+J72+J101+J110</f>
        <v>45254.34508444629</v>
      </c>
      <c r="K113" s="82"/>
      <c r="M113" s="41"/>
      <c r="N113" s="41"/>
      <c r="O113" s="41"/>
      <c r="P113" s="41"/>
    </row>
    <row r="114" spans="1:16" ht="84.75" customHeight="1">
      <c r="A114" s="192"/>
      <c r="B114" s="192"/>
      <c r="C114" s="192"/>
      <c r="D114" s="192"/>
      <c r="E114" s="192"/>
      <c r="F114" s="104" t="s">
        <v>57</v>
      </c>
      <c r="G114" s="150">
        <f t="shared" si="7"/>
        <v>636848.8848136001</v>
      </c>
      <c r="H114" s="150">
        <f>H40+H57+H73</f>
        <v>194686.9</v>
      </c>
      <c r="I114" s="150">
        <f>I40+I57+I73</f>
        <v>212987.46860000002</v>
      </c>
      <c r="J114" s="150">
        <f>J40+J57+J73</f>
        <v>229174.51621360006</v>
      </c>
      <c r="K114" s="82"/>
      <c r="M114" s="41"/>
      <c r="N114" s="41"/>
      <c r="O114" s="41"/>
      <c r="P114" s="41"/>
    </row>
    <row r="115" spans="1:16" ht="132" customHeight="1">
      <c r="A115" s="192"/>
      <c r="B115" s="192"/>
      <c r="C115" s="192"/>
      <c r="D115" s="192"/>
      <c r="E115" s="192"/>
      <c r="F115" s="104" t="str">
        <f>F24</f>
        <v>Субвенція з місцевого бюджету на здійснення переданих видатків у сфері охорони здоров'я за рахунок коштів медичної субвенції</v>
      </c>
      <c r="G115" s="150">
        <f t="shared" si="7"/>
        <v>112460.877649</v>
      </c>
      <c r="H115" s="150">
        <f>H41+H78</f>
        <v>37042.600000000006</v>
      </c>
      <c r="I115" s="150">
        <f>I41+I78</f>
        <v>36699.8918</v>
      </c>
      <c r="J115" s="150">
        <f>J41+J78</f>
        <v>38718.385849</v>
      </c>
      <c r="K115" s="82"/>
      <c r="M115" s="41"/>
      <c r="N115" s="41"/>
      <c r="O115" s="41"/>
      <c r="P115" s="41"/>
    </row>
    <row r="116" spans="1:16" ht="198.75" customHeight="1">
      <c r="A116" s="192"/>
      <c r="B116" s="192"/>
      <c r="C116" s="192"/>
      <c r="D116" s="192"/>
      <c r="E116" s="192"/>
      <c r="F116" s="104" t="str">
        <f>F42</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16" s="150">
        <f t="shared" si="7"/>
        <v>725.81</v>
      </c>
      <c r="H116" s="104">
        <f>H42</f>
        <v>725.81</v>
      </c>
      <c r="I116" s="104">
        <f>I42</f>
        <v>0</v>
      </c>
      <c r="J116" s="104">
        <f>J42</f>
        <v>0</v>
      </c>
      <c r="K116" s="82"/>
      <c r="M116" s="41"/>
      <c r="N116" s="41"/>
      <c r="O116" s="41"/>
      <c r="P116" s="41"/>
    </row>
    <row r="117" spans="1:16" ht="161.25" customHeight="1">
      <c r="A117" s="192"/>
      <c r="B117" s="192"/>
      <c r="C117" s="192"/>
      <c r="D117" s="192"/>
      <c r="E117" s="192"/>
      <c r="F117" s="104" t="str">
        <f>F96</f>
        <v>Субвенція з державного бюджету місцевим бюджетам на здійснення заходів щодо соціально-економічного розвитку окремих територій</v>
      </c>
      <c r="G117" s="150">
        <f t="shared" si="7"/>
        <v>2639.235</v>
      </c>
      <c r="H117" s="167">
        <f>H96</f>
        <v>2639.235</v>
      </c>
      <c r="I117" s="104">
        <f>I96</f>
        <v>0</v>
      </c>
      <c r="J117" s="104">
        <f>J96</f>
        <v>0</v>
      </c>
      <c r="K117" s="82"/>
      <c r="M117" s="41"/>
      <c r="N117" s="41"/>
      <c r="O117" s="41"/>
      <c r="P117" s="41"/>
    </row>
    <row r="118" spans="1:16" ht="42.75" customHeight="1">
      <c r="A118" s="192"/>
      <c r="B118" s="192"/>
      <c r="C118" s="192"/>
      <c r="D118" s="192"/>
      <c r="E118" s="192"/>
      <c r="F118" s="104" t="str">
        <f>F102</f>
        <v>Інші джерела коштів (кредитні кошти НЕФКО )</v>
      </c>
      <c r="G118" s="150">
        <f t="shared" si="7"/>
        <v>3900</v>
      </c>
      <c r="H118" s="104">
        <f>H102</f>
        <v>3900</v>
      </c>
      <c r="I118" s="104">
        <f>I102</f>
        <v>0</v>
      </c>
      <c r="J118" s="104">
        <f>J102</f>
        <v>0</v>
      </c>
      <c r="K118" s="82"/>
      <c r="M118" s="41"/>
      <c r="N118" s="41"/>
      <c r="O118" s="41"/>
      <c r="P118" s="41"/>
    </row>
    <row r="119" spans="1:16" ht="44.25" customHeight="1">
      <c r="A119" s="192"/>
      <c r="B119" s="192"/>
      <c r="C119" s="192"/>
      <c r="D119" s="192"/>
      <c r="E119" s="192"/>
      <c r="F119" s="104" t="str">
        <f>F106</f>
        <v>Інші джерела коштів (Грант GIZ)</v>
      </c>
      <c r="G119" s="150">
        <f t="shared" si="7"/>
        <v>9392.65358</v>
      </c>
      <c r="H119" s="150">
        <f>H106</f>
        <v>9392.65358</v>
      </c>
      <c r="I119" s="104">
        <f>I106</f>
        <v>0</v>
      </c>
      <c r="J119" s="104">
        <f>J106</f>
        <v>0</v>
      </c>
      <c r="K119" s="82"/>
      <c r="M119" s="41"/>
      <c r="N119" s="41"/>
      <c r="O119" s="41"/>
      <c r="P119" s="41"/>
    </row>
    <row r="120" spans="1:16" ht="21.75" customHeight="1">
      <c r="A120" s="177"/>
      <c r="B120" s="177"/>
      <c r="C120" s="177"/>
      <c r="D120" s="177"/>
      <c r="E120" s="177"/>
      <c r="F120" s="275"/>
      <c r="G120" s="276"/>
      <c r="H120" s="276"/>
      <c r="I120" s="275"/>
      <c r="J120" s="275"/>
      <c r="K120" s="277"/>
      <c r="M120" s="41"/>
      <c r="N120" s="41"/>
      <c r="O120" s="41"/>
      <c r="P120" s="41"/>
    </row>
    <row r="121" spans="1:16" ht="21.75" customHeight="1">
      <c r="A121" s="177"/>
      <c r="B121" s="177"/>
      <c r="C121" s="177"/>
      <c r="D121" s="177"/>
      <c r="E121" s="177"/>
      <c r="F121" s="275"/>
      <c r="G121" s="276"/>
      <c r="H121" s="276"/>
      <c r="I121" s="275"/>
      <c r="J121" s="275"/>
      <c r="K121" s="277"/>
      <c r="M121" s="41"/>
      <c r="N121" s="41"/>
      <c r="O121" s="41"/>
      <c r="P121" s="41"/>
    </row>
    <row r="122" spans="1:16" ht="21.75" customHeight="1">
      <c r="A122" s="58"/>
      <c r="B122" s="58"/>
      <c r="C122" s="58"/>
      <c r="D122" s="58"/>
      <c r="E122" s="58"/>
      <c r="F122" s="44"/>
      <c r="G122" s="45"/>
      <c r="H122" s="45"/>
      <c r="I122" s="45"/>
      <c r="J122" s="45"/>
      <c r="K122" s="46"/>
      <c r="M122" s="41"/>
      <c r="N122" s="41"/>
      <c r="O122" s="41"/>
      <c r="P122" s="41"/>
    </row>
    <row r="123" spans="1:16" ht="21.75" customHeight="1">
      <c r="A123" s="47"/>
      <c r="C123" s="48"/>
      <c r="D123" s="49"/>
      <c r="E123" s="50"/>
      <c r="F123" s="51"/>
      <c r="G123" s="51"/>
      <c r="H123" s="51"/>
      <c r="I123" s="51"/>
      <c r="J123" s="51"/>
      <c r="K123" s="46"/>
      <c r="M123" s="41"/>
      <c r="N123" s="41"/>
      <c r="O123" s="41"/>
      <c r="P123" s="41"/>
    </row>
    <row r="124" spans="1:16" ht="21.75" customHeight="1">
      <c r="A124" s="1" t="s">
        <v>288</v>
      </c>
      <c r="B124" s="61"/>
      <c r="C124" s="2"/>
      <c r="I124" s="15" t="s">
        <v>289</v>
      </c>
      <c r="M124" s="41"/>
      <c r="N124" s="41"/>
      <c r="O124" s="41"/>
      <c r="P124" s="41"/>
    </row>
    <row r="125" spans="1:15" s="42" customFormat="1" ht="21.75" customHeight="1">
      <c r="A125" s="57" t="s">
        <v>12</v>
      </c>
      <c r="B125" s="11"/>
      <c r="C125" s="56"/>
      <c r="D125" s="52"/>
      <c r="F125" s="53"/>
      <c r="G125" s="53"/>
      <c r="H125" s="53"/>
      <c r="I125" s="53"/>
      <c r="J125" s="53"/>
      <c r="K125" s="55"/>
      <c r="O125" s="43"/>
    </row>
    <row r="126" spans="1:11" s="42" customFormat="1" ht="21.75" customHeight="1">
      <c r="A126" s="11" t="s">
        <v>207</v>
      </c>
      <c r="B126" s="11"/>
      <c r="D126" s="52"/>
      <c r="F126" s="53"/>
      <c r="G126" s="53"/>
      <c r="H126" s="53"/>
      <c r="I126" s="53"/>
      <c r="J126" s="53"/>
      <c r="K126" s="55"/>
    </row>
    <row r="127" ht="15.75" customHeight="1"/>
    <row r="130" ht="18.75">
      <c r="O130" s="41"/>
    </row>
    <row r="132" ht="18.75">
      <c r="B132" s="57"/>
    </row>
    <row r="138" spans="1:11" ht="18.75">
      <c r="A138" s="57"/>
      <c r="C138" s="57"/>
      <c r="D138" s="57"/>
      <c r="E138" s="57"/>
      <c r="F138" s="57"/>
      <c r="G138" s="57"/>
      <c r="H138" s="57"/>
      <c r="I138" s="57"/>
      <c r="J138" s="57"/>
      <c r="K138" s="57"/>
    </row>
  </sheetData>
  <sheetProtection/>
  <mergeCells count="134">
    <mergeCell ref="E15:E16"/>
    <mergeCell ref="D15:D16"/>
    <mergeCell ref="C15:C16"/>
    <mergeCell ref="B15:B16"/>
    <mergeCell ref="A15:A16"/>
    <mergeCell ref="K15:K16"/>
    <mergeCell ref="A109:E109"/>
    <mergeCell ref="A112:E119"/>
    <mergeCell ref="A103:K103"/>
    <mergeCell ref="C98:C99"/>
    <mergeCell ref="A105:E105"/>
    <mergeCell ref="A107:K107"/>
    <mergeCell ref="A101:E102"/>
    <mergeCell ref="A111:E111"/>
    <mergeCell ref="A95:E96"/>
    <mergeCell ref="A97:K97"/>
    <mergeCell ref="A98:A99"/>
    <mergeCell ref="B98:B99"/>
    <mergeCell ref="D98:D99"/>
    <mergeCell ref="E98:E99"/>
    <mergeCell ref="K98:K100"/>
    <mergeCell ref="A100:E100"/>
    <mergeCell ref="A91:K91"/>
    <mergeCell ref="A92:A93"/>
    <mergeCell ref="B92:B93"/>
    <mergeCell ref="D92:D93"/>
    <mergeCell ref="E92:E93"/>
    <mergeCell ref="C92:C93"/>
    <mergeCell ref="K92:K93"/>
    <mergeCell ref="A89:E90"/>
    <mergeCell ref="A74:K74"/>
    <mergeCell ref="K64:K66"/>
    <mergeCell ref="B62:B63"/>
    <mergeCell ref="C62:C63"/>
    <mergeCell ref="A62:A63"/>
    <mergeCell ref="B64:B66"/>
    <mergeCell ref="C64:C66"/>
    <mergeCell ref="E64:E66"/>
    <mergeCell ref="E62:E63"/>
    <mergeCell ref="C33:C35"/>
    <mergeCell ref="D33:D35"/>
    <mergeCell ref="E33:E35"/>
    <mergeCell ref="K33:K35"/>
    <mergeCell ref="B33:B35"/>
    <mergeCell ref="A54:E54"/>
    <mergeCell ref="K46:K47"/>
    <mergeCell ref="G8:G9"/>
    <mergeCell ref="H8:J8"/>
    <mergeCell ref="K7:K9"/>
    <mergeCell ref="G7:J7"/>
    <mergeCell ref="D7:D9"/>
    <mergeCell ref="D51:D52"/>
    <mergeCell ref="D48:D50"/>
    <mergeCell ref="A21:K21"/>
    <mergeCell ref="B26:B28"/>
    <mergeCell ref="C26:C28"/>
    <mergeCell ref="A79:K79"/>
    <mergeCell ref="B67:B68"/>
    <mergeCell ref="C67:C68"/>
    <mergeCell ref="E67:E68"/>
    <mergeCell ref="K67:K68"/>
    <mergeCell ref="A71:E71"/>
    <mergeCell ref="A67:A68"/>
    <mergeCell ref="A78:E78"/>
    <mergeCell ref="A77:E77"/>
    <mergeCell ref="K62:K63"/>
    <mergeCell ref="A72:E72"/>
    <mergeCell ref="A73:E73"/>
    <mergeCell ref="A58:K58"/>
    <mergeCell ref="B59:B60"/>
    <mergeCell ref="A56:E56"/>
    <mergeCell ref="K59:K60"/>
    <mergeCell ref="A55:E55"/>
    <mergeCell ref="K48:K50"/>
    <mergeCell ref="A51:A52"/>
    <mergeCell ref="B51:B52"/>
    <mergeCell ref="A64:A66"/>
    <mergeCell ref="C51:C52"/>
    <mergeCell ref="D64:D66"/>
    <mergeCell ref="D62:D63"/>
    <mergeCell ref="K51:K52"/>
    <mergeCell ref="A57:E57"/>
    <mergeCell ref="M29:M30"/>
    <mergeCell ref="B29:B32"/>
    <mergeCell ref="C29:C32"/>
    <mergeCell ref="E29:E32"/>
    <mergeCell ref="K29:K32"/>
    <mergeCell ref="D29:D32"/>
    <mergeCell ref="A5:K5"/>
    <mergeCell ref="A11:K11"/>
    <mergeCell ref="B7:B9"/>
    <mergeCell ref="A7:A9"/>
    <mergeCell ref="C7:C9"/>
    <mergeCell ref="C46:C47"/>
    <mergeCell ref="A18:E18"/>
    <mergeCell ref="E7:E9"/>
    <mergeCell ref="F7:F9"/>
    <mergeCell ref="E26:E28"/>
    <mergeCell ref="K22:K24"/>
    <mergeCell ref="A37:E37"/>
    <mergeCell ref="A46:A47"/>
    <mergeCell ref="B46:B47"/>
    <mergeCell ref="A19:E19"/>
    <mergeCell ref="A20:E20"/>
    <mergeCell ref="K26:K28"/>
    <mergeCell ref="D26:D28"/>
    <mergeCell ref="A26:A28"/>
    <mergeCell ref="A33:A35"/>
    <mergeCell ref="C22:C24"/>
    <mergeCell ref="B22:B24"/>
    <mergeCell ref="A22:A24"/>
    <mergeCell ref="D22:D24"/>
    <mergeCell ref="E22:E24"/>
    <mergeCell ref="A29:A32"/>
    <mergeCell ref="A94:E94"/>
    <mergeCell ref="A38:E42"/>
    <mergeCell ref="E46:E47"/>
    <mergeCell ref="D46:D47"/>
    <mergeCell ref="A83:K83"/>
    <mergeCell ref="A88:E88"/>
    <mergeCell ref="E48:E50"/>
    <mergeCell ref="A48:A50"/>
    <mergeCell ref="B48:B50"/>
    <mergeCell ref="A43:K43"/>
    <mergeCell ref="A81:E81"/>
    <mergeCell ref="A82:E82"/>
    <mergeCell ref="C48:C50"/>
    <mergeCell ref="E51:E52"/>
    <mergeCell ref="D67:D68"/>
    <mergeCell ref="A70:E70"/>
    <mergeCell ref="A59:A60"/>
    <mergeCell ref="D59:D60"/>
    <mergeCell ref="C59:C60"/>
    <mergeCell ref="E59:E60"/>
  </mergeCells>
  <printOptions/>
  <pageMargins left="0.7086614173228347" right="0.7086614173228347" top="1.141732283464567" bottom="0.5118110236220472" header="0.31496062992125984" footer="0.31496062992125984"/>
  <pageSetup fitToHeight="13" horizontalDpi="600" verticalDpi="600" orientation="landscape" paperSize="9" scale="44" r:id="rId1"/>
  <rowBreaks count="4" manualBreakCount="4">
    <brk id="32" max="10" man="1"/>
    <brk id="57" max="10" man="1"/>
    <brk id="78" max="10" man="1"/>
    <brk id="106" max="10" man="1"/>
  </rowBreaks>
</worksheet>
</file>

<file path=xl/worksheets/sheet3.xml><?xml version="1.0" encoding="utf-8"?>
<worksheet xmlns="http://schemas.openxmlformats.org/spreadsheetml/2006/main" xmlns:r="http://schemas.openxmlformats.org/officeDocument/2006/relationships">
  <sheetPr>
    <tabColor rgb="FF92D050"/>
  </sheetPr>
  <dimension ref="A1:P266"/>
  <sheetViews>
    <sheetView tabSelected="1" view="pageBreakPreview" zoomScale="64" zoomScaleNormal="64" zoomScaleSheetLayoutView="64" zoomScalePageLayoutView="0" workbookViewId="0" topLeftCell="A1">
      <pane ySplit="10" topLeftCell="A255" activePane="bottomLeft" state="frozen"/>
      <selection pane="topLeft" activeCell="A1" sqref="A1"/>
      <selection pane="bottomLeft" activeCell="D273" sqref="D273"/>
    </sheetView>
  </sheetViews>
  <sheetFormatPr defaultColWidth="9.140625" defaultRowHeight="12.75"/>
  <cols>
    <col min="1" max="1" width="58.28125" style="42" customWidth="1"/>
    <col min="2" max="2" width="23.7109375" style="42" customWidth="1"/>
    <col min="3" max="3" width="21.00390625" style="42" customWidth="1"/>
    <col min="4" max="4" width="22.00390625" style="42" customWidth="1"/>
    <col min="5" max="5" width="21.140625" style="42" customWidth="1"/>
    <col min="6" max="7" width="21.421875" style="42" customWidth="1"/>
    <col min="8" max="8" width="20.421875" style="42" customWidth="1"/>
    <col min="9" max="9" width="20.28125" style="42" customWidth="1"/>
    <col min="10" max="10" width="21.140625" style="42" customWidth="1"/>
    <col min="11" max="11" width="20.00390625" style="42" customWidth="1"/>
    <col min="12" max="12" width="21.28125" style="42" customWidth="1"/>
    <col min="13" max="16384" width="9.140625" style="42" customWidth="1"/>
  </cols>
  <sheetData>
    <row r="1" spans="8:10" ht="20.25">
      <c r="H1" s="266" t="s">
        <v>10</v>
      </c>
      <c r="I1" s="266"/>
      <c r="J1" s="266"/>
    </row>
    <row r="2" spans="1:11" ht="99.75" customHeight="1">
      <c r="A2" s="74"/>
      <c r="H2" s="267" t="s">
        <v>220</v>
      </c>
      <c r="I2" s="267"/>
      <c r="J2" s="267"/>
      <c r="K2" s="267"/>
    </row>
    <row r="3" spans="1:11" ht="24.75" customHeight="1">
      <c r="A3" s="75"/>
      <c r="H3" s="268" t="s">
        <v>287</v>
      </c>
      <c r="I3" s="268"/>
      <c r="J3" s="268"/>
      <c r="K3" s="268"/>
    </row>
    <row r="4" spans="8:10" ht="20.25" hidden="1">
      <c r="H4" s="99"/>
      <c r="I4" s="99"/>
      <c r="J4" s="99"/>
    </row>
    <row r="5" spans="1:11" ht="20.25">
      <c r="A5" s="269" t="s">
        <v>147</v>
      </c>
      <c r="B5" s="269"/>
      <c r="C5" s="269"/>
      <c r="D5" s="269"/>
      <c r="E5" s="269"/>
      <c r="F5" s="269"/>
      <c r="G5" s="269"/>
      <c r="H5" s="269"/>
      <c r="I5" s="269"/>
      <c r="J5" s="269"/>
      <c r="K5" s="269"/>
    </row>
    <row r="6" spans="1:11" ht="20.25">
      <c r="A6" s="54"/>
      <c r="K6" s="42" t="s">
        <v>74</v>
      </c>
    </row>
    <row r="7" spans="1:11" ht="20.25">
      <c r="A7" s="259" t="s">
        <v>75</v>
      </c>
      <c r="B7" s="258" t="s">
        <v>76</v>
      </c>
      <c r="C7" s="259" t="s">
        <v>263</v>
      </c>
      <c r="D7" s="259"/>
      <c r="E7" s="259"/>
      <c r="F7" s="259" t="s">
        <v>77</v>
      </c>
      <c r="G7" s="259"/>
      <c r="H7" s="259"/>
      <c r="I7" s="259" t="s">
        <v>78</v>
      </c>
      <c r="J7" s="259"/>
      <c r="K7" s="259"/>
    </row>
    <row r="8" spans="1:11" ht="20.25">
      <c r="A8" s="259"/>
      <c r="B8" s="258"/>
      <c r="C8" s="259"/>
      <c r="D8" s="259"/>
      <c r="E8" s="259"/>
      <c r="F8" s="259"/>
      <c r="G8" s="259"/>
      <c r="H8" s="259"/>
      <c r="I8" s="259"/>
      <c r="J8" s="259"/>
      <c r="K8" s="259"/>
    </row>
    <row r="9" spans="1:11" ht="20.25">
      <c r="A9" s="259"/>
      <c r="B9" s="258"/>
      <c r="C9" s="264" t="s">
        <v>1</v>
      </c>
      <c r="D9" s="264" t="s">
        <v>79</v>
      </c>
      <c r="E9" s="264"/>
      <c r="F9" s="264" t="s">
        <v>1</v>
      </c>
      <c r="G9" s="264" t="s">
        <v>79</v>
      </c>
      <c r="H9" s="264"/>
      <c r="I9" s="264" t="s">
        <v>1</v>
      </c>
      <c r="J9" s="264" t="s">
        <v>79</v>
      </c>
      <c r="K9" s="264"/>
    </row>
    <row r="10" spans="1:11" ht="40.5">
      <c r="A10" s="259"/>
      <c r="B10" s="258"/>
      <c r="C10" s="264"/>
      <c r="D10" s="100" t="s">
        <v>80</v>
      </c>
      <c r="E10" s="100" t="s">
        <v>81</v>
      </c>
      <c r="F10" s="264"/>
      <c r="G10" s="100" t="s">
        <v>80</v>
      </c>
      <c r="H10" s="100" t="s">
        <v>81</v>
      </c>
      <c r="I10" s="264"/>
      <c r="J10" s="100" t="s">
        <v>80</v>
      </c>
      <c r="K10" s="100" t="s">
        <v>81</v>
      </c>
    </row>
    <row r="11" spans="1:11" ht="20.25">
      <c r="A11" s="76">
        <v>1</v>
      </c>
      <c r="B11" s="101">
        <v>2</v>
      </c>
      <c r="C11" s="100">
        <v>3</v>
      </c>
      <c r="D11" s="100">
        <v>4</v>
      </c>
      <c r="E11" s="100">
        <v>5</v>
      </c>
      <c r="F11" s="100">
        <v>6</v>
      </c>
      <c r="G11" s="100">
        <v>7</v>
      </c>
      <c r="H11" s="100">
        <v>8</v>
      </c>
      <c r="I11" s="100">
        <v>9</v>
      </c>
      <c r="J11" s="100">
        <v>10</v>
      </c>
      <c r="K11" s="100">
        <v>11</v>
      </c>
    </row>
    <row r="12" spans="1:12" ht="39" customHeight="1">
      <c r="A12" s="77" t="s">
        <v>82</v>
      </c>
      <c r="B12" s="102">
        <f>C12+F12+I12</f>
        <v>1337056017.315052</v>
      </c>
      <c r="C12" s="103">
        <f>D12+E12</f>
        <v>439017341.38</v>
      </c>
      <c r="D12" s="103">
        <f>D16+D62+D98+D135+D165+D190+D211+D231+D246+D252+D258</f>
        <v>363272855</v>
      </c>
      <c r="E12" s="103">
        <f>E16+E62+E98+E135+E165+E190+E211+E231+E246+E252+E258</f>
        <v>75744486.38</v>
      </c>
      <c r="F12" s="103">
        <f>G12+H12</f>
        <v>434020662.0861</v>
      </c>
      <c r="G12" s="103">
        <f>G16+G62+G98+G135+G165+G190+G211+G231+G246+G252+G258</f>
        <v>391470330.25</v>
      </c>
      <c r="H12" s="103">
        <f>H16+H62+H98+H135+H165+H190+H211+H231+H246+H252+H258</f>
        <v>42550331.83610001</v>
      </c>
      <c r="I12" s="103">
        <f>J12+K12</f>
        <v>464018013.848952</v>
      </c>
      <c r="J12" s="103">
        <f>J16+J62+J98+J135+J165+J190+J211+J231+J246+J252+J258</f>
        <v>418763668.7645057</v>
      </c>
      <c r="K12" s="103">
        <f>K16+K62+K98+K135+K165+K190+K211+K231+K246+K252+K258</f>
        <v>45254345.0844463</v>
      </c>
      <c r="L12" s="42">
        <f>B12-'Додаток 2'!G111*1000</f>
        <v>0</v>
      </c>
    </row>
    <row r="13" spans="1:11" ht="39" customHeight="1">
      <c r="A13" s="208" t="s">
        <v>91</v>
      </c>
      <c r="B13" s="208"/>
      <c r="C13" s="208"/>
      <c r="D13" s="208"/>
      <c r="E13" s="208"/>
      <c r="F13" s="208"/>
      <c r="G13" s="208"/>
      <c r="H13" s="208"/>
      <c r="I13" s="208"/>
      <c r="J13" s="208"/>
      <c r="K13" s="208"/>
    </row>
    <row r="14" spans="1:11" ht="28.5" customHeight="1">
      <c r="A14" s="255" t="str">
        <f>'Додаток 2'!A11:K11</f>
        <v>Підпрограма 1. СПРИЯННЯ ПОКРАЩЕННЮ НАДАННЯ ПЕРВИННОЇ МЕДИКО-САНІТАРНОЇ ДОПОМОГИ НАСЕЛЕННЮ М. СУМИ</v>
      </c>
      <c r="B14" s="255"/>
      <c r="C14" s="255"/>
      <c r="D14" s="255"/>
      <c r="E14" s="255"/>
      <c r="F14" s="255"/>
      <c r="G14" s="255"/>
      <c r="H14" s="255"/>
      <c r="I14" s="255"/>
      <c r="J14" s="255"/>
      <c r="K14" s="255"/>
    </row>
    <row r="15" spans="1:11" ht="26.25" customHeight="1">
      <c r="A15" s="78" t="s">
        <v>92</v>
      </c>
      <c r="B15" s="222" t="s">
        <v>183</v>
      </c>
      <c r="C15" s="222"/>
      <c r="D15" s="222"/>
      <c r="E15" s="222"/>
      <c r="F15" s="222"/>
      <c r="G15" s="222"/>
      <c r="H15" s="222"/>
      <c r="I15" s="222"/>
      <c r="J15" s="222"/>
      <c r="K15" s="222"/>
    </row>
    <row r="16" spans="1:12" ht="26.25" customHeight="1">
      <c r="A16" s="79" t="s">
        <v>83</v>
      </c>
      <c r="B16" s="106">
        <f>C16+F16+I16</f>
        <v>59286823</v>
      </c>
      <c r="C16" s="107">
        <f>D16+E16</f>
        <v>18671800</v>
      </c>
      <c r="D16" s="107">
        <f>D19+D40</f>
        <v>15611800</v>
      </c>
      <c r="E16" s="107">
        <f>E19+E40</f>
        <v>3060000</v>
      </c>
      <c r="F16" s="107">
        <f>G16+H16</f>
        <v>19758400</v>
      </c>
      <c r="G16" s="107">
        <f>G19+G40</f>
        <v>16557400</v>
      </c>
      <c r="H16" s="107">
        <f>H19+H40</f>
        <v>3201000</v>
      </c>
      <c r="I16" s="107">
        <f>J16+K16</f>
        <v>20856623</v>
      </c>
      <c r="J16" s="107">
        <f>J19+J40</f>
        <v>17479568</v>
      </c>
      <c r="K16" s="107">
        <f>K19+K40</f>
        <v>3377055</v>
      </c>
      <c r="L16" s="108">
        <f>B16-'Додаток 2'!G18*1000</f>
        <v>0</v>
      </c>
    </row>
    <row r="17" spans="1:11" ht="26.25" customHeight="1">
      <c r="A17" s="80" t="s">
        <v>246</v>
      </c>
      <c r="B17" s="250"/>
      <c r="C17" s="251"/>
      <c r="D17" s="251"/>
      <c r="E17" s="251"/>
      <c r="F17" s="251"/>
      <c r="G17" s="251"/>
      <c r="H17" s="251"/>
      <c r="I17" s="251"/>
      <c r="J17" s="251"/>
      <c r="K17" s="252"/>
    </row>
    <row r="18" spans="1:11" ht="33" customHeight="1">
      <c r="A18" s="128" t="s">
        <v>93</v>
      </c>
      <c r="B18" s="253" t="s">
        <v>145</v>
      </c>
      <c r="C18" s="253"/>
      <c r="D18" s="253"/>
      <c r="E18" s="253"/>
      <c r="F18" s="253"/>
      <c r="G18" s="253"/>
      <c r="H18" s="253"/>
      <c r="I18" s="253"/>
      <c r="J18" s="253"/>
      <c r="K18" s="253"/>
    </row>
    <row r="19" spans="1:12" ht="22.5" customHeight="1">
      <c r="A19" s="80" t="s">
        <v>247</v>
      </c>
      <c r="B19" s="102">
        <f>C19+F19+I19</f>
        <v>18420455</v>
      </c>
      <c r="C19" s="109">
        <f>D19+E19</f>
        <v>5871800</v>
      </c>
      <c r="D19" s="109">
        <f>SUM(D20:D23)</f>
        <v>2811800</v>
      </c>
      <c r="E19" s="109">
        <f>SUM(E20:E23)</f>
        <v>3060000</v>
      </c>
      <c r="F19" s="109">
        <f>G19+H19</f>
        <v>6100800</v>
      </c>
      <c r="G19" s="109">
        <f>SUM(G20:G23)</f>
        <v>2899800</v>
      </c>
      <c r="H19" s="109">
        <f>SUM(H20:H23)</f>
        <v>3201000</v>
      </c>
      <c r="I19" s="109">
        <f>J19+K19</f>
        <v>6447855</v>
      </c>
      <c r="J19" s="109">
        <f>SUM(J20:J23)</f>
        <v>3070800</v>
      </c>
      <c r="K19" s="109">
        <f>SUM(K20:K23)</f>
        <v>3377055</v>
      </c>
      <c r="L19" s="108">
        <f>('Додаток 2'!G14+'Додаток 2'!G15+'Додаток 2'!G17+'Додаток 2'!G16)*1000-B19</f>
        <v>0</v>
      </c>
    </row>
    <row r="20" spans="1:11" ht="48.75" customHeight="1">
      <c r="A20" s="89" t="str">
        <f>'Додаток 2'!B14</f>
        <v>Видатки на оплату вартості комунальних послуг та енергоносіїв</v>
      </c>
      <c r="B20" s="110"/>
      <c r="C20" s="111">
        <f>E20+D20</f>
        <v>2680000</v>
      </c>
      <c r="D20" s="111">
        <f>'Додаток 2'!H14*1000</f>
        <v>2680000</v>
      </c>
      <c r="E20" s="111"/>
      <c r="F20" s="111">
        <f>G20+H20</f>
        <v>2899800</v>
      </c>
      <c r="G20" s="111">
        <f>'Додаток 2'!I14*1000</f>
        <v>2899800</v>
      </c>
      <c r="H20" s="111"/>
      <c r="I20" s="111">
        <f>J20+K20</f>
        <v>3070800</v>
      </c>
      <c r="J20" s="111">
        <f>'Додаток 2'!J14*1000</f>
        <v>3070800</v>
      </c>
      <c r="K20" s="111"/>
    </row>
    <row r="21" spans="1:11" ht="70.5" customHeight="1">
      <c r="A21" s="89" t="s">
        <v>55</v>
      </c>
      <c r="B21" s="110"/>
      <c r="C21" s="111">
        <f>E21+D21</f>
        <v>191800</v>
      </c>
      <c r="D21" s="111">
        <f>'Додаток 2'!H15*1000</f>
        <v>131800</v>
      </c>
      <c r="E21" s="111">
        <f>'Додаток 2'!H16*1000</f>
        <v>60000</v>
      </c>
      <c r="F21" s="111"/>
      <c r="G21" s="111"/>
      <c r="H21" s="111"/>
      <c r="I21" s="111"/>
      <c r="J21" s="111"/>
      <c r="K21" s="111"/>
    </row>
    <row r="22" spans="1:11" ht="53.25" customHeight="1">
      <c r="A22" s="89" t="s">
        <v>94</v>
      </c>
      <c r="B22" s="110"/>
      <c r="C22" s="111">
        <f>E22+D22</f>
        <v>1000000</v>
      </c>
      <c r="D22" s="111"/>
      <c r="E22" s="111">
        <f>1000000</f>
        <v>1000000</v>
      </c>
      <c r="F22" s="111">
        <f>G22+H22</f>
        <v>1067000</v>
      </c>
      <c r="G22" s="111"/>
      <c r="H22" s="111">
        <f>E22*1.067</f>
        <v>1067000</v>
      </c>
      <c r="I22" s="111">
        <f>J22+K22</f>
        <v>1125685</v>
      </c>
      <c r="J22" s="111"/>
      <c r="K22" s="111">
        <f>H22*1.055</f>
        <v>1125685</v>
      </c>
    </row>
    <row r="23" spans="1:11" ht="49.5" customHeight="1">
      <c r="A23" s="89" t="s">
        <v>95</v>
      </c>
      <c r="B23" s="110"/>
      <c r="C23" s="111">
        <f>E23+D23</f>
        <v>2000000</v>
      </c>
      <c r="D23" s="111"/>
      <c r="E23" s="111">
        <f>2000000</f>
        <v>2000000</v>
      </c>
      <c r="F23" s="111">
        <f>G23+H23</f>
        <v>2134000</v>
      </c>
      <c r="G23" s="111"/>
      <c r="H23" s="111">
        <f>E23*1.067</f>
        <v>2134000</v>
      </c>
      <c r="I23" s="111">
        <f>J23+K23</f>
        <v>2251370</v>
      </c>
      <c r="J23" s="111"/>
      <c r="K23" s="111">
        <f>H23*1.055</f>
        <v>2251370</v>
      </c>
    </row>
    <row r="24" spans="1:11" ht="27" customHeight="1">
      <c r="A24" s="81" t="s">
        <v>84</v>
      </c>
      <c r="B24" s="110"/>
      <c r="C24" s="110"/>
      <c r="D24" s="110"/>
      <c r="E24" s="110"/>
      <c r="F24" s="110"/>
      <c r="G24" s="110"/>
      <c r="H24" s="110"/>
      <c r="I24" s="110"/>
      <c r="J24" s="110"/>
      <c r="K24" s="110"/>
    </row>
    <row r="25" spans="1:11" ht="26.25" customHeight="1">
      <c r="A25" s="104" t="s">
        <v>96</v>
      </c>
      <c r="B25" s="112"/>
      <c r="C25" s="113"/>
      <c r="D25" s="113"/>
      <c r="E25" s="113"/>
      <c r="F25" s="113"/>
      <c r="G25" s="113"/>
      <c r="H25" s="113"/>
      <c r="I25" s="113"/>
      <c r="J25" s="113"/>
      <c r="K25" s="114"/>
    </row>
    <row r="26" spans="1:11" ht="20.25">
      <c r="A26" s="82" t="s">
        <v>97</v>
      </c>
      <c r="B26" s="112"/>
      <c r="C26" s="115">
        <v>2</v>
      </c>
      <c r="D26" s="115"/>
      <c r="E26" s="115"/>
      <c r="F26" s="115">
        <f>C26</f>
        <v>2</v>
      </c>
      <c r="G26" s="115"/>
      <c r="H26" s="115"/>
      <c r="I26" s="115">
        <f>F26</f>
        <v>2</v>
      </c>
      <c r="J26" s="113"/>
      <c r="K26" s="114"/>
    </row>
    <row r="27" spans="1:11" ht="21" customHeight="1">
      <c r="A27" s="104" t="s">
        <v>85</v>
      </c>
      <c r="B27" s="112"/>
      <c r="C27" s="115"/>
      <c r="D27" s="115"/>
      <c r="E27" s="115"/>
      <c r="F27" s="115"/>
      <c r="G27" s="115"/>
      <c r="H27" s="115"/>
      <c r="I27" s="115"/>
      <c r="J27" s="115"/>
      <c r="K27" s="114"/>
    </row>
    <row r="28" spans="1:11" ht="20.25" customHeight="1">
      <c r="A28" s="105" t="s">
        <v>99</v>
      </c>
      <c r="B28" s="112"/>
      <c r="C28" s="115">
        <f>4</f>
        <v>4</v>
      </c>
      <c r="D28" s="115"/>
      <c r="E28" s="113"/>
      <c r="F28" s="115">
        <v>5</v>
      </c>
      <c r="G28" s="115"/>
      <c r="H28" s="113"/>
      <c r="I28" s="115">
        <v>6</v>
      </c>
      <c r="J28" s="115"/>
      <c r="K28" s="114"/>
    </row>
    <row r="29" spans="1:11" ht="42" customHeight="1">
      <c r="A29" s="83" t="s">
        <v>186</v>
      </c>
      <c r="B29" s="112"/>
      <c r="C29" s="115">
        <v>69</v>
      </c>
      <c r="D29" s="115"/>
      <c r="E29" s="113"/>
      <c r="F29" s="115">
        <f>C29-C28</f>
        <v>65</v>
      </c>
      <c r="G29" s="115"/>
      <c r="H29" s="113"/>
      <c r="I29" s="115">
        <f>F29-F28</f>
        <v>60</v>
      </c>
      <c r="J29" s="115"/>
      <c r="K29" s="114"/>
    </row>
    <row r="30" spans="1:11" ht="29.25" customHeight="1">
      <c r="A30" s="105" t="s">
        <v>86</v>
      </c>
      <c r="B30" s="112"/>
      <c r="C30" s="115">
        <v>2</v>
      </c>
      <c r="D30" s="115"/>
      <c r="E30" s="113"/>
      <c r="F30" s="115">
        <f>C30</f>
        <v>2</v>
      </c>
      <c r="G30" s="115"/>
      <c r="H30" s="113"/>
      <c r="I30" s="115">
        <f>F30</f>
        <v>2</v>
      </c>
      <c r="J30" s="115"/>
      <c r="K30" s="114"/>
    </row>
    <row r="31" spans="1:11" ht="28.5" customHeight="1">
      <c r="A31" s="122" t="s">
        <v>250</v>
      </c>
      <c r="B31" s="112"/>
      <c r="C31" s="115">
        <f>6738.31+3997.55</f>
        <v>10735.86</v>
      </c>
      <c r="D31" s="113"/>
      <c r="E31" s="113"/>
      <c r="F31" s="115">
        <f>C31</f>
        <v>10735.86</v>
      </c>
      <c r="G31" s="113"/>
      <c r="H31" s="113"/>
      <c r="I31" s="115">
        <f>F31</f>
        <v>10735.86</v>
      </c>
      <c r="J31" s="113"/>
      <c r="K31" s="114"/>
    </row>
    <row r="32" spans="1:11" ht="18" customHeight="1">
      <c r="A32" s="84" t="s">
        <v>87</v>
      </c>
      <c r="B32" s="112"/>
      <c r="C32" s="115"/>
      <c r="D32" s="113"/>
      <c r="E32" s="113"/>
      <c r="F32" s="115">
        <f>C32</f>
        <v>0</v>
      </c>
      <c r="G32" s="113"/>
      <c r="H32" s="113"/>
      <c r="I32" s="115">
        <f>F32</f>
        <v>0</v>
      </c>
      <c r="J32" s="113"/>
      <c r="K32" s="114"/>
    </row>
    <row r="33" spans="1:11" ht="39.75" customHeight="1">
      <c r="A33" s="85" t="s">
        <v>184</v>
      </c>
      <c r="B33" s="112"/>
      <c r="C33" s="113">
        <f>(C22/C28)/1000</f>
        <v>250</v>
      </c>
      <c r="D33" s="113"/>
      <c r="E33" s="113"/>
      <c r="F33" s="113">
        <f>(F22/F28)/1000</f>
        <v>213.4</v>
      </c>
      <c r="G33" s="113"/>
      <c r="H33" s="113"/>
      <c r="I33" s="113">
        <f>(I22/I28)/1000</f>
        <v>187.61416666666665</v>
      </c>
      <c r="J33" s="113"/>
      <c r="K33" s="114"/>
    </row>
    <row r="34" spans="1:11" ht="39.75" customHeight="1">
      <c r="A34" s="85" t="s">
        <v>185</v>
      </c>
      <c r="B34" s="112"/>
      <c r="C34" s="113">
        <f>(C23/C30)/1000</f>
        <v>1000</v>
      </c>
      <c r="D34" s="113"/>
      <c r="E34" s="113"/>
      <c r="F34" s="113">
        <f>(F23/F30)/1000</f>
        <v>1067</v>
      </c>
      <c r="G34" s="113"/>
      <c r="H34" s="113"/>
      <c r="I34" s="113">
        <f>(I23/I30)/1000</f>
        <v>1125.685</v>
      </c>
      <c r="J34" s="113"/>
      <c r="K34" s="114"/>
    </row>
    <row r="35" spans="1:11" ht="66.75" customHeight="1">
      <c r="A35" s="85" t="s">
        <v>251</v>
      </c>
      <c r="B35" s="112"/>
      <c r="C35" s="113">
        <f>C20/C31</f>
        <v>249.63067700212184</v>
      </c>
      <c r="D35" s="113"/>
      <c r="E35" s="113"/>
      <c r="F35" s="113">
        <f>F20/F31</f>
        <v>270.10411834729587</v>
      </c>
      <c r="G35" s="113"/>
      <c r="H35" s="113"/>
      <c r="I35" s="113">
        <f>I20/I31</f>
        <v>286.03204587243124</v>
      </c>
      <c r="J35" s="113"/>
      <c r="K35" s="114"/>
    </row>
    <row r="36" spans="1:11" ht="25.5" customHeight="1">
      <c r="A36" s="86" t="s">
        <v>88</v>
      </c>
      <c r="B36" s="112"/>
      <c r="C36" s="115"/>
      <c r="D36" s="113"/>
      <c r="E36" s="113"/>
      <c r="F36" s="115"/>
      <c r="G36" s="113"/>
      <c r="H36" s="113"/>
      <c r="I36" s="115"/>
      <c r="J36" s="113"/>
      <c r="K36" s="114"/>
    </row>
    <row r="37" spans="1:11" ht="66" customHeight="1">
      <c r="A37" s="87" t="s">
        <v>187</v>
      </c>
      <c r="B37" s="112"/>
      <c r="C37" s="116">
        <f>C28/C29*100</f>
        <v>5.797101449275362</v>
      </c>
      <c r="D37" s="113"/>
      <c r="E37" s="113"/>
      <c r="F37" s="116">
        <f>F28/F29*100</f>
        <v>7.6923076923076925</v>
      </c>
      <c r="G37" s="113"/>
      <c r="H37" s="113"/>
      <c r="I37" s="116">
        <f>I28/I29*100</f>
        <v>10</v>
      </c>
      <c r="J37" s="113"/>
      <c r="K37" s="114"/>
    </row>
    <row r="38" spans="1:11" ht="30" customHeight="1" hidden="1">
      <c r="A38" s="88" t="s">
        <v>160</v>
      </c>
      <c r="B38" s="112"/>
      <c r="C38" s="116">
        <v>43.4</v>
      </c>
      <c r="D38" s="116"/>
      <c r="E38" s="116"/>
      <c r="F38" s="116">
        <f>C38-0.1</f>
        <v>43.3</v>
      </c>
      <c r="G38" s="116"/>
      <c r="H38" s="116"/>
      <c r="I38" s="116">
        <f>F38-0.2</f>
        <v>43.099999999999994</v>
      </c>
      <c r="J38" s="113"/>
      <c r="K38" s="114"/>
    </row>
    <row r="39" spans="1:11" ht="34.5" customHeight="1">
      <c r="A39" s="128" t="s">
        <v>249</v>
      </c>
      <c r="B39" s="253" t="s">
        <v>248</v>
      </c>
      <c r="C39" s="253"/>
      <c r="D39" s="253"/>
      <c r="E39" s="253"/>
      <c r="F39" s="253"/>
      <c r="G39" s="253"/>
      <c r="H39" s="253"/>
      <c r="I39" s="253"/>
      <c r="J39" s="253"/>
      <c r="K39" s="253"/>
    </row>
    <row r="40" spans="1:11" ht="26.25" customHeight="1">
      <c r="A40" s="80" t="s">
        <v>247</v>
      </c>
      <c r="B40" s="102">
        <f>C40+F40+I40</f>
        <v>40866368</v>
      </c>
      <c r="C40" s="109">
        <f>D40+E40</f>
        <v>12800000</v>
      </c>
      <c r="D40" s="109">
        <f>D41+D42</f>
        <v>12800000</v>
      </c>
      <c r="E40" s="109">
        <f>E41+E42</f>
        <v>0</v>
      </c>
      <c r="F40" s="109">
        <f>G40+H40</f>
        <v>13657600</v>
      </c>
      <c r="G40" s="109">
        <f>G41+G42</f>
        <v>13657600</v>
      </c>
      <c r="H40" s="109">
        <f>H41+H42</f>
        <v>0</v>
      </c>
      <c r="I40" s="109">
        <f>J40+K40</f>
        <v>14408768</v>
      </c>
      <c r="J40" s="109">
        <f>J41+J42</f>
        <v>14408768</v>
      </c>
      <c r="K40" s="109">
        <f>K41+K42</f>
        <v>0</v>
      </c>
    </row>
    <row r="41" spans="1:11" ht="52.5" customHeight="1">
      <c r="A41" s="89" t="str">
        <f>'Додаток 2'!B12</f>
        <v>Забезпечення виконання соціальних гарантій для пільгових категорій населення</v>
      </c>
      <c r="B41" s="110"/>
      <c r="C41" s="111">
        <f>E41+D41</f>
        <v>11000000</v>
      </c>
      <c r="D41" s="111">
        <f>'Додаток 2'!H12*1000</f>
        <v>11000000</v>
      </c>
      <c r="E41" s="111"/>
      <c r="F41" s="111">
        <f>G41+H41</f>
        <v>11737000</v>
      </c>
      <c r="G41" s="111">
        <f>D41*1.067</f>
        <v>11737000</v>
      </c>
      <c r="H41" s="111"/>
      <c r="I41" s="111">
        <f>J41+K41</f>
        <v>12382535</v>
      </c>
      <c r="J41" s="111">
        <f>G41*1.055</f>
        <v>12382535</v>
      </c>
      <c r="K41" s="111"/>
    </row>
    <row r="42" spans="1:11" ht="54" customHeight="1">
      <c r="A42" s="89" t="str">
        <f>'Додаток 2'!B13</f>
        <v>Придбання медикаментів та перев’язувальних матеріалів</v>
      </c>
      <c r="B42" s="110"/>
      <c r="C42" s="111">
        <f>E42+D42</f>
        <v>1800000</v>
      </c>
      <c r="D42" s="111">
        <f>'Додаток 2'!H13*1000</f>
        <v>1800000</v>
      </c>
      <c r="E42" s="111"/>
      <c r="F42" s="111">
        <f>G42+H42</f>
        <v>1920600</v>
      </c>
      <c r="G42" s="111">
        <f>D42*1.067</f>
        <v>1920600</v>
      </c>
      <c r="H42" s="111"/>
      <c r="I42" s="111">
        <f>J42+K42</f>
        <v>2026232.9999999998</v>
      </c>
      <c r="J42" s="111">
        <f>G42*1.055</f>
        <v>2026232.9999999998</v>
      </c>
      <c r="K42" s="111"/>
    </row>
    <row r="43" spans="1:11" ht="19.5" customHeight="1">
      <c r="A43" s="81" t="s">
        <v>84</v>
      </c>
      <c r="B43" s="110"/>
      <c r="C43" s="111"/>
      <c r="D43" s="111"/>
      <c r="E43" s="111"/>
      <c r="F43" s="111"/>
      <c r="G43" s="111"/>
      <c r="H43" s="111"/>
      <c r="I43" s="111"/>
      <c r="J43" s="111"/>
      <c r="K43" s="111"/>
    </row>
    <row r="44" spans="1:11" ht="19.5" customHeight="1">
      <c r="A44" s="104" t="s">
        <v>96</v>
      </c>
      <c r="B44" s="110"/>
      <c r="C44" s="111"/>
      <c r="D44" s="111"/>
      <c r="E44" s="111"/>
      <c r="F44" s="111"/>
      <c r="G44" s="111"/>
      <c r="H44" s="111"/>
      <c r="I44" s="111"/>
      <c r="J44" s="111"/>
      <c r="K44" s="111"/>
    </row>
    <row r="45" spans="1:11" ht="23.25" customHeight="1">
      <c r="A45" s="82" t="s">
        <v>97</v>
      </c>
      <c r="B45" s="110"/>
      <c r="C45" s="115">
        <v>2</v>
      </c>
      <c r="D45" s="115"/>
      <c r="E45" s="115"/>
      <c r="F45" s="115">
        <f>C45</f>
        <v>2</v>
      </c>
      <c r="G45" s="115"/>
      <c r="H45" s="115"/>
      <c r="I45" s="115">
        <f>F45</f>
        <v>2</v>
      </c>
      <c r="J45" s="111"/>
      <c r="K45" s="111"/>
    </row>
    <row r="46" spans="1:11" ht="27.75" customHeight="1">
      <c r="A46" s="82" t="s">
        <v>98</v>
      </c>
      <c r="B46" s="112"/>
      <c r="C46" s="115">
        <v>617</v>
      </c>
      <c r="D46" s="113"/>
      <c r="E46" s="113"/>
      <c r="F46" s="115">
        <v>591</v>
      </c>
      <c r="G46" s="113"/>
      <c r="H46" s="113"/>
      <c r="I46" s="115">
        <f>F46</f>
        <v>591</v>
      </c>
      <c r="J46" s="113"/>
      <c r="K46" s="114"/>
    </row>
    <row r="47" spans="1:11" ht="48" customHeight="1">
      <c r="A47" s="82" t="s">
        <v>190</v>
      </c>
      <c r="B47" s="112"/>
      <c r="C47" s="115">
        <v>168</v>
      </c>
      <c r="D47" s="113"/>
      <c r="E47" s="113"/>
      <c r="F47" s="115">
        <v>191</v>
      </c>
      <c r="G47" s="113"/>
      <c r="H47" s="113"/>
      <c r="I47" s="115">
        <f>F47</f>
        <v>191</v>
      </c>
      <c r="J47" s="113"/>
      <c r="K47" s="114"/>
    </row>
    <row r="48" spans="1:11" ht="26.25" customHeight="1">
      <c r="A48" s="104" t="s">
        <v>85</v>
      </c>
      <c r="B48" s="110"/>
      <c r="C48" s="111"/>
      <c r="D48" s="111"/>
      <c r="E48" s="111"/>
      <c r="F48" s="111"/>
      <c r="G48" s="111"/>
      <c r="H48" s="111"/>
      <c r="I48" s="111"/>
      <c r="J48" s="111"/>
      <c r="K48" s="111"/>
    </row>
    <row r="49" spans="1:11" ht="28.5" customHeight="1">
      <c r="A49" s="105" t="s">
        <v>193</v>
      </c>
      <c r="B49" s="112"/>
      <c r="C49" s="115">
        <v>130</v>
      </c>
      <c r="D49" s="115"/>
      <c r="E49" s="115"/>
      <c r="F49" s="115">
        <f>C49</f>
        <v>130</v>
      </c>
      <c r="G49" s="115"/>
      <c r="H49" s="115"/>
      <c r="I49" s="115">
        <f>F49</f>
        <v>130</v>
      </c>
      <c r="J49" s="115"/>
      <c r="K49" s="114"/>
    </row>
    <row r="50" spans="1:11" ht="31.5" customHeight="1">
      <c r="A50" s="105" t="s">
        <v>192</v>
      </c>
      <c r="B50" s="112"/>
      <c r="C50" s="115">
        <v>60319</v>
      </c>
      <c r="D50" s="115"/>
      <c r="E50" s="113"/>
      <c r="F50" s="115">
        <f>C50</f>
        <v>60319</v>
      </c>
      <c r="G50" s="115"/>
      <c r="H50" s="113"/>
      <c r="I50" s="115">
        <f>F50</f>
        <v>60319</v>
      </c>
      <c r="J50" s="115"/>
      <c r="K50" s="114"/>
    </row>
    <row r="51" spans="1:11" ht="53.25" customHeight="1">
      <c r="A51" s="105" t="s">
        <v>188</v>
      </c>
      <c r="B51" s="112"/>
      <c r="C51" s="115">
        <f>517693/1000</f>
        <v>517.693</v>
      </c>
      <c r="D51" s="115"/>
      <c r="E51" s="113"/>
      <c r="F51" s="115">
        <f>506.751</f>
        <v>506.751</v>
      </c>
      <c r="G51" s="115"/>
      <c r="H51" s="113"/>
      <c r="I51" s="115">
        <f>510.539</f>
        <v>510.539</v>
      </c>
      <c r="J51" s="115"/>
      <c r="K51" s="114"/>
    </row>
    <row r="52" spans="1:11" ht="26.25" customHeight="1">
      <c r="A52" s="84" t="s">
        <v>87</v>
      </c>
      <c r="B52" s="110"/>
      <c r="C52" s="111"/>
      <c r="D52" s="111"/>
      <c r="E52" s="111"/>
      <c r="F52" s="111"/>
      <c r="G52" s="111"/>
      <c r="H52" s="111"/>
      <c r="I52" s="111"/>
      <c r="J52" s="111"/>
      <c r="K52" s="111"/>
    </row>
    <row r="53" spans="1:11" ht="41.25" customHeight="1">
      <c r="A53" s="127" t="s">
        <v>189</v>
      </c>
      <c r="B53" s="112"/>
      <c r="C53" s="115">
        <f>C51*1000/C47</f>
        <v>3081.5059523809523</v>
      </c>
      <c r="D53" s="113"/>
      <c r="E53" s="113"/>
      <c r="F53" s="115">
        <f>F51*1000/F47</f>
        <v>2653.1465968586385</v>
      </c>
      <c r="G53" s="113"/>
      <c r="H53" s="113"/>
      <c r="I53" s="115">
        <f>I51*1000/I47</f>
        <v>2672.979057591623</v>
      </c>
      <c r="J53" s="113"/>
      <c r="K53" s="114"/>
    </row>
    <row r="54" spans="1:11" ht="64.5" customHeight="1">
      <c r="A54" s="127" t="s">
        <v>191</v>
      </c>
      <c r="B54" s="112"/>
      <c r="C54" s="115">
        <f>C49*1000/C47</f>
        <v>773.8095238095239</v>
      </c>
      <c r="D54" s="113"/>
      <c r="E54" s="113"/>
      <c r="F54" s="115">
        <f>F49*1000/F47</f>
        <v>680.6282722513089</v>
      </c>
      <c r="G54" s="113"/>
      <c r="H54" s="113"/>
      <c r="I54" s="115">
        <f>I49*1000/I47</f>
        <v>680.6282722513089</v>
      </c>
      <c r="J54" s="113"/>
      <c r="K54" s="114"/>
    </row>
    <row r="55" spans="1:11" ht="51" customHeight="1">
      <c r="A55" s="85" t="s">
        <v>100</v>
      </c>
      <c r="B55" s="112"/>
      <c r="C55" s="113">
        <f>C41/C50</f>
        <v>182.36376597755267</v>
      </c>
      <c r="D55" s="113"/>
      <c r="E55" s="113"/>
      <c r="F55" s="113">
        <f>F41/F50</f>
        <v>194.5821382980487</v>
      </c>
      <c r="G55" s="113"/>
      <c r="H55" s="113"/>
      <c r="I55" s="113">
        <f>I41/I50</f>
        <v>205.28415590444138</v>
      </c>
      <c r="J55" s="113"/>
      <c r="K55" s="114"/>
    </row>
    <row r="56" spans="1:11" ht="26.25" customHeight="1">
      <c r="A56" s="86" t="s">
        <v>88</v>
      </c>
      <c r="B56" s="110"/>
      <c r="C56" s="111"/>
      <c r="D56" s="111"/>
      <c r="E56" s="111"/>
      <c r="F56" s="111"/>
      <c r="G56" s="111"/>
      <c r="H56" s="111"/>
      <c r="I56" s="111"/>
      <c r="J56" s="111"/>
      <c r="K56" s="111"/>
    </row>
    <row r="57" spans="1:11" ht="48.75" customHeight="1">
      <c r="A57" s="87" t="s">
        <v>194</v>
      </c>
      <c r="B57" s="112"/>
      <c r="C57" s="115">
        <v>80</v>
      </c>
      <c r="D57" s="113"/>
      <c r="E57" s="113"/>
      <c r="F57" s="115">
        <f>C57</f>
        <v>80</v>
      </c>
      <c r="G57" s="113"/>
      <c r="H57" s="113"/>
      <c r="I57" s="115">
        <f>F57</f>
        <v>80</v>
      </c>
      <c r="J57" s="113"/>
      <c r="K57" s="114"/>
    </row>
    <row r="58" spans="1:11" ht="46.5" customHeight="1">
      <c r="A58" s="85" t="s">
        <v>161</v>
      </c>
      <c r="B58" s="112"/>
      <c r="C58" s="117">
        <v>52668.1</v>
      </c>
      <c r="D58" s="113"/>
      <c r="E58" s="113"/>
      <c r="F58" s="117">
        <f>C58+300</f>
        <v>52968.1</v>
      </c>
      <c r="G58" s="113"/>
      <c r="H58" s="113"/>
      <c r="I58" s="117">
        <f>C58</f>
        <v>52668.1</v>
      </c>
      <c r="J58" s="113"/>
      <c r="K58" s="114"/>
    </row>
    <row r="59" spans="1:11" ht="52.5" customHeight="1">
      <c r="A59" s="260" t="str">
        <f>'Додаток 2'!A21:K21</f>
        <v>Підпрограма 2. РОЗВИТОК МЕРЕЖІ ЗАКЛАДІВ ОХОРОНИ ЗДОРОВ'Я, ЯКІ НАДАЮТЬ ВТОРИННУ (СПЕЦІАЛІЗОВАНУ) МЕДИЧНУ ДОПОМОГУ НАСЕЛЕННЮ </v>
      </c>
      <c r="B59" s="261"/>
      <c r="C59" s="261"/>
      <c r="D59" s="261"/>
      <c r="E59" s="261"/>
      <c r="F59" s="261"/>
      <c r="G59" s="261"/>
      <c r="H59" s="261"/>
      <c r="I59" s="261"/>
      <c r="J59" s="261"/>
      <c r="K59" s="262"/>
    </row>
    <row r="60" spans="1:11" s="118" customFormat="1" ht="30.75" customHeight="1">
      <c r="A60" s="90" t="s">
        <v>92</v>
      </c>
      <c r="B60" s="263" t="s">
        <v>16</v>
      </c>
      <c r="C60" s="263"/>
      <c r="D60" s="263"/>
      <c r="E60" s="263"/>
      <c r="F60" s="263"/>
      <c r="G60" s="263"/>
      <c r="H60" s="263"/>
      <c r="I60" s="263"/>
      <c r="J60" s="263"/>
      <c r="K60" s="263"/>
    </row>
    <row r="61" spans="1:11" ht="28.5" customHeight="1">
      <c r="A61" s="91" t="s">
        <v>101</v>
      </c>
      <c r="B61" s="208" t="s">
        <v>146</v>
      </c>
      <c r="C61" s="208"/>
      <c r="D61" s="208"/>
      <c r="E61" s="208"/>
      <c r="F61" s="208"/>
      <c r="G61" s="208"/>
      <c r="H61" s="208"/>
      <c r="I61" s="208"/>
      <c r="J61" s="208"/>
      <c r="K61" s="208"/>
    </row>
    <row r="62" spans="1:12" ht="33" customHeight="1">
      <c r="A62" s="79" t="s">
        <v>83</v>
      </c>
      <c r="B62" s="106">
        <f>C62+F62+I62</f>
        <v>1000106792.3936837</v>
      </c>
      <c r="C62" s="107">
        <f>D62+E62</f>
        <v>308838974.6</v>
      </c>
      <c r="D62" s="107">
        <f>D63+D66+D67+D68+D69+D70+D65</f>
        <v>281311907.8</v>
      </c>
      <c r="E62" s="107">
        <f>E63+E66+E67+E68+E69+E70+E65</f>
        <v>27527066.799999997</v>
      </c>
      <c r="F62" s="107">
        <f aca="true" t="shared" si="0" ref="F62:F70">G62+H62</f>
        <v>333904164.0987</v>
      </c>
      <c r="G62" s="107">
        <f>G63+G66+G67+G68+G69+G70+G65</f>
        <v>304695197.6146</v>
      </c>
      <c r="H62" s="107">
        <f>H63+H66+H67+H68+H69+H70+H65</f>
        <v>29208966.484100007</v>
      </c>
      <c r="I62" s="107">
        <f aca="true" t="shared" si="1" ref="I62:I70">J62+K62</f>
        <v>357363653.6949838</v>
      </c>
      <c r="J62" s="107">
        <f>J63+J66+J67+J68+J69+J70+J65</f>
        <v>326334334.03834546</v>
      </c>
      <c r="K62" s="107">
        <f>K63+K66+K67+K68+K69+K70+K65</f>
        <v>31029319.656638302</v>
      </c>
      <c r="L62" s="43">
        <f>B62-'Додаток 2'!G37*1000</f>
        <v>0</v>
      </c>
    </row>
    <row r="63" spans="1:11" ht="69.75" customHeight="1">
      <c r="A63" s="89" t="s">
        <v>103</v>
      </c>
      <c r="B63" s="110"/>
      <c r="C63" s="111">
        <f aca="true" t="shared" si="2" ref="C63:C70">E63+D63</f>
        <v>32544932.5</v>
      </c>
      <c r="D63" s="111">
        <f>('Додаток 2'!H22+'Додаток 2'!H24)*1000</f>
        <v>32009854</v>
      </c>
      <c r="E63" s="111">
        <f>'Додаток 2'!H23*1000</f>
        <v>535078.5</v>
      </c>
      <c r="F63" s="111">
        <f t="shared" si="0"/>
        <v>34621453.1575</v>
      </c>
      <c r="G63" s="111">
        <f>('Додаток 2'!I22+'Додаток 2'!I24)*1000</f>
        <v>34050524.398</v>
      </c>
      <c r="H63" s="111">
        <f>'Додаток 2'!I23*1000</f>
        <v>570928.7594999999</v>
      </c>
      <c r="I63" s="111">
        <f t="shared" si="1"/>
        <v>36525633.081162505</v>
      </c>
      <c r="J63" s="111">
        <f>G63*1.055</f>
        <v>35923303.23989</v>
      </c>
      <c r="K63" s="111">
        <f>H63*1.055</f>
        <v>602329.8412724999</v>
      </c>
    </row>
    <row r="64" spans="1:11" ht="51.75" customHeight="1">
      <c r="A64" s="89" t="s">
        <v>104</v>
      </c>
      <c r="B64" s="110"/>
      <c r="C64" s="111">
        <f t="shared" si="2"/>
        <v>19992860</v>
      </c>
      <c r="D64" s="111">
        <f>'Додаток 2'!H24*1000</f>
        <v>19992860</v>
      </c>
      <c r="E64" s="111"/>
      <c r="F64" s="111">
        <f t="shared" si="0"/>
        <v>21228391.8</v>
      </c>
      <c r="G64" s="111">
        <v>21228391.8</v>
      </c>
      <c r="H64" s="111"/>
      <c r="I64" s="111">
        <f t="shared" si="1"/>
        <v>22395953.349</v>
      </c>
      <c r="J64" s="111">
        <f>G64*1.055</f>
        <v>22395953.349</v>
      </c>
      <c r="K64" s="111"/>
    </row>
    <row r="65" spans="1:11" ht="40.5">
      <c r="A65" s="89" t="s">
        <v>148</v>
      </c>
      <c r="B65" s="110"/>
      <c r="C65" s="111">
        <f t="shared" si="2"/>
        <v>148560</v>
      </c>
      <c r="D65" s="111">
        <f>'Додаток 2'!H25*1000</f>
        <v>148560</v>
      </c>
      <c r="E65" s="111"/>
      <c r="F65" s="111">
        <f t="shared" si="0"/>
        <v>158513.52</v>
      </c>
      <c r="G65" s="111">
        <v>158513.52</v>
      </c>
      <c r="H65" s="111"/>
      <c r="I65" s="111">
        <f t="shared" si="1"/>
        <v>167231.76359999998</v>
      </c>
      <c r="J65" s="111">
        <f>G65*1.055</f>
        <v>167231.76359999998</v>
      </c>
      <c r="K65" s="111"/>
    </row>
    <row r="66" spans="1:11" ht="71.25" customHeight="1">
      <c r="A66" s="89" t="s">
        <v>55</v>
      </c>
      <c r="B66" s="110"/>
      <c r="C66" s="111">
        <f t="shared" si="2"/>
        <v>19995758.2</v>
      </c>
      <c r="D66" s="111">
        <f>('Додаток 2'!H26+'Додаток 2'!H27)*1000</f>
        <v>16097323</v>
      </c>
      <c r="E66" s="111">
        <f>'Додаток 2'!H28*1000</f>
        <v>3898435.2</v>
      </c>
      <c r="F66" s="111">
        <f t="shared" si="0"/>
        <v>21211179.169399995</v>
      </c>
      <c r="G66" s="111">
        <f>'Додаток 2'!I26*1000</f>
        <v>17051548.810999997</v>
      </c>
      <c r="H66" s="111">
        <f>'Додаток 2'!I28*1000</f>
        <v>4159630.3584</v>
      </c>
      <c r="I66" s="111">
        <f t="shared" si="1"/>
        <v>22377794.023716994</v>
      </c>
      <c r="J66" s="111">
        <f>'Додаток 2'!J26*1000</f>
        <v>17989383.995604996</v>
      </c>
      <c r="K66" s="111">
        <f>'Додаток 2'!J28*1000</f>
        <v>4388410.028111999</v>
      </c>
    </row>
    <row r="67" spans="1:11" ht="48" customHeight="1">
      <c r="A67" s="89" t="s">
        <v>56</v>
      </c>
      <c r="B67" s="110"/>
      <c r="C67" s="111">
        <f t="shared" si="2"/>
        <v>218224826</v>
      </c>
      <c r="D67" s="111">
        <f>('Додаток 2'!H29+'Додаток 2'!H30+'Додаток 2'!H31)*1000</f>
        <v>208961250</v>
      </c>
      <c r="E67" s="111">
        <f>'Додаток 2'!H32*1000</f>
        <v>9263576</v>
      </c>
      <c r="F67" s="111">
        <f t="shared" si="0"/>
        <v>237614476.344</v>
      </c>
      <c r="G67" s="111">
        <f>('Додаток 2'!I29+'Додаток 2'!I30+'Додаток 2'!I31)*1000</f>
        <v>227480124.20000002</v>
      </c>
      <c r="H67" s="111">
        <f>'Додаток 2'!I32*1000</f>
        <v>10134352.144000003</v>
      </c>
      <c r="I67" s="111">
        <f t="shared" si="1"/>
        <v>255673176.54614407</v>
      </c>
      <c r="J67" s="111">
        <f>('Додаток 2'!J29+'Додаток 2'!J30+'Додаток 2'!J31)*1000</f>
        <v>244768613.63920006</v>
      </c>
      <c r="K67" s="111">
        <f>'Додаток 2'!J32*1000</f>
        <v>10904562.906944003</v>
      </c>
    </row>
    <row r="68" spans="1:11" ht="48" customHeight="1">
      <c r="A68" s="89" t="s">
        <v>39</v>
      </c>
      <c r="B68" s="110"/>
      <c r="C68" s="111">
        <f t="shared" si="2"/>
        <v>24334897.900000002</v>
      </c>
      <c r="D68" s="111">
        <f>('Додаток 2'!H33+'Додаток 2'!H35)*1000</f>
        <v>24094920.8</v>
      </c>
      <c r="E68" s="111">
        <f>'Додаток 2'!H34*1000</f>
        <v>239977.1</v>
      </c>
      <c r="F68" s="111">
        <f t="shared" si="0"/>
        <v>26214141.9078</v>
      </c>
      <c r="G68" s="111">
        <f>'Додаток 2'!I33*1000</f>
        <v>25954486.6856</v>
      </c>
      <c r="H68" s="111">
        <f>'Додаток 2'!I34*1000</f>
        <v>259655.22220000002</v>
      </c>
      <c r="I68" s="111">
        <f t="shared" si="1"/>
        <v>27760776.280360203</v>
      </c>
      <c r="J68" s="111">
        <f>'Додаток 2'!J33*1000</f>
        <v>27485801.4000504</v>
      </c>
      <c r="K68" s="111">
        <f>'Додаток 2'!J34*1000</f>
        <v>274974.88030980004</v>
      </c>
    </row>
    <row r="69" spans="1:11" ht="48" customHeight="1">
      <c r="A69" s="89" t="s">
        <v>94</v>
      </c>
      <c r="B69" s="110"/>
      <c r="C69" s="111">
        <f t="shared" si="2"/>
        <v>8990000</v>
      </c>
      <c r="D69" s="111"/>
      <c r="E69" s="111">
        <f>8000000*10%+8000000+190000</f>
        <v>8990000</v>
      </c>
      <c r="F69" s="111">
        <f t="shared" si="0"/>
        <v>8962800</v>
      </c>
      <c r="G69" s="111"/>
      <c r="H69" s="111">
        <f>'Додаток 2'!I36*1000-'Додаток 3'!H70</f>
        <v>8962800</v>
      </c>
      <c r="I69" s="111">
        <f t="shared" si="1"/>
        <v>9455754</v>
      </c>
      <c r="J69" s="111"/>
      <c r="K69" s="111">
        <f>'Додаток 2'!J36*1000-'Додаток 3'!K70</f>
        <v>9455754</v>
      </c>
    </row>
    <row r="70" spans="1:11" ht="49.5" customHeight="1">
      <c r="A70" s="89" t="s">
        <v>95</v>
      </c>
      <c r="B70" s="110"/>
      <c r="C70" s="111">
        <f t="shared" si="2"/>
        <v>4600000</v>
      </c>
      <c r="D70" s="111"/>
      <c r="E70" s="111">
        <f>4000000*10%+4000000+200000</f>
        <v>4600000</v>
      </c>
      <c r="F70" s="111">
        <f t="shared" si="0"/>
        <v>5121600</v>
      </c>
      <c r="G70" s="111"/>
      <c r="H70" s="111">
        <v>5121600</v>
      </c>
      <c r="I70" s="111">
        <f t="shared" si="1"/>
        <v>5403288</v>
      </c>
      <c r="J70" s="111"/>
      <c r="K70" s="111">
        <f>H70*1.055</f>
        <v>5403288</v>
      </c>
    </row>
    <row r="71" spans="1:11" ht="20.25">
      <c r="A71" s="81" t="s">
        <v>84</v>
      </c>
      <c r="B71" s="110"/>
      <c r="C71" s="110"/>
      <c r="D71" s="110"/>
      <c r="E71" s="110"/>
      <c r="F71" s="110"/>
      <c r="G71" s="110"/>
      <c r="H71" s="110"/>
      <c r="I71" s="110"/>
      <c r="J71" s="110"/>
      <c r="K71" s="110"/>
    </row>
    <row r="72" spans="1:11" ht="20.25">
      <c r="A72" s="104" t="s">
        <v>96</v>
      </c>
      <c r="B72" s="112"/>
      <c r="C72" s="113"/>
      <c r="D72" s="113"/>
      <c r="E72" s="113"/>
      <c r="F72" s="113"/>
      <c r="G72" s="113"/>
      <c r="H72" s="113"/>
      <c r="I72" s="113"/>
      <c r="J72" s="113"/>
      <c r="K72" s="114"/>
    </row>
    <row r="73" spans="1:11" ht="40.5">
      <c r="A73" s="83" t="s">
        <v>102</v>
      </c>
      <c r="B73" s="112"/>
      <c r="C73" s="115">
        <v>64</v>
      </c>
      <c r="D73" s="113"/>
      <c r="E73" s="113"/>
      <c r="F73" s="115">
        <f>C73</f>
        <v>64</v>
      </c>
      <c r="G73" s="113"/>
      <c r="H73" s="113"/>
      <c r="I73" s="115">
        <f>F73</f>
        <v>64</v>
      </c>
      <c r="J73" s="113"/>
      <c r="K73" s="114"/>
    </row>
    <row r="74" spans="1:11" ht="20.25">
      <c r="A74" s="83" t="s">
        <v>154</v>
      </c>
      <c r="B74" s="112"/>
      <c r="C74" s="113">
        <f>885</f>
        <v>885</v>
      </c>
      <c r="D74" s="113"/>
      <c r="E74" s="113"/>
      <c r="F74" s="115">
        <f>C74</f>
        <v>885</v>
      </c>
      <c r="G74" s="113"/>
      <c r="H74" s="113"/>
      <c r="I74" s="115">
        <f>F74</f>
        <v>885</v>
      </c>
      <c r="J74" s="113"/>
      <c r="K74" s="114"/>
    </row>
    <row r="75" spans="1:11" ht="20.25">
      <c r="A75" s="82" t="s">
        <v>97</v>
      </c>
      <c r="B75" s="112"/>
      <c r="C75" s="115">
        <v>4</v>
      </c>
      <c r="D75" s="115"/>
      <c r="E75" s="115"/>
      <c r="F75" s="115">
        <f>C75</f>
        <v>4</v>
      </c>
      <c r="G75" s="115"/>
      <c r="H75" s="115"/>
      <c r="I75" s="115">
        <f>F75</f>
        <v>4</v>
      </c>
      <c r="J75" s="113"/>
      <c r="K75" s="114"/>
    </row>
    <row r="76" spans="1:11" ht="20.25">
      <c r="A76" s="82" t="s">
        <v>98</v>
      </c>
      <c r="B76" s="112"/>
      <c r="C76" s="113">
        <v>554.75</v>
      </c>
      <c r="D76" s="113"/>
      <c r="E76" s="113"/>
      <c r="F76" s="113">
        <f>C76</f>
        <v>554.75</v>
      </c>
      <c r="G76" s="113"/>
      <c r="H76" s="113"/>
      <c r="I76" s="113">
        <f>F76</f>
        <v>554.75</v>
      </c>
      <c r="J76" s="113"/>
      <c r="K76" s="114"/>
    </row>
    <row r="77" spans="1:11" ht="20.25">
      <c r="A77" s="104" t="s">
        <v>85</v>
      </c>
      <c r="B77" s="112"/>
      <c r="C77" s="115"/>
      <c r="D77" s="115"/>
      <c r="E77" s="115"/>
      <c r="F77" s="115"/>
      <c r="G77" s="115"/>
      <c r="H77" s="115"/>
      <c r="I77" s="115"/>
      <c r="J77" s="115"/>
      <c r="K77" s="114"/>
    </row>
    <row r="78" spans="1:11" ht="31.5" customHeight="1">
      <c r="A78" s="105" t="s">
        <v>99</v>
      </c>
      <c r="B78" s="112"/>
      <c r="C78" s="119">
        <v>11</v>
      </c>
      <c r="D78" s="115"/>
      <c r="E78" s="113"/>
      <c r="F78" s="115">
        <f>C78</f>
        <v>11</v>
      </c>
      <c r="G78" s="115"/>
      <c r="H78" s="113"/>
      <c r="I78" s="115">
        <f>F78</f>
        <v>11</v>
      </c>
      <c r="J78" s="115"/>
      <c r="K78" s="114"/>
    </row>
    <row r="79" spans="1:11" ht="40.5">
      <c r="A79" s="105" t="s">
        <v>186</v>
      </c>
      <c r="B79" s="112"/>
      <c r="C79" s="119">
        <v>1944</v>
      </c>
      <c r="D79" s="115"/>
      <c r="E79" s="113"/>
      <c r="F79" s="115">
        <f>C79-C78</f>
        <v>1933</v>
      </c>
      <c r="G79" s="115"/>
      <c r="H79" s="113"/>
      <c r="I79" s="115">
        <f>F79-F78</f>
        <v>1922</v>
      </c>
      <c r="J79" s="115"/>
      <c r="K79" s="114"/>
    </row>
    <row r="80" spans="1:11" ht="23.25" customHeight="1">
      <c r="A80" s="105" t="s">
        <v>86</v>
      </c>
      <c r="B80" s="112"/>
      <c r="C80" s="115">
        <v>4</v>
      </c>
      <c r="D80" s="115"/>
      <c r="E80" s="113"/>
      <c r="F80" s="115">
        <f>C80</f>
        <v>4</v>
      </c>
      <c r="G80" s="115"/>
      <c r="H80" s="113"/>
      <c r="I80" s="115">
        <f>F80</f>
        <v>4</v>
      </c>
      <c r="J80" s="115"/>
      <c r="K80" s="114"/>
    </row>
    <row r="81" spans="1:11" ht="30" customHeight="1">
      <c r="A81" s="105" t="s">
        <v>250</v>
      </c>
      <c r="B81" s="112"/>
      <c r="C81" s="115">
        <v>125075.22</v>
      </c>
      <c r="D81" s="113"/>
      <c r="E81" s="113"/>
      <c r="F81" s="115">
        <f>C81</f>
        <v>125075.22</v>
      </c>
      <c r="G81" s="113"/>
      <c r="H81" s="113"/>
      <c r="I81" s="115">
        <f>F81</f>
        <v>125075.22</v>
      </c>
      <c r="J81" s="113"/>
      <c r="K81" s="114"/>
    </row>
    <row r="82" spans="1:11" ht="32.25" customHeight="1">
      <c r="A82" s="84" t="s">
        <v>87</v>
      </c>
      <c r="B82" s="112"/>
      <c r="C82" s="115"/>
      <c r="D82" s="113"/>
      <c r="E82" s="113"/>
      <c r="F82" s="115"/>
      <c r="G82" s="113"/>
      <c r="H82" s="113"/>
      <c r="I82" s="115"/>
      <c r="J82" s="113"/>
      <c r="K82" s="114"/>
    </row>
    <row r="83" spans="1:11" ht="63" customHeight="1">
      <c r="A83" s="83" t="s">
        <v>195</v>
      </c>
      <c r="B83" s="112"/>
      <c r="C83" s="115">
        <f>(C64/C73)/1000</f>
        <v>312.3884375</v>
      </c>
      <c r="D83" s="113"/>
      <c r="E83" s="113"/>
      <c r="F83" s="115">
        <f>(F64/F73)/1000</f>
        <v>331.693621875</v>
      </c>
      <c r="G83" s="113"/>
      <c r="H83" s="113"/>
      <c r="I83" s="115">
        <f>(I64/I73)/1000</f>
        <v>349.936771078125</v>
      </c>
      <c r="J83" s="113"/>
      <c r="K83" s="114"/>
    </row>
    <row r="84" spans="1:11" ht="44.25" customHeight="1">
      <c r="A84" s="85" t="s">
        <v>155</v>
      </c>
      <c r="B84" s="112"/>
      <c r="C84" s="115">
        <f>C65/C74</f>
        <v>167.864406779661</v>
      </c>
      <c r="D84" s="113"/>
      <c r="E84" s="113"/>
      <c r="F84" s="115">
        <f>F65/F74</f>
        <v>179.1113220338983</v>
      </c>
      <c r="G84" s="113"/>
      <c r="H84" s="113"/>
      <c r="I84" s="115">
        <f>I65/I74</f>
        <v>188.9624447457627</v>
      </c>
      <c r="J84" s="113"/>
      <c r="K84" s="114"/>
    </row>
    <row r="85" spans="1:11" ht="40.5">
      <c r="A85" s="85" t="s">
        <v>157</v>
      </c>
      <c r="B85" s="112"/>
      <c r="C85" s="113">
        <v>16.25</v>
      </c>
      <c r="D85" s="113"/>
      <c r="E85" s="113"/>
      <c r="F85" s="113">
        <f>C85*1.067</f>
        <v>17.338749999999997</v>
      </c>
      <c r="G85" s="113"/>
      <c r="H85" s="113"/>
      <c r="I85" s="113">
        <f>F85*1.055</f>
        <v>18.292381249999995</v>
      </c>
      <c r="J85" s="113"/>
      <c r="K85" s="114"/>
    </row>
    <row r="86" spans="1:11" ht="46.5" customHeight="1">
      <c r="A86" s="85" t="s">
        <v>184</v>
      </c>
      <c r="B86" s="112"/>
      <c r="C86" s="113">
        <f>(C69/C78)/1000</f>
        <v>817.2727272727273</v>
      </c>
      <c r="D86" s="113"/>
      <c r="E86" s="113"/>
      <c r="F86" s="113">
        <f>(F69/F78)/1000</f>
        <v>814.8</v>
      </c>
      <c r="G86" s="113"/>
      <c r="H86" s="113"/>
      <c r="I86" s="113">
        <f>(I69/I78)/1000</f>
        <v>859.614</v>
      </c>
      <c r="J86" s="113"/>
      <c r="K86" s="114"/>
    </row>
    <row r="87" spans="1:11" ht="40.5">
      <c r="A87" s="85" t="s">
        <v>185</v>
      </c>
      <c r="B87" s="112"/>
      <c r="C87" s="113">
        <f>(C70/C80)/1000</f>
        <v>1150</v>
      </c>
      <c r="D87" s="113"/>
      <c r="E87" s="113"/>
      <c r="F87" s="113">
        <f>(F70/F80)/1000</f>
        <v>1280.4</v>
      </c>
      <c r="G87" s="113"/>
      <c r="H87" s="113"/>
      <c r="I87" s="113">
        <f>(I70/I80)/1000</f>
        <v>1350.822</v>
      </c>
      <c r="J87" s="113"/>
      <c r="K87" s="114"/>
    </row>
    <row r="88" spans="1:11" ht="58.5" customHeight="1">
      <c r="A88" s="85" t="s">
        <v>251</v>
      </c>
      <c r="B88" s="112"/>
      <c r="C88" s="113">
        <f>C68/C81</f>
        <v>194.56210350859268</v>
      </c>
      <c r="D88" s="113"/>
      <c r="E88" s="113"/>
      <c r="F88" s="113">
        <f>F66/F81</f>
        <v>169.5873824519357</v>
      </c>
      <c r="G88" s="113"/>
      <c r="H88" s="113"/>
      <c r="I88" s="113">
        <f>I66/I81</f>
        <v>178.91468848679213</v>
      </c>
      <c r="J88" s="113"/>
      <c r="K88" s="114"/>
    </row>
    <row r="89" spans="1:11" ht="26.25" customHeight="1">
      <c r="A89" s="86" t="s">
        <v>88</v>
      </c>
      <c r="B89" s="112"/>
      <c r="C89" s="115"/>
      <c r="D89" s="113"/>
      <c r="E89" s="113"/>
      <c r="F89" s="115"/>
      <c r="G89" s="113"/>
      <c r="H89" s="113"/>
      <c r="I89" s="115"/>
      <c r="J89" s="113"/>
      <c r="K89" s="114"/>
    </row>
    <row r="90" spans="1:11" ht="42" customHeight="1">
      <c r="A90" s="87" t="s">
        <v>196</v>
      </c>
      <c r="B90" s="112"/>
      <c r="C90" s="115">
        <v>100</v>
      </c>
      <c r="D90" s="113"/>
      <c r="E90" s="113"/>
      <c r="F90" s="115">
        <f>C90</f>
        <v>100</v>
      </c>
      <c r="G90" s="113"/>
      <c r="H90" s="113"/>
      <c r="I90" s="115">
        <f>F90</f>
        <v>100</v>
      </c>
      <c r="J90" s="113"/>
      <c r="K90" s="114"/>
    </row>
    <row r="91" spans="1:11" ht="29.25" customHeight="1">
      <c r="A91" s="85" t="s">
        <v>107</v>
      </c>
      <c r="B91" s="112"/>
      <c r="C91" s="117">
        <v>0.01</v>
      </c>
      <c r="D91" s="113"/>
      <c r="E91" s="113"/>
      <c r="F91" s="113">
        <f>C91</f>
        <v>0.01</v>
      </c>
      <c r="G91" s="113"/>
      <c r="H91" s="113"/>
      <c r="I91" s="113">
        <f>F91</f>
        <v>0.01</v>
      </c>
      <c r="J91" s="113"/>
      <c r="K91" s="114"/>
    </row>
    <row r="92" spans="1:11" ht="72" customHeight="1">
      <c r="A92" s="83" t="s">
        <v>197</v>
      </c>
      <c r="B92" s="112"/>
      <c r="C92" s="115">
        <f>C78/C79*100</f>
        <v>0.565843621399177</v>
      </c>
      <c r="D92" s="113"/>
      <c r="E92" s="113"/>
      <c r="F92" s="115">
        <f>F78/F79*100</f>
        <v>0.5690636316606311</v>
      </c>
      <c r="G92" s="113"/>
      <c r="H92" s="113"/>
      <c r="I92" s="115">
        <f>I78/I79*100</f>
        <v>0.5723204994797086</v>
      </c>
      <c r="J92" s="113"/>
      <c r="K92" s="114"/>
    </row>
    <row r="93" spans="1:11" ht="42" customHeight="1">
      <c r="A93" s="83" t="s">
        <v>198</v>
      </c>
      <c r="B93" s="112"/>
      <c r="C93" s="116">
        <v>61.1</v>
      </c>
      <c r="D93" s="113"/>
      <c r="E93" s="113"/>
      <c r="F93" s="116">
        <f>C93-0.3</f>
        <v>60.800000000000004</v>
      </c>
      <c r="G93" s="113"/>
      <c r="H93" s="113"/>
      <c r="I93" s="116">
        <f>F93-0.2</f>
        <v>60.6</v>
      </c>
      <c r="J93" s="113"/>
      <c r="K93" s="114"/>
    </row>
    <row r="94" spans="1:11" ht="42" customHeight="1">
      <c r="A94" s="83" t="s">
        <v>199</v>
      </c>
      <c r="B94" s="112"/>
      <c r="C94" s="115">
        <v>1</v>
      </c>
      <c r="D94" s="113"/>
      <c r="E94" s="113"/>
      <c r="F94" s="115">
        <f>C94</f>
        <v>1</v>
      </c>
      <c r="G94" s="113"/>
      <c r="H94" s="113"/>
      <c r="I94" s="115">
        <f>F94</f>
        <v>1</v>
      </c>
      <c r="J94" s="113"/>
      <c r="K94" s="114"/>
    </row>
    <row r="95" spans="1:11" ht="30" customHeight="1">
      <c r="A95" s="255" t="str">
        <f>'Додаток 2'!A43:K43</f>
        <v>Підпрограма 3. ОХОРОНА МАТЕРИНСТВА ТА ДИТИНСТВА</v>
      </c>
      <c r="B95" s="255"/>
      <c r="C95" s="255"/>
      <c r="D95" s="255"/>
      <c r="E95" s="255"/>
      <c r="F95" s="255"/>
      <c r="G95" s="255"/>
      <c r="H95" s="255"/>
      <c r="I95" s="255"/>
      <c r="J95" s="255"/>
      <c r="K95" s="255"/>
    </row>
    <row r="96" spans="1:11" ht="33" customHeight="1">
      <c r="A96" s="92" t="s">
        <v>92</v>
      </c>
      <c r="B96" s="256" t="s">
        <v>200</v>
      </c>
      <c r="C96" s="256"/>
      <c r="D96" s="256"/>
      <c r="E96" s="256"/>
      <c r="F96" s="256"/>
      <c r="G96" s="256"/>
      <c r="H96" s="256"/>
      <c r="I96" s="256"/>
      <c r="J96" s="256"/>
      <c r="K96" s="256"/>
    </row>
    <row r="97" spans="1:11" ht="27" customHeight="1">
      <c r="A97" s="91" t="s">
        <v>106</v>
      </c>
      <c r="B97" s="208" t="s">
        <v>138</v>
      </c>
      <c r="C97" s="208"/>
      <c r="D97" s="208"/>
      <c r="E97" s="208"/>
      <c r="F97" s="208"/>
      <c r="G97" s="208"/>
      <c r="H97" s="208"/>
      <c r="I97" s="208"/>
      <c r="J97" s="208"/>
      <c r="K97" s="208"/>
    </row>
    <row r="98" spans="1:12" ht="22.5" customHeight="1">
      <c r="A98" s="79" t="s">
        <v>83</v>
      </c>
      <c r="B98" s="107">
        <f>C98+F98+I98</f>
        <v>129289889.49653381</v>
      </c>
      <c r="C98" s="107">
        <f>D98+E98</f>
        <v>39728708.6</v>
      </c>
      <c r="D98" s="107">
        <f>D99+D101+D102+D103+D104+D105+D100</f>
        <v>38586128.6</v>
      </c>
      <c r="E98" s="107">
        <f>E99+E101+E102+E103+E104+E105</f>
        <v>1142580</v>
      </c>
      <c r="F98" s="107">
        <f aca="true" t="shared" si="3" ref="F98:F105">G98+H98</f>
        <v>43245546.0502</v>
      </c>
      <c r="G98" s="107">
        <f>G99+G101+G102+G103+G104+G105+G100</f>
        <v>42025814.6302</v>
      </c>
      <c r="H98" s="107">
        <f>H99+H101+H102+H103+H104+H105</f>
        <v>1219731.42</v>
      </c>
      <c r="I98" s="107">
        <f aca="true" t="shared" si="4" ref="I98:I105">J98+K98</f>
        <v>46315634.84633381</v>
      </c>
      <c r="J98" s="107">
        <f>J99+J101+J102+J103+J104+J105+J100</f>
        <v>45028383.12111381</v>
      </c>
      <c r="K98" s="107">
        <f>K99+K101+K102+K103+K104+K105</f>
        <v>1287251.72522</v>
      </c>
      <c r="L98" s="42">
        <f>B98-'Додаток 2'!G54*1000</f>
        <v>0</v>
      </c>
    </row>
    <row r="99" spans="1:11" ht="64.5" customHeight="1">
      <c r="A99" s="89" t="s">
        <v>61</v>
      </c>
      <c r="B99" s="110"/>
      <c r="C99" s="111">
        <f aca="true" t="shared" si="5" ref="C99:C105">E99+D99</f>
        <v>2724270.9999999995</v>
      </c>
      <c r="D99" s="111">
        <f>'Додаток 2'!H44*1000</f>
        <v>2724270.9999999995</v>
      </c>
      <c r="E99" s="111"/>
      <c r="F99" s="111">
        <f t="shared" si="3"/>
        <v>2906797.156999999</v>
      </c>
      <c r="G99" s="111">
        <f>D99*1.067</f>
        <v>2906797.156999999</v>
      </c>
      <c r="H99" s="111"/>
      <c r="I99" s="111">
        <f t="shared" si="4"/>
        <v>3066671.000634999</v>
      </c>
      <c r="J99" s="111">
        <f>G99*1.055</f>
        <v>3066671.000634999</v>
      </c>
      <c r="K99" s="111"/>
    </row>
    <row r="100" spans="1:11" ht="38.25" customHeight="1">
      <c r="A100" s="89" t="s">
        <v>156</v>
      </c>
      <c r="B100" s="110"/>
      <c r="C100" s="111">
        <f t="shared" si="5"/>
        <v>16090</v>
      </c>
      <c r="D100" s="111">
        <f>'Додаток 2'!H45*1000</f>
        <v>16090</v>
      </c>
      <c r="E100" s="111"/>
      <c r="F100" s="111">
        <f t="shared" si="3"/>
        <v>17168.03</v>
      </c>
      <c r="G100" s="111">
        <f>D100*1.067</f>
        <v>17168.03</v>
      </c>
      <c r="H100" s="111"/>
      <c r="I100" s="111">
        <f t="shared" si="4"/>
        <v>18112.27165</v>
      </c>
      <c r="J100" s="111">
        <f>G100*1.055</f>
        <v>18112.27165</v>
      </c>
      <c r="K100" s="111"/>
    </row>
    <row r="101" spans="1:11" ht="72" customHeight="1">
      <c r="A101" s="89" t="s">
        <v>55</v>
      </c>
      <c r="B101" s="110"/>
      <c r="C101" s="111">
        <f t="shared" si="5"/>
        <v>2327639.9999999995</v>
      </c>
      <c r="D101" s="111">
        <f>'Додаток 2'!H46*1000</f>
        <v>2311139.9999999995</v>
      </c>
      <c r="E101" s="111">
        <f>'Додаток 2'!H47*1000</f>
        <v>16500</v>
      </c>
      <c r="F101" s="111">
        <f t="shared" si="3"/>
        <v>2483591.8799999994</v>
      </c>
      <c r="G101" s="111">
        <f>D101*1.067</f>
        <v>2465986.3799999994</v>
      </c>
      <c r="H101" s="111">
        <f>E101*1.067</f>
        <v>17605.5</v>
      </c>
      <c r="I101" s="111">
        <f t="shared" si="4"/>
        <v>2620189.4333999995</v>
      </c>
      <c r="J101" s="111">
        <f>G101*1.055</f>
        <v>2601615.6308999993</v>
      </c>
      <c r="K101" s="111">
        <f>H101*1.055</f>
        <v>18573.802499999998</v>
      </c>
    </row>
    <row r="102" spans="1:11" ht="39.75" customHeight="1">
      <c r="A102" s="89" t="s">
        <v>56</v>
      </c>
      <c r="B102" s="110"/>
      <c r="C102" s="111">
        <f t="shared" si="5"/>
        <v>29300280</v>
      </c>
      <c r="D102" s="111">
        <f>('Додаток 2'!H48+'Додаток 2'!H50)*1000</f>
        <v>29283000</v>
      </c>
      <c r="E102" s="111">
        <f>'Додаток 2'!H49*1000</f>
        <v>17280</v>
      </c>
      <c r="F102" s="111">
        <f t="shared" si="3"/>
        <v>32054506.320000004</v>
      </c>
      <c r="G102" s="111">
        <f>D102*1.094</f>
        <v>32035602.000000004</v>
      </c>
      <c r="H102" s="111">
        <f>E102*1.094</f>
        <v>18904.32</v>
      </c>
      <c r="I102" s="111">
        <f t="shared" si="4"/>
        <v>34490648.80032001</v>
      </c>
      <c r="J102" s="111">
        <f>G102*1.076</f>
        <v>34470307.752000004</v>
      </c>
      <c r="K102" s="111">
        <f>H102*1.076</f>
        <v>20341.04832</v>
      </c>
    </row>
    <row r="103" spans="1:11" ht="48.75" customHeight="1">
      <c r="A103" s="89" t="s">
        <v>39</v>
      </c>
      <c r="B103" s="110"/>
      <c r="C103" s="111">
        <f t="shared" si="5"/>
        <v>4260427.6</v>
      </c>
      <c r="D103" s="111">
        <f>'Додаток 2'!H51*1000</f>
        <v>4251627.6</v>
      </c>
      <c r="E103" s="111">
        <f>'Додаток 2'!H52*1000</f>
        <v>8800</v>
      </c>
      <c r="F103" s="111">
        <f t="shared" si="3"/>
        <v>4609782.663199999</v>
      </c>
      <c r="G103" s="111">
        <f>D103*1.082</f>
        <v>4600261.0632</v>
      </c>
      <c r="H103" s="111">
        <f>E103*1.082</f>
        <v>9521.6</v>
      </c>
      <c r="I103" s="111">
        <f t="shared" si="4"/>
        <v>4881759.8403288</v>
      </c>
      <c r="J103" s="111">
        <f>G103*1.059</f>
        <v>4871676.4659287995</v>
      </c>
      <c r="K103" s="111">
        <f>H103*1.059</f>
        <v>10083.3744</v>
      </c>
    </row>
    <row r="104" spans="1:11" ht="40.5">
      <c r="A104" s="89" t="s">
        <v>94</v>
      </c>
      <c r="B104" s="110"/>
      <c r="C104" s="111">
        <f t="shared" si="5"/>
        <v>539550</v>
      </c>
      <c r="D104" s="111"/>
      <c r="E104" s="111">
        <f>490500*10%+490500</f>
        <v>539550</v>
      </c>
      <c r="F104" s="111">
        <f t="shared" si="3"/>
        <v>575699.85</v>
      </c>
      <c r="G104" s="111"/>
      <c r="H104" s="111">
        <f>E104*1.067</f>
        <v>575699.85</v>
      </c>
      <c r="I104" s="111">
        <f t="shared" si="4"/>
        <v>607363.3417499999</v>
      </c>
      <c r="J104" s="111"/>
      <c r="K104" s="111">
        <f>H104*1.055</f>
        <v>607363.3417499999</v>
      </c>
    </row>
    <row r="105" spans="1:11" ht="19.5" customHeight="1">
      <c r="A105" s="89" t="s">
        <v>95</v>
      </c>
      <c r="B105" s="110"/>
      <c r="C105" s="111">
        <f t="shared" si="5"/>
        <v>560450</v>
      </c>
      <c r="D105" s="111"/>
      <c r="E105" s="111">
        <f>509500*10%+509500</f>
        <v>560450</v>
      </c>
      <c r="F105" s="111">
        <f t="shared" si="3"/>
        <v>598000.15</v>
      </c>
      <c r="G105" s="111"/>
      <c r="H105" s="111">
        <f>E105*1.067</f>
        <v>598000.15</v>
      </c>
      <c r="I105" s="111">
        <f t="shared" si="4"/>
        <v>630890.15825</v>
      </c>
      <c r="J105" s="111"/>
      <c r="K105" s="111">
        <f>H105*1.055</f>
        <v>630890.15825</v>
      </c>
    </row>
    <row r="106" spans="1:11" ht="20.25">
      <c r="A106" s="81" t="s">
        <v>84</v>
      </c>
      <c r="B106" s="110"/>
      <c r="C106" s="110"/>
      <c r="D106" s="110"/>
      <c r="E106" s="110"/>
      <c r="F106" s="110"/>
      <c r="G106" s="110"/>
      <c r="H106" s="110"/>
      <c r="I106" s="110"/>
      <c r="J106" s="110"/>
      <c r="K106" s="110"/>
    </row>
    <row r="107" spans="1:11" ht="20.25">
      <c r="A107" s="104" t="s">
        <v>96</v>
      </c>
      <c r="B107" s="112"/>
      <c r="C107" s="113"/>
      <c r="D107" s="113"/>
      <c r="E107" s="113"/>
      <c r="F107" s="113"/>
      <c r="G107" s="113"/>
      <c r="H107" s="113"/>
      <c r="I107" s="113"/>
      <c r="J107" s="113"/>
      <c r="K107" s="114"/>
    </row>
    <row r="108" spans="1:11" ht="20.25">
      <c r="A108" s="82" t="s">
        <v>97</v>
      </c>
      <c r="B108" s="112"/>
      <c r="C108" s="115">
        <v>1</v>
      </c>
      <c r="D108" s="115"/>
      <c r="E108" s="115"/>
      <c r="F108" s="115">
        <f>C108</f>
        <v>1</v>
      </c>
      <c r="G108" s="115"/>
      <c r="H108" s="115"/>
      <c r="I108" s="115">
        <f>F108</f>
        <v>1</v>
      </c>
      <c r="J108" s="113"/>
      <c r="K108" s="114"/>
    </row>
    <row r="109" spans="1:11" ht="20.25">
      <c r="A109" s="82" t="s">
        <v>98</v>
      </c>
      <c r="B109" s="112"/>
      <c r="C109" s="113">
        <v>86.75</v>
      </c>
      <c r="D109" s="113"/>
      <c r="E109" s="113"/>
      <c r="F109" s="113">
        <f>C109</f>
        <v>86.75</v>
      </c>
      <c r="G109" s="113"/>
      <c r="H109" s="113"/>
      <c r="I109" s="113">
        <f>F109</f>
        <v>86.75</v>
      </c>
      <c r="J109" s="113"/>
      <c r="K109" s="114"/>
    </row>
    <row r="110" spans="1:11" ht="20.25">
      <c r="A110" s="83" t="s">
        <v>154</v>
      </c>
      <c r="B110" s="112"/>
      <c r="C110" s="113">
        <v>30</v>
      </c>
      <c r="D110" s="113"/>
      <c r="E110" s="113"/>
      <c r="F110" s="113">
        <f>C110</f>
        <v>30</v>
      </c>
      <c r="G110" s="113"/>
      <c r="H110" s="113"/>
      <c r="I110" s="113">
        <f>F110</f>
        <v>30</v>
      </c>
      <c r="J110" s="113"/>
      <c r="K110" s="114"/>
    </row>
    <row r="111" spans="1:11" ht="20.25">
      <c r="A111" s="85" t="s">
        <v>108</v>
      </c>
      <c r="B111" s="112"/>
      <c r="C111" s="113">
        <v>165</v>
      </c>
      <c r="D111" s="113"/>
      <c r="E111" s="113"/>
      <c r="F111" s="113">
        <f>C111</f>
        <v>165</v>
      </c>
      <c r="G111" s="113"/>
      <c r="H111" s="113"/>
      <c r="I111" s="113">
        <f>F111</f>
        <v>165</v>
      </c>
      <c r="J111" s="113"/>
      <c r="K111" s="114"/>
    </row>
    <row r="112" spans="1:11" ht="20.25">
      <c r="A112" s="104" t="s">
        <v>85</v>
      </c>
      <c r="B112" s="112"/>
      <c r="C112" s="115"/>
      <c r="D112" s="115"/>
      <c r="E112" s="115"/>
      <c r="F112" s="115"/>
      <c r="G112" s="115"/>
      <c r="H112" s="115"/>
      <c r="I112" s="115"/>
      <c r="J112" s="115"/>
      <c r="K112" s="114"/>
    </row>
    <row r="113" spans="1:11" ht="30.75" customHeight="1">
      <c r="A113" s="105" t="s">
        <v>109</v>
      </c>
      <c r="B113" s="112"/>
      <c r="C113" s="116">
        <v>3300</v>
      </c>
      <c r="D113" s="116"/>
      <c r="E113" s="116"/>
      <c r="F113" s="116">
        <f>C113+50</f>
        <v>3350</v>
      </c>
      <c r="G113" s="116"/>
      <c r="H113" s="116"/>
      <c r="I113" s="116">
        <f>F113+50</f>
        <v>3400</v>
      </c>
      <c r="J113" s="115"/>
      <c r="K113" s="114"/>
    </row>
    <row r="114" spans="1:11" ht="30.75" customHeight="1">
      <c r="A114" s="105" t="s">
        <v>110</v>
      </c>
      <c r="B114" s="112"/>
      <c r="C114" s="116">
        <v>3316</v>
      </c>
      <c r="D114" s="116"/>
      <c r="E114" s="116"/>
      <c r="F114" s="116">
        <f>C114</f>
        <v>3316</v>
      </c>
      <c r="G114" s="116"/>
      <c r="H114" s="116"/>
      <c r="I114" s="116">
        <f>F114</f>
        <v>3316</v>
      </c>
      <c r="J114" s="115"/>
      <c r="K114" s="114"/>
    </row>
    <row r="115" spans="1:11" ht="52.5" customHeight="1">
      <c r="A115" s="105" t="s">
        <v>111</v>
      </c>
      <c r="B115" s="112"/>
      <c r="C115" s="116">
        <v>147714</v>
      </c>
      <c r="D115" s="116"/>
      <c r="E115" s="116"/>
      <c r="F115" s="116">
        <f>C115</f>
        <v>147714</v>
      </c>
      <c r="G115" s="116"/>
      <c r="H115" s="116"/>
      <c r="I115" s="116">
        <f>F115</f>
        <v>147714</v>
      </c>
      <c r="J115" s="115"/>
      <c r="K115" s="114"/>
    </row>
    <row r="116" spans="1:11" ht="42.75" customHeight="1">
      <c r="A116" s="105" t="s">
        <v>99</v>
      </c>
      <c r="B116" s="112"/>
      <c r="C116" s="119">
        <v>6</v>
      </c>
      <c r="D116" s="115"/>
      <c r="E116" s="113"/>
      <c r="F116" s="115">
        <f>C116</f>
        <v>6</v>
      </c>
      <c r="G116" s="115"/>
      <c r="H116" s="113"/>
      <c r="I116" s="115">
        <f>F116</f>
        <v>6</v>
      </c>
      <c r="J116" s="115"/>
      <c r="K116" s="114"/>
    </row>
    <row r="117" spans="1:11" ht="52.5" customHeight="1">
      <c r="A117" s="105" t="s">
        <v>186</v>
      </c>
      <c r="B117" s="112"/>
      <c r="C117" s="119">
        <v>37</v>
      </c>
      <c r="D117" s="115"/>
      <c r="E117" s="113"/>
      <c r="F117" s="115">
        <f>C117-C116</f>
        <v>31</v>
      </c>
      <c r="G117" s="115"/>
      <c r="H117" s="113"/>
      <c r="I117" s="115">
        <f>F117-F116</f>
        <v>25</v>
      </c>
      <c r="J117" s="115"/>
      <c r="K117" s="114"/>
    </row>
    <row r="118" spans="1:11" ht="35.25" customHeight="1">
      <c r="A118" s="105" t="s">
        <v>86</v>
      </c>
      <c r="B118" s="112"/>
      <c r="C118" s="115">
        <v>53</v>
      </c>
      <c r="D118" s="115"/>
      <c r="E118" s="113"/>
      <c r="F118" s="115">
        <f>C118</f>
        <v>53</v>
      </c>
      <c r="G118" s="115"/>
      <c r="H118" s="113"/>
      <c r="I118" s="115">
        <f>F118</f>
        <v>53</v>
      </c>
      <c r="J118" s="115"/>
      <c r="K118" s="114"/>
    </row>
    <row r="119" spans="1:11" ht="39" customHeight="1">
      <c r="A119" s="105" t="s">
        <v>250</v>
      </c>
      <c r="B119" s="112"/>
      <c r="C119" s="115">
        <v>19323.039999999997</v>
      </c>
      <c r="D119" s="113"/>
      <c r="E119" s="113"/>
      <c r="F119" s="115">
        <f>C119</f>
        <v>19323.039999999997</v>
      </c>
      <c r="G119" s="113"/>
      <c r="H119" s="113"/>
      <c r="I119" s="115">
        <f>F119</f>
        <v>19323.039999999997</v>
      </c>
      <c r="J119" s="113"/>
      <c r="K119" s="114"/>
    </row>
    <row r="120" spans="1:11" ht="20.25">
      <c r="A120" s="84" t="s">
        <v>87</v>
      </c>
      <c r="B120" s="112"/>
      <c r="C120" s="115"/>
      <c r="D120" s="113"/>
      <c r="E120" s="113"/>
      <c r="F120" s="115"/>
      <c r="G120" s="113"/>
      <c r="H120" s="113"/>
      <c r="I120" s="115"/>
      <c r="J120" s="113"/>
      <c r="K120" s="114"/>
    </row>
    <row r="121" spans="1:11" ht="49.5" customHeight="1">
      <c r="A121" s="83" t="s">
        <v>112</v>
      </c>
      <c r="B121" s="112"/>
      <c r="C121" s="116">
        <v>5.1</v>
      </c>
      <c r="D121" s="113"/>
      <c r="E121" s="113"/>
      <c r="F121" s="116">
        <f>C121</f>
        <v>5.1</v>
      </c>
      <c r="G121" s="113"/>
      <c r="H121" s="113"/>
      <c r="I121" s="116">
        <f>F121</f>
        <v>5.1</v>
      </c>
      <c r="J121" s="113"/>
      <c r="K121" s="114"/>
    </row>
    <row r="122" spans="1:11" ht="35.25" customHeight="1">
      <c r="A122" s="85" t="s">
        <v>113</v>
      </c>
      <c r="B122" s="112"/>
      <c r="C122" s="116">
        <f>C113/C109</f>
        <v>38.04034582132565</v>
      </c>
      <c r="D122" s="113"/>
      <c r="E122" s="113"/>
      <c r="F122" s="116">
        <f>F113/F109</f>
        <v>38.61671469740634</v>
      </c>
      <c r="G122" s="113"/>
      <c r="H122" s="113"/>
      <c r="I122" s="116">
        <f>I113/I109</f>
        <v>39.19308357348703</v>
      </c>
      <c r="J122" s="113"/>
      <c r="K122" s="114"/>
    </row>
    <row r="123" spans="1:11" ht="40.5">
      <c r="A123" s="85" t="s">
        <v>155</v>
      </c>
      <c r="B123" s="112"/>
      <c r="C123" s="115">
        <f>C100/C110</f>
        <v>536.3333333333334</v>
      </c>
      <c r="D123" s="113"/>
      <c r="E123" s="113"/>
      <c r="F123" s="115">
        <f>F100/F110</f>
        <v>572.2676666666666</v>
      </c>
      <c r="G123" s="113"/>
      <c r="H123" s="113"/>
      <c r="I123" s="115">
        <f>I100/I110</f>
        <v>603.7423883333333</v>
      </c>
      <c r="J123" s="113"/>
      <c r="K123" s="114"/>
    </row>
    <row r="124" spans="1:11" ht="40.5">
      <c r="A124" s="85" t="s">
        <v>115</v>
      </c>
      <c r="B124" s="112"/>
      <c r="C124" s="113">
        <f>C104/C116</f>
        <v>89925</v>
      </c>
      <c r="D124" s="113"/>
      <c r="E124" s="113"/>
      <c r="F124" s="113">
        <f>F104/F116</f>
        <v>95949.97499999999</v>
      </c>
      <c r="G124" s="113"/>
      <c r="H124" s="113"/>
      <c r="I124" s="113">
        <f>I104/I116</f>
        <v>101227.22362499998</v>
      </c>
      <c r="J124" s="113"/>
      <c r="K124" s="114"/>
    </row>
    <row r="125" spans="1:11" ht="40.5">
      <c r="A125" s="85" t="s">
        <v>116</v>
      </c>
      <c r="B125" s="112"/>
      <c r="C125" s="113">
        <f>C105/C118</f>
        <v>10574.528301886792</v>
      </c>
      <c r="D125" s="113"/>
      <c r="E125" s="113"/>
      <c r="F125" s="113">
        <f>F105/F118</f>
        <v>11283.021698113207</v>
      </c>
      <c r="G125" s="113"/>
      <c r="H125" s="113"/>
      <c r="I125" s="113">
        <f>I105/I118</f>
        <v>11903.587891509433</v>
      </c>
      <c r="J125" s="113"/>
      <c r="K125" s="114"/>
    </row>
    <row r="126" spans="1:11" ht="70.5" customHeight="1">
      <c r="A126" s="85" t="s">
        <v>251</v>
      </c>
      <c r="B126" s="112"/>
      <c r="C126" s="113">
        <f>C103/C119</f>
        <v>220.48433372802626</v>
      </c>
      <c r="D126" s="113"/>
      <c r="E126" s="113"/>
      <c r="F126" s="113">
        <f>F103/F119</f>
        <v>238.56404909372438</v>
      </c>
      <c r="G126" s="113"/>
      <c r="H126" s="113"/>
      <c r="I126" s="113">
        <f>I103/I119</f>
        <v>252.63932799025415</v>
      </c>
      <c r="J126" s="113"/>
      <c r="K126" s="114"/>
    </row>
    <row r="127" spans="1:11" ht="20.25">
      <c r="A127" s="86" t="s">
        <v>88</v>
      </c>
      <c r="B127" s="112"/>
      <c r="C127" s="115"/>
      <c r="D127" s="113"/>
      <c r="E127" s="113"/>
      <c r="F127" s="115"/>
      <c r="G127" s="113"/>
      <c r="H127" s="113"/>
      <c r="I127" s="115"/>
      <c r="J127" s="113"/>
      <c r="K127" s="114"/>
    </row>
    <row r="128" spans="1:11" ht="54" customHeight="1">
      <c r="A128" s="85" t="s">
        <v>158</v>
      </c>
      <c r="B128" s="112"/>
      <c r="C128" s="120">
        <v>0</v>
      </c>
      <c r="D128" s="113"/>
      <c r="E128" s="113"/>
      <c r="F128" s="117">
        <f>C128</f>
        <v>0</v>
      </c>
      <c r="G128" s="113"/>
      <c r="H128" s="113"/>
      <c r="I128" s="117">
        <f>F128</f>
        <v>0</v>
      </c>
      <c r="J128" s="113"/>
      <c r="K128" s="114"/>
    </row>
    <row r="129" spans="1:11" ht="60.75">
      <c r="A129" s="85" t="s">
        <v>114</v>
      </c>
      <c r="B129" s="112"/>
      <c r="C129" s="117">
        <v>0.2</v>
      </c>
      <c r="D129" s="113"/>
      <c r="E129" s="113"/>
      <c r="F129" s="117">
        <f>C129</f>
        <v>0.2</v>
      </c>
      <c r="G129" s="113"/>
      <c r="H129" s="113"/>
      <c r="I129" s="117">
        <f>F129</f>
        <v>0.2</v>
      </c>
      <c r="J129" s="113"/>
      <c r="K129" s="114"/>
    </row>
    <row r="130" spans="1:11" ht="71.25" customHeight="1">
      <c r="A130" s="85" t="s">
        <v>159</v>
      </c>
      <c r="B130" s="112"/>
      <c r="C130" s="117">
        <v>3</v>
      </c>
      <c r="D130" s="113"/>
      <c r="E130" s="113"/>
      <c r="F130" s="117">
        <f>C130</f>
        <v>3</v>
      </c>
      <c r="G130" s="113"/>
      <c r="H130" s="113"/>
      <c r="I130" s="117">
        <f>F130</f>
        <v>3</v>
      </c>
      <c r="J130" s="113"/>
      <c r="K130" s="114"/>
    </row>
    <row r="131" spans="1:11" ht="61.5" customHeight="1">
      <c r="A131" s="85" t="s">
        <v>197</v>
      </c>
      <c r="B131" s="112"/>
      <c r="C131" s="121">
        <f>C116/C117*100</f>
        <v>16.216216216216218</v>
      </c>
      <c r="D131" s="113"/>
      <c r="E131" s="113"/>
      <c r="F131" s="121">
        <f>F116/F117*100</f>
        <v>19.35483870967742</v>
      </c>
      <c r="G131" s="113"/>
      <c r="H131" s="113"/>
      <c r="I131" s="121">
        <f>I116/I117*100</f>
        <v>24</v>
      </c>
      <c r="J131" s="113"/>
      <c r="K131" s="114"/>
    </row>
    <row r="132" spans="1:11" ht="40.5" customHeight="1">
      <c r="A132" s="255" t="str">
        <f>'Додаток 2'!A58:K58</f>
        <v>Підпрограма 4. НАДАННЯ СТОМАТОЛОГІЧНОЇ ДОПОМОГИ НАСЕЛЕННЮ МІСТА</v>
      </c>
      <c r="B132" s="255"/>
      <c r="C132" s="255"/>
      <c r="D132" s="255"/>
      <c r="E132" s="255"/>
      <c r="F132" s="255"/>
      <c r="G132" s="255"/>
      <c r="H132" s="255"/>
      <c r="I132" s="255"/>
      <c r="J132" s="255"/>
      <c r="K132" s="255"/>
    </row>
    <row r="133" spans="1:11" ht="26.25" customHeight="1">
      <c r="A133" s="92" t="s">
        <v>92</v>
      </c>
      <c r="B133" s="256" t="s">
        <v>117</v>
      </c>
      <c r="C133" s="256"/>
      <c r="D133" s="256"/>
      <c r="E133" s="256"/>
      <c r="F133" s="256"/>
      <c r="G133" s="256"/>
      <c r="H133" s="256"/>
      <c r="I133" s="256"/>
      <c r="J133" s="256"/>
      <c r="K133" s="256"/>
    </row>
    <row r="134" spans="1:11" ht="20.25">
      <c r="A134" s="93" t="s">
        <v>118</v>
      </c>
      <c r="B134" s="208" t="s">
        <v>137</v>
      </c>
      <c r="C134" s="208"/>
      <c r="D134" s="208"/>
      <c r="E134" s="208"/>
      <c r="F134" s="208"/>
      <c r="G134" s="208"/>
      <c r="H134" s="208"/>
      <c r="I134" s="208"/>
      <c r="J134" s="208"/>
      <c r="K134" s="208"/>
    </row>
    <row r="135" spans="1:12" ht="35.25" customHeight="1">
      <c r="A135" s="79" t="s">
        <v>83</v>
      </c>
      <c r="B135" s="107">
        <f>C135+F135+I135</f>
        <v>47339361.4778826</v>
      </c>
      <c r="C135" s="107">
        <f>D135+E135</f>
        <v>14534733.7</v>
      </c>
      <c r="D135" s="107">
        <f>D136+D138+D139+D140+D137+D141</f>
        <v>6341682.7</v>
      </c>
      <c r="E135" s="107">
        <f>E136+E138+E139+E140+E137+E141</f>
        <v>8193051</v>
      </c>
      <c r="F135" s="107">
        <f aca="true" t="shared" si="6" ref="F135:F141">G135+H135</f>
        <v>15832739.4734</v>
      </c>
      <c r="G135" s="107">
        <f>G136+G138+G139+G140+G137+G141</f>
        <v>6912105.5414</v>
      </c>
      <c r="H135" s="107">
        <f>H136+H138+H139+H140+H137+H141</f>
        <v>8920633.932</v>
      </c>
      <c r="I135" s="107">
        <f aca="true" t="shared" si="7" ref="I135:I141">J135+K135</f>
        <v>16971888.3044826</v>
      </c>
      <c r="J135" s="107">
        <f>J136+J138+J139+J140+J137+J141</f>
        <v>7411169.601894601</v>
      </c>
      <c r="K135" s="107">
        <f>K136+K138+K139+K140+K137+K141</f>
        <v>9560718.702588001</v>
      </c>
      <c r="L135" s="42">
        <f>B135-'Додаток 2'!G70*1000</f>
        <v>0</v>
      </c>
    </row>
    <row r="136" spans="1:11" ht="60.75">
      <c r="A136" s="89" t="s">
        <v>54</v>
      </c>
      <c r="B136" s="110"/>
      <c r="C136" s="111">
        <f aca="true" t="shared" si="8" ref="C136:C141">E136+D136</f>
        <v>1040820</v>
      </c>
      <c r="D136" s="111">
        <f>'Додаток 2'!H59*1000</f>
        <v>319219.99999999994</v>
      </c>
      <c r="E136" s="111">
        <f>'Додаток 2'!H60*1000</f>
        <v>721600</v>
      </c>
      <c r="F136" s="111">
        <f t="shared" si="6"/>
        <v>1110554.94</v>
      </c>
      <c r="G136" s="111">
        <f>'Додаток 2'!I59*1000</f>
        <v>340607.74</v>
      </c>
      <c r="H136" s="111">
        <f>'Додаток 2'!I60*1000</f>
        <v>769947.2</v>
      </c>
      <c r="I136" s="111">
        <f t="shared" si="7"/>
        <v>1171635.4616999999</v>
      </c>
      <c r="J136" s="111">
        <f aca="true" t="shared" si="9" ref="J136:K138">G136*1.055</f>
        <v>359341.16569999995</v>
      </c>
      <c r="K136" s="111">
        <f t="shared" si="9"/>
        <v>812294.2959999999</v>
      </c>
    </row>
    <row r="137" spans="1:11" ht="22.5" customHeight="1">
      <c r="A137" s="89" t="s">
        <v>148</v>
      </c>
      <c r="B137" s="110"/>
      <c r="C137" s="111">
        <f t="shared" si="8"/>
        <v>9000</v>
      </c>
      <c r="D137" s="111">
        <f>'Додаток 2'!H61*1000</f>
        <v>9000</v>
      </c>
      <c r="E137" s="111"/>
      <c r="F137" s="111">
        <f t="shared" si="6"/>
        <v>9603</v>
      </c>
      <c r="G137" s="111">
        <v>9603</v>
      </c>
      <c r="H137" s="111">
        <v>0</v>
      </c>
      <c r="I137" s="111">
        <f t="shared" si="7"/>
        <v>10131.164999999999</v>
      </c>
      <c r="J137" s="111">
        <f t="shared" si="9"/>
        <v>10131.164999999999</v>
      </c>
      <c r="K137" s="111">
        <f t="shared" si="9"/>
        <v>0</v>
      </c>
    </row>
    <row r="138" spans="1:11" ht="69" customHeight="1">
      <c r="A138" s="89" t="s">
        <v>55</v>
      </c>
      <c r="B138" s="110"/>
      <c r="C138" s="111">
        <f t="shared" si="8"/>
        <v>643566</v>
      </c>
      <c r="D138" s="111">
        <f>'Додаток 2'!H62*1000</f>
        <v>363616</v>
      </c>
      <c r="E138" s="111">
        <f>'Додаток 2'!H63*1000</f>
        <v>279950</v>
      </c>
      <c r="F138" s="111">
        <f t="shared" si="6"/>
        <v>686684.9219999999</v>
      </c>
      <c r="G138" s="111">
        <f>'Додаток 2'!I62*1000</f>
        <v>387978.27199999994</v>
      </c>
      <c r="H138" s="111">
        <f>'Додаток 2'!I63*1000</f>
        <v>298706.64999999997</v>
      </c>
      <c r="I138" s="111">
        <f t="shared" si="7"/>
        <v>724452.5927099999</v>
      </c>
      <c r="J138" s="111">
        <f t="shared" si="9"/>
        <v>409317.0769599999</v>
      </c>
      <c r="K138" s="111">
        <f t="shared" si="9"/>
        <v>315135.51574999996</v>
      </c>
    </row>
    <row r="139" spans="1:11" ht="41.25" customHeight="1">
      <c r="A139" s="89" t="s">
        <v>56</v>
      </c>
      <c r="B139" s="110"/>
      <c r="C139" s="111">
        <f t="shared" si="8"/>
        <v>11513200</v>
      </c>
      <c r="D139" s="111">
        <f>('Додаток 2'!H64+'Додаток 2'!H66)*1000</f>
        <v>5065200</v>
      </c>
      <c r="E139" s="111">
        <f>'Додаток 2'!H65*1000</f>
        <v>6448000</v>
      </c>
      <c r="F139" s="111">
        <f t="shared" si="6"/>
        <v>12595440.8</v>
      </c>
      <c r="G139" s="111">
        <f>('Додаток 2'!I64+'Додаток 2'!I66)*1000</f>
        <v>5541328.800000001</v>
      </c>
      <c r="H139" s="111">
        <f>'Додаток 2'!I65*1000</f>
        <v>7054112.000000001</v>
      </c>
      <c r="I139" s="111">
        <f t="shared" si="7"/>
        <v>13552694.300800003</v>
      </c>
      <c r="J139" s="111">
        <f>G139*1.076</f>
        <v>5962469.788800001</v>
      </c>
      <c r="K139" s="111">
        <f>H139*1.076</f>
        <v>7590224.512000001</v>
      </c>
    </row>
    <row r="140" spans="1:11" ht="46.5" customHeight="1">
      <c r="A140" s="89" t="s">
        <v>39</v>
      </c>
      <c r="B140" s="110"/>
      <c r="C140" s="111">
        <f t="shared" si="8"/>
        <v>888147.7</v>
      </c>
      <c r="D140" s="111">
        <f>'Додаток 2'!H67*1000</f>
        <v>584646.7</v>
      </c>
      <c r="E140" s="111">
        <f>'Додаток 2'!H68*1000</f>
        <v>303501.00000000006</v>
      </c>
      <c r="F140" s="111">
        <f t="shared" si="6"/>
        <v>960975.8114000001</v>
      </c>
      <c r="G140" s="111">
        <f>'Додаток 2'!I67*1000</f>
        <v>632587.7294000001</v>
      </c>
      <c r="H140" s="111">
        <f>'Додаток 2'!I68*1000</f>
        <v>328388.08200000005</v>
      </c>
      <c r="I140" s="111">
        <f t="shared" si="7"/>
        <v>1017673.3842726001</v>
      </c>
      <c r="J140" s="111">
        <f>G140*1.059</f>
        <v>669910.4054346001</v>
      </c>
      <c r="K140" s="111">
        <f>H140*1.059</f>
        <v>347762.97883800004</v>
      </c>
    </row>
    <row r="141" spans="1:11" ht="39.75" customHeight="1">
      <c r="A141" s="89" t="s">
        <v>94</v>
      </c>
      <c r="B141" s="110"/>
      <c r="C141" s="111">
        <f t="shared" si="8"/>
        <v>440000</v>
      </c>
      <c r="D141" s="111"/>
      <c r="E141" s="111">
        <f>'Додаток 2'!H69*1000</f>
        <v>440000</v>
      </c>
      <c r="F141" s="111">
        <f t="shared" si="6"/>
        <v>469479.99999999994</v>
      </c>
      <c r="G141" s="111"/>
      <c r="H141" s="111">
        <f>'Додаток 2'!I69*1000</f>
        <v>469479.99999999994</v>
      </c>
      <c r="I141" s="111">
        <f t="shared" si="7"/>
        <v>495301.3999999999</v>
      </c>
      <c r="J141" s="111"/>
      <c r="K141" s="111">
        <f>H141*1.055</f>
        <v>495301.3999999999</v>
      </c>
    </row>
    <row r="142" spans="1:11" ht="20.25">
      <c r="A142" s="81" t="s">
        <v>84</v>
      </c>
      <c r="B142" s="110"/>
      <c r="C142" s="110"/>
      <c r="D142" s="110"/>
      <c r="E142" s="110"/>
      <c r="F142" s="110"/>
      <c r="G142" s="110"/>
      <c r="H142" s="110"/>
      <c r="I142" s="110"/>
      <c r="J142" s="110"/>
      <c r="K142" s="110"/>
    </row>
    <row r="143" spans="1:11" ht="20.25" customHeight="1">
      <c r="A143" s="104" t="s">
        <v>96</v>
      </c>
      <c r="B143" s="112"/>
      <c r="C143" s="113"/>
      <c r="D143" s="113"/>
      <c r="E143" s="113"/>
      <c r="F143" s="113"/>
      <c r="G143" s="113"/>
      <c r="H143" s="113"/>
      <c r="I143" s="113"/>
      <c r="J143" s="113"/>
      <c r="K143" s="114"/>
    </row>
    <row r="144" spans="1:11" ht="20.25">
      <c r="A144" s="82" t="s">
        <v>97</v>
      </c>
      <c r="B144" s="112"/>
      <c r="C144" s="115">
        <v>1</v>
      </c>
      <c r="D144" s="115"/>
      <c r="E144" s="115"/>
      <c r="F144" s="115">
        <f>C144</f>
        <v>1</v>
      </c>
      <c r="G144" s="115"/>
      <c r="H144" s="115"/>
      <c r="I144" s="115">
        <f>F144</f>
        <v>1</v>
      </c>
      <c r="J144" s="113"/>
      <c r="K144" s="114"/>
    </row>
    <row r="145" spans="1:11" ht="20.25">
      <c r="A145" s="83" t="s">
        <v>154</v>
      </c>
      <c r="B145" s="112"/>
      <c r="C145" s="115">
        <f>36+150</f>
        <v>186</v>
      </c>
      <c r="D145" s="115"/>
      <c r="E145" s="115"/>
      <c r="F145" s="115">
        <f>C145</f>
        <v>186</v>
      </c>
      <c r="G145" s="115"/>
      <c r="H145" s="115"/>
      <c r="I145" s="115">
        <f>F145</f>
        <v>186</v>
      </c>
      <c r="J145" s="113"/>
      <c r="K145" s="114"/>
    </row>
    <row r="146" spans="1:11" ht="20.25">
      <c r="A146" s="82" t="s">
        <v>98</v>
      </c>
      <c r="B146" s="112"/>
      <c r="C146" s="113">
        <v>39.75</v>
      </c>
      <c r="D146" s="113"/>
      <c r="E146" s="113"/>
      <c r="F146" s="113">
        <f>C146</f>
        <v>39.75</v>
      </c>
      <c r="G146" s="113"/>
      <c r="H146" s="113"/>
      <c r="I146" s="113">
        <f>F146</f>
        <v>39.75</v>
      </c>
      <c r="J146" s="113"/>
      <c r="K146" s="114"/>
    </row>
    <row r="147" spans="1:11" ht="18.75" customHeight="1">
      <c r="A147" s="104" t="s">
        <v>85</v>
      </c>
      <c r="B147" s="112"/>
      <c r="C147" s="115"/>
      <c r="D147" s="115"/>
      <c r="E147" s="115"/>
      <c r="F147" s="115"/>
      <c r="G147" s="115"/>
      <c r="H147" s="115"/>
      <c r="I147" s="115"/>
      <c r="J147" s="115"/>
      <c r="K147" s="114"/>
    </row>
    <row r="148" spans="1:11" ht="20.25">
      <c r="A148" s="82" t="s">
        <v>119</v>
      </c>
      <c r="B148" s="112"/>
      <c r="C148" s="116">
        <v>99737</v>
      </c>
      <c r="D148" s="116"/>
      <c r="E148" s="116"/>
      <c r="F148" s="116">
        <f aca="true" t="shared" si="10" ref="F148:F153">C148</f>
        <v>99737</v>
      </c>
      <c r="G148" s="116"/>
      <c r="H148" s="116"/>
      <c r="I148" s="116">
        <f aca="true" t="shared" si="11" ref="I148:I153">F148</f>
        <v>99737</v>
      </c>
      <c r="J148" s="115"/>
      <c r="K148" s="114"/>
    </row>
    <row r="149" spans="1:11" ht="40.5">
      <c r="A149" s="82" t="s">
        <v>120</v>
      </c>
      <c r="B149" s="112"/>
      <c r="C149" s="116">
        <v>7360</v>
      </c>
      <c r="D149" s="116"/>
      <c r="E149" s="116"/>
      <c r="F149" s="116">
        <f t="shared" si="10"/>
        <v>7360</v>
      </c>
      <c r="G149" s="116"/>
      <c r="H149" s="116"/>
      <c r="I149" s="116">
        <f t="shared" si="11"/>
        <v>7360</v>
      </c>
      <c r="J149" s="115"/>
      <c r="K149" s="114"/>
    </row>
    <row r="150" spans="1:11" ht="20.25">
      <c r="A150" s="82" t="s">
        <v>121</v>
      </c>
      <c r="B150" s="112"/>
      <c r="C150" s="116">
        <v>2600</v>
      </c>
      <c r="D150" s="116"/>
      <c r="E150" s="116"/>
      <c r="F150" s="116">
        <f t="shared" si="10"/>
        <v>2600</v>
      </c>
      <c r="G150" s="116"/>
      <c r="H150" s="116"/>
      <c r="I150" s="116">
        <f t="shared" si="11"/>
        <v>2600</v>
      </c>
      <c r="J150" s="115"/>
      <c r="K150" s="114"/>
    </row>
    <row r="151" spans="1:11" ht="20.25">
      <c r="A151" s="82" t="s">
        <v>122</v>
      </c>
      <c r="B151" s="112"/>
      <c r="C151" s="116">
        <v>18000</v>
      </c>
      <c r="D151" s="116"/>
      <c r="E151" s="116"/>
      <c r="F151" s="116">
        <f t="shared" si="10"/>
        <v>18000</v>
      </c>
      <c r="G151" s="116"/>
      <c r="H151" s="116"/>
      <c r="I151" s="116">
        <f t="shared" si="11"/>
        <v>18000</v>
      </c>
      <c r="J151" s="115"/>
      <c r="K151" s="114"/>
    </row>
    <row r="152" spans="1:11" ht="27.75" customHeight="1">
      <c r="A152" s="105" t="s">
        <v>99</v>
      </c>
      <c r="B152" s="112"/>
      <c r="C152" s="119">
        <v>1</v>
      </c>
      <c r="D152" s="115"/>
      <c r="E152" s="113"/>
      <c r="F152" s="115">
        <f t="shared" si="10"/>
        <v>1</v>
      </c>
      <c r="G152" s="115"/>
      <c r="H152" s="113"/>
      <c r="I152" s="115">
        <f t="shared" si="11"/>
        <v>1</v>
      </c>
      <c r="J152" s="115"/>
      <c r="K152" s="114"/>
    </row>
    <row r="153" spans="1:11" ht="24">
      <c r="A153" s="105" t="s">
        <v>250</v>
      </c>
      <c r="B153" s="112"/>
      <c r="C153" s="115">
        <v>1702.8</v>
      </c>
      <c r="D153" s="113"/>
      <c r="E153" s="113"/>
      <c r="F153" s="115">
        <f t="shared" si="10"/>
        <v>1702.8</v>
      </c>
      <c r="G153" s="113"/>
      <c r="H153" s="113"/>
      <c r="I153" s="115">
        <f t="shared" si="11"/>
        <v>1702.8</v>
      </c>
      <c r="J153" s="113"/>
      <c r="K153" s="114"/>
    </row>
    <row r="154" spans="1:11" ht="18" customHeight="1">
      <c r="A154" s="84" t="s">
        <v>87</v>
      </c>
      <c r="B154" s="112"/>
      <c r="C154" s="115"/>
      <c r="D154" s="113"/>
      <c r="E154" s="113"/>
      <c r="F154" s="115"/>
      <c r="G154" s="113"/>
      <c r="H154" s="113"/>
      <c r="I154" s="115"/>
      <c r="J154" s="113"/>
      <c r="K154" s="114"/>
    </row>
    <row r="155" spans="1:11" ht="40.5">
      <c r="A155" s="82" t="s">
        <v>124</v>
      </c>
      <c r="B155" s="112"/>
      <c r="C155" s="116">
        <v>395.6043956043956</v>
      </c>
      <c r="D155" s="113"/>
      <c r="E155" s="113"/>
      <c r="F155" s="116">
        <f>C155</f>
        <v>395.6043956043956</v>
      </c>
      <c r="G155" s="113"/>
      <c r="H155" s="113"/>
      <c r="I155" s="116">
        <f>F155</f>
        <v>395.6043956043956</v>
      </c>
      <c r="J155" s="113"/>
      <c r="K155" s="114"/>
    </row>
    <row r="156" spans="1:11" ht="40.5">
      <c r="A156" s="82" t="s">
        <v>125</v>
      </c>
      <c r="B156" s="112"/>
      <c r="C156" s="116">
        <v>266.6666666666667</v>
      </c>
      <c r="D156" s="113"/>
      <c r="E156" s="113"/>
      <c r="F156" s="116">
        <f>F149/F146</f>
        <v>185.1572327044025</v>
      </c>
      <c r="G156" s="113"/>
      <c r="H156" s="113"/>
      <c r="I156" s="116">
        <f>I149/I146</f>
        <v>185.1572327044025</v>
      </c>
      <c r="J156" s="113"/>
      <c r="K156" s="114"/>
    </row>
    <row r="157" spans="1:11" ht="40.5">
      <c r="A157" s="85" t="s">
        <v>155</v>
      </c>
      <c r="B157" s="112"/>
      <c r="C157" s="116">
        <f>C137/C145</f>
        <v>48.38709677419355</v>
      </c>
      <c r="D157" s="113"/>
      <c r="E157" s="113"/>
      <c r="F157" s="116">
        <f>F137/F145</f>
        <v>51.62903225806452</v>
      </c>
      <c r="G157" s="113"/>
      <c r="H157" s="113"/>
      <c r="I157" s="116">
        <f>I137/I145</f>
        <v>54.46862903225806</v>
      </c>
      <c r="J157" s="113"/>
      <c r="K157" s="114"/>
    </row>
    <row r="158" spans="1:11" ht="40.5">
      <c r="A158" s="85" t="s">
        <v>115</v>
      </c>
      <c r="B158" s="112"/>
      <c r="C158" s="113">
        <f>C141/1</f>
        <v>440000</v>
      </c>
      <c r="D158" s="113"/>
      <c r="E158" s="113"/>
      <c r="F158" s="113">
        <f>F141/F152</f>
        <v>469479.99999999994</v>
      </c>
      <c r="G158" s="113"/>
      <c r="H158" s="113"/>
      <c r="I158" s="113">
        <f>I141/I152</f>
        <v>495301.3999999999</v>
      </c>
      <c r="J158" s="113"/>
      <c r="K158" s="114"/>
    </row>
    <row r="159" spans="1:11" ht="42.75" customHeight="1">
      <c r="A159" s="85" t="s">
        <v>251</v>
      </c>
      <c r="B159" s="112"/>
      <c r="C159" s="113">
        <f>C140/C153</f>
        <v>521.5807493540052</v>
      </c>
      <c r="D159" s="113"/>
      <c r="E159" s="113"/>
      <c r="F159" s="113">
        <f>F140/F153</f>
        <v>564.3503708010337</v>
      </c>
      <c r="G159" s="113"/>
      <c r="H159" s="113"/>
      <c r="I159" s="113">
        <f>I140/I153</f>
        <v>597.6470426782946</v>
      </c>
      <c r="J159" s="113"/>
      <c r="K159" s="114"/>
    </row>
    <row r="160" spans="1:11" ht="22.5" customHeight="1">
      <c r="A160" s="86" t="s">
        <v>88</v>
      </c>
      <c r="B160" s="112"/>
      <c r="C160" s="115"/>
      <c r="D160" s="113"/>
      <c r="E160" s="113"/>
      <c r="F160" s="115"/>
      <c r="G160" s="113"/>
      <c r="H160" s="113"/>
      <c r="I160" s="115"/>
      <c r="J160" s="113"/>
      <c r="K160" s="114"/>
    </row>
    <row r="161" spans="1:11" ht="47.25" customHeight="1">
      <c r="A161" s="82" t="s">
        <v>123</v>
      </c>
      <c r="B161" s="112"/>
      <c r="C161" s="117">
        <v>1</v>
      </c>
      <c r="D161" s="113"/>
      <c r="E161" s="113"/>
      <c r="F161" s="117">
        <f>C161</f>
        <v>1</v>
      </c>
      <c r="G161" s="113"/>
      <c r="H161" s="113"/>
      <c r="I161" s="117">
        <f>F161</f>
        <v>1</v>
      </c>
      <c r="J161" s="113"/>
      <c r="K161" s="114"/>
    </row>
    <row r="162" spans="1:11" ht="47.25" customHeight="1">
      <c r="A162" s="82" t="s">
        <v>162</v>
      </c>
      <c r="B162" s="112"/>
      <c r="C162" s="117">
        <v>100</v>
      </c>
      <c r="D162" s="113"/>
      <c r="E162" s="113"/>
      <c r="F162" s="117">
        <f>C162</f>
        <v>100</v>
      </c>
      <c r="G162" s="113"/>
      <c r="H162" s="113"/>
      <c r="I162" s="117">
        <f>F162</f>
        <v>100</v>
      </c>
      <c r="J162" s="113"/>
      <c r="K162" s="114"/>
    </row>
    <row r="163" spans="1:11" ht="36" customHeight="1">
      <c r="A163" s="255" t="str">
        <f>'Додаток 2'!A74:K74</f>
        <v>Підпрограма 5. ПРОГРАМНІ ТА ЦЕНТРАЛІЗОВАНІ ЗАХОДИ У ГАЛУЗІ "ОХОРОНА ЗДОРОВ'Я"</v>
      </c>
      <c r="B163" s="255"/>
      <c r="C163" s="255"/>
      <c r="D163" s="255"/>
      <c r="E163" s="255"/>
      <c r="F163" s="255"/>
      <c r="G163" s="255"/>
      <c r="H163" s="255"/>
      <c r="I163" s="255"/>
      <c r="J163" s="255"/>
      <c r="K163" s="255"/>
    </row>
    <row r="164" spans="1:11" ht="28.5" customHeight="1">
      <c r="A164" s="92" t="s">
        <v>92</v>
      </c>
      <c r="B164" s="256" t="s">
        <v>126</v>
      </c>
      <c r="C164" s="257"/>
      <c r="D164" s="257"/>
      <c r="E164" s="257"/>
      <c r="F164" s="257"/>
      <c r="G164" s="257"/>
      <c r="H164" s="257"/>
      <c r="I164" s="257"/>
      <c r="J164" s="257"/>
      <c r="K164" s="257"/>
    </row>
    <row r="165" spans="1:12" ht="28.5" customHeight="1">
      <c r="A165" s="79" t="s">
        <v>83</v>
      </c>
      <c r="B165" s="132">
        <f aca="true" t="shared" si="12" ref="B165:K165">B168+B178</f>
        <v>47750232.5</v>
      </c>
      <c r="C165" s="132">
        <f t="shared" si="12"/>
        <v>15956300</v>
      </c>
      <c r="D165" s="132">
        <f t="shared" si="12"/>
        <v>15956300</v>
      </c>
      <c r="E165" s="132">
        <f t="shared" si="12"/>
        <v>0</v>
      </c>
      <c r="F165" s="132">
        <f t="shared" si="12"/>
        <v>15471500</v>
      </c>
      <c r="G165" s="132">
        <f t="shared" si="12"/>
        <v>15471500</v>
      </c>
      <c r="H165" s="132">
        <f t="shared" si="12"/>
        <v>0</v>
      </c>
      <c r="I165" s="132">
        <f t="shared" si="12"/>
        <v>16322432.499999998</v>
      </c>
      <c r="J165" s="132">
        <f t="shared" si="12"/>
        <v>16322432.499999998</v>
      </c>
      <c r="K165" s="132">
        <f t="shared" si="12"/>
        <v>0</v>
      </c>
      <c r="L165" s="42">
        <f>'Додаток 2'!G77*1000-'Додаток 3'!B165</f>
        <v>0</v>
      </c>
    </row>
    <row r="166" spans="1:11" ht="28.5" customHeight="1">
      <c r="A166" s="80" t="s">
        <v>246</v>
      </c>
      <c r="B166" s="129"/>
      <c r="C166" s="130"/>
      <c r="D166" s="130"/>
      <c r="E166" s="130"/>
      <c r="F166" s="130"/>
      <c r="G166" s="130"/>
      <c r="H166" s="130"/>
      <c r="I166" s="130"/>
      <c r="J166" s="130"/>
      <c r="K166" s="130"/>
    </row>
    <row r="167" spans="1:11" ht="39.75" customHeight="1">
      <c r="A167" s="131" t="s">
        <v>255</v>
      </c>
      <c r="B167" s="208" t="s">
        <v>254</v>
      </c>
      <c r="C167" s="208"/>
      <c r="D167" s="208"/>
      <c r="E167" s="208"/>
      <c r="F167" s="208"/>
      <c r="G167" s="208"/>
      <c r="H167" s="208"/>
      <c r="I167" s="208"/>
      <c r="J167" s="208"/>
      <c r="K167" s="208"/>
    </row>
    <row r="168" spans="1:11" ht="36" customHeight="1">
      <c r="A168" s="80" t="s">
        <v>258</v>
      </c>
      <c r="B168" s="102">
        <f>C168+F168+I168</f>
        <v>46293932.5</v>
      </c>
      <c r="C168" s="109">
        <f>D168+E168</f>
        <v>14500000</v>
      </c>
      <c r="D168" s="109">
        <f>D169</f>
        <v>14500000</v>
      </c>
      <c r="E168" s="109">
        <f>E169</f>
        <v>0</v>
      </c>
      <c r="F168" s="109">
        <f>G168+H168</f>
        <v>15471500</v>
      </c>
      <c r="G168" s="109">
        <f>G169</f>
        <v>15471500</v>
      </c>
      <c r="H168" s="109">
        <f>H169</f>
        <v>0</v>
      </c>
      <c r="I168" s="109">
        <f>J168+K168</f>
        <v>16322432.499999998</v>
      </c>
      <c r="J168" s="109">
        <f>J169</f>
        <v>16322432.499999998</v>
      </c>
      <c r="K168" s="109">
        <f>K169</f>
        <v>0</v>
      </c>
    </row>
    <row r="169" spans="1:11" ht="57" customHeight="1">
      <c r="A169" s="94" t="str">
        <f>'Додаток 2'!B75</f>
        <v>Забезпечення відшкодування витрат, пов’язаних з відпуском препаратів інсуліну  </v>
      </c>
      <c r="B169" s="110"/>
      <c r="C169" s="111">
        <f>E169+D169</f>
        <v>14500000</v>
      </c>
      <c r="D169" s="111">
        <f>'Додаток 2'!H75*1000</f>
        <v>14500000</v>
      </c>
      <c r="E169" s="111"/>
      <c r="F169" s="111">
        <f>G169+H169</f>
        <v>15471500</v>
      </c>
      <c r="G169" s="111">
        <v>15471500</v>
      </c>
      <c r="H169" s="111">
        <v>0</v>
      </c>
      <c r="I169" s="111">
        <f>J169+K169</f>
        <v>16322432.499999998</v>
      </c>
      <c r="J169" s="111">
        <f>G169*1.055</f>
        <v>16322432.499999998</v>
      </c>
      <c r="K169" s="111">
        <f>H169*1.055</f>
        <v>0</v>
      </c>
    </row>
    <row r="170" spans="1:11" ht="20.25">
      <c r="A170" s="81" t="s">
        <v>84</v>
      </c>
      <c r="B170" s="110"/>
      <c r="C170" s="110"/>
      <c r="D170" s="110"/>
      <c r="E170" s="110"/>
      <c r="F170" s="110"/>
      <c r="G170" s="110"/>
      <c r="H170" s="110"/>
      <c r="I170" s="110"/>
      <c r="J170" s="110"/>
      <c r="K170" s="110"/>
    </row>
    <row r="171" spans="1:11" ht="26.25" customHeight="1">
      <c r="A171" s="104" t="s">
        <v>96</v>
      </c>
      <c r="B171" s="112"/>
      <c r="C171" s="113"/>
      <c r="D171" s="113"/>
      <c r="E171" s="113"/>
      <c r="F171" s="113"/>
      <c r="G171" s="113"/>
      <c r="H171" s="113"/>
      <c r="I171" s="113"/>
      <c r="J171" s="113"/>
      <c r="K171" s="114"/>
    </row>
    <row r="172" spans="1:11" ht="39" customHeight="1">
      <c r="A172" s="95" t="s">
        <v>127</v>
      </c>
      <c r="B172" s="112"/>
      <c r="C172" s="115">
        <f>C169/1000</f>
        <v>14500</v>
      </c>
      <c r="D172" s="115"/>
      <c r="E172" s="115"/>
      <c r="F172" s="115">
        <f>F169/1000</f>
        <v>15471.5</v>
      </c>
      <c r="G172" s="115"/>
      <c r="H172" s="115"/>
      <c r="I172" s="115">
        <f>I169/1000</f>
        <v>16322.432499999999</v>
      </c>
      <c r="J172" s="113"/>
      <c r="K172" s="114"/>
    </row>
    <row r="173" spans="1:11" ht="20.25" customHeight="1">
      <c r="A173" s="104" t="s">
        <v>85</v>
      </c>
      <c r="B173" s="112"/>
      <c r="C173" s="115"/>
      <c r="D173" s="115"/>
      <c r="E173" s="115"/>
      <c r="F173" s="115"/>
      <c r="G173" s="115"/>
      <c r="H173" s="115"/>
      <c r="I173" s="115"/>
      <c r="J173" s="115"/>
      <c r="K173" s="114"/>
    </row>
    <row r="174" spans="1:11" ht="58.5" customHeight="1">
      <c r="A174" s="95" t="s">
        <v>128</v>
      </c>
      <c r="B174" s="112"/>
      <c r="C174" s="116">
        <v>1462</v>
      </c>
      <c r="D174" s="116"/>
      <c r="E174" s="116"/>
      <c r="F174" s="116">
        <f>C174</f>
        <v>1462</v>
      </c>
      <c r="G174" s="116"/>
      <c r="H174" s="116"/>
      <c r="I174" s="116">
        <f>F174</f>
        <v>1462</v>
      </c>
      <c r="J174" s="115"/>
      <c r="K174" s="114"/>
    </row>
    <row r="175" spans="1:11" ht="22.5" customHeight="1">
      <c r="A175" s="84" t="s">
        <v>87</v>
      </c>
      <c r="B175" s="112"/>
      <c r="C175" s="115"/>
      <c r="D175" s="113"/>
      <c r="E175" s="113"/>
      <c r="F175" s="115"/>
      <c r="G175" s="113"/>
      <c r="H175" s="113"/>
      <c r="I175" s="115"/>
      <c r="J175" s="113"/>
      <c r="K175" s="114"/>
    </row>
    <row r="176" spans="1:11" ht="45" customHeight="1">
      <c r="A176" s="95" t="s">
        <v>164</v>
      </c>
      <c r="B176" s="112"/>
      <c r="C176" s="116">
        <v>100</v>
      </c>
      <c r="D176" s="113"/>
      <c r="E176" s="113"/>
      <c r="F176" s="116">
        <f>C176</f>
        <v>100</v>
      </c>
      <c r="G176" s="113"/>
      <c r="H176" s="113"/>
      <c r="I176" s="116">
        <f>F176</f>
        <v>100</v>
      </c>
      <c r="J176" s="113"/>
      <c r="K176" s="114"/>
    </row>
    <row r="177" spans="1:11" ht="38.25" customHeight="1">
      <c r="A177" s="131" t="s">
        <v>256</v>
      </c>
      <c r="B177" s="208" t="s">
        <v>257</v>
      </c>
      <c r="C177" s="208"/>
      <c r="D177" s="208"/>
      <c r="E177" s="208"/>
      <c r="F177" s="208"/>
      <c r="G177" s="208"/>
      <c r="H177" s="208"/>
      <c r="I177" s="208"/>
      <c r="J177" s="208"/>
      <c r="K177" s="208"/>
    </row>
    <row r="178" spans="1:11" ht="24.75" customHeight="1">
      <c r="A178" s="80" t="s">
        <v>258</v>
      </c>
      <c r="B178" s="102">
        <f>C178+F178+I178</f>
        <v>1456300.0000000002</v>
      </c>
      <c r="C178" s="109">
        <f>D178+E178</f>
        <v>1456300.0000000002</v>
      </c>
      <c r="D178" s="109">
        <f>D179</f>
        <v>1456300.0000000002</v>
      </c>
      <c r="E178" s="109">
        <f>E179</f>
        <v>0</v>
      </c>
      <c r="F178" s="109">
        <f>G178+H178</f>
        <v>0</v>
      </c>
      <c r="G178" s="109">
        <f>G179</f>
        <v>0</v>
      </c>
      <c r="H178" s="109">
        <f>H179</f>
        <v>0</v>
      </c>
      <c r="I178" s="109">
        <f>J178+K178</f>
        <v>0</v>
      </c>
      <c r="J178" s="109">
        <f>J179</f>
        <v>0</v>
      </c>
      <c r="K178" s="109">
        <f>K179</f>
        <v>0</v>
      </c>
    </row>
    <row r="179" spans="1:11" ht="63.75" customHeight="1">
      <c r="A179" s="94" t="s">
        <v>64</v>
      </c>
      <c r="B179" s="110"/>
      <c r="C179" s="111">
        <f>E179+D179</f>
        <v>1456300.0000000002</v>
      </c>
      <c r="D179" s="111">
        <f>'Додаток 2'!H76*1000</f>
        <v>1456300.0000000002</v>
      </c>
      <c r="E179" s="111"/>
      <c r="F179" s="111">
        <f>G179+H179</f>
        <v>0</v>
      </c>
      <c r="G179" s="111"/>
      <c r="H179" s="111">
        <v>0</v>
      </c>
      <c r="I179" s="111">
        <f>J179+K179</f>
        <v>0</v>
      </c>
      <c r="J179" s="111">
        <f>G179*1.055</f>
        <v>0</v>
      </c>
      <c r="K179" s="111">
        <f>H179*1.055</f>
        <v>0</v>
      </c>
    </row>
    <row r="180" spans="1:11" ht="24.75" customHeight="1">
      <c r="A180" s="81" t="s">
        <v>84</v>
      </c>
      <c r="B180" s="110"/>
      <c r="C180" s="110"/>
      <c r="D180" s="110"/>
      <c r="E180" s="110"/>
      <c r="F180" s="110"/>
      <c r="G180" s="110"/>
      <c r="H180" s="110"/>
      <c r="I180" s="110"/>
      <c r="J180" s="110"/>
      <c r="K180" s="110"/>
    </row>
    <row r="181" spans="1:11" ht="24.75" customHeight="1">
      <c r="A181" s="104" t="s">
        <v>96</v>
      </c>
      <c r="B181" s="112"/>
      <c r="C181" s="113"/>
      <c r="D181" s="113"/>
      <c r="E181" s="113"/>
      <c r="F181" s="113"/>
      <c r="G181" s="113"/>
      <c r="H181" s="113"/>
      <c r="I181" s="113"/>
      <c r="J181" s="113"/>
      <c r="K181" s="114"/>
    </row>
    <row r="182" spans="1:11" ht="59.25" customHeight="1">
      <c r="A182" s="95" t="s">
        <v>259</v>
      </c>
      <c r="B182" s="112"/>
      <c r="C182" s="115">
        <f>C179/1000</f>
        <v>1456.3000000000002</v>
      </c>
      <c r="D182" s="115"/>
      <c r="E182" s="115"/>
      <c r="F182" s="115">
        <f>F179/1000</f>
        <v>0</v>
      </c>
      <c r="G182" s="115"/>
      <c r="H182" s="115"/>
      <c r="I182" s="115">
        <f>I179/1000</f>
        <v>0</v>
      </c>
      <c r="J182" s="113"/>
      <c r="K182" s="114"/>
    </row>
    <row r="183" spans="1:11" ht="24.75" customHeight="1">
      <c r="A183" s="104" t="s">
        <v>85</v>
      </c>
      <c r="B183" s="112"/>
      <c r="C183" s="115"/>
      <c r="D183" s="115"/>
      <c r="E183" s="115"/>
      <c r="F183" s="115"/>
      <c r="G183" s="115"/>
      <c r="H183" s="115"/>
      <c r="I183" s="115"/>
      <c r="J183" s="115"/>
      <c r="K183" s="114"/>
    </row>
    <row r="184" spans="1:11" ht="66.75" customHeight="1">
      <c r="A184" s="95" t="s">
        <v>165</v>
      </c>
      <c r="B184" s="112"/>
      <c r="C184" s="116">
        <v>83271</v>
      </c>
      <c r="D184" s="116"/>
      <c r="E184" s="116"/>
      <c r="F184" s="116"/>
      <c r="G184" s="116"/>
      <c r="H184" s="116"/>
      <c r="I184" s="116"/>
      <c r="J184" s="115"/>
      <c r="K184" s="114"/>
    </row>
    <row r="185" spans="1:11" ht="24.75" customHeight="1">
      <c r="A185" s="84" t="s">
        <v>87</v>
      </c>
      <c r="B185" s="112"/>
      <c r="C185" s="115"/>
      <c r="D185" s="113"/>
      <c r="E185" s="113"/>
      <c r="F185" s="115"/>
      <c r="G185" s="113"/>
      <c r="H185" s="113"/>
      <c r="I185" s="115"/>
      <c r="J185" s="113"/>
      <c r="K185" s="114"/>
    </row>
    <row r="186" spans="1:11" ht="35.25" customHeight="1">
      <c r="A186" s="95" t="s">
        <v>163</v>
      </c>
      <c r="B186" s="112"/>
      <c r="C186" s="116">
        <v>66.8</v>
      </c>
      <c r="D186" s="116"/>
      <c r="E186" s="116"/>
      <c r="F186" s="116"/>
      <c r="G186" s="116"/>
      <c r="H186" s="116"/>
      <c r="I186" s="116"/>
      <c r="J186" s="113"/>
      <c r="K186" s="114"/>
    </row>
    <row r="187" spans="1:11" ht="32.25" customHeight="1">
      <c r="A187" s="255" t="str">
        <f>'Додаток 2'!A79:K79</f>
        <v>Підпрограма 6. АНАЛІТИЧНА ЗВІТНІСТЬ, ЦЕНТРАЛІЗОВАНИЙ БУХГАЛТЕРСКИЙ ТА ФІНАНСОВИЙ ОБЛІК У  У ГАЛУЗІ "ОХОРОНА ЗДОРОВ'Я"</v>
      </c>
      <c r="B187" s="255"/>
      <c r="C187" s="255"/>
      <c r="D187" s="255"/>
      <c r="E187" s="255"/>
      <c r="F187" s="255"/>
      <c r="G187" s="255"/>
      <c r="H187" s="255"/>
      <c r="I187" s="255"/>
      <c r="J187" s="255"/>
      <c r="K187" s="255"/>
    </row>
    <row r="188" spans="1:11" ht="41.25" customHeight="1">
      <c r="A188" s="90" t="s">
        <v>92</v>
      </c>
      <c r="B188" s="265" t="s">
        <v>90</v>
      </c>
      <c r="C188" s="265"/>
      <c r="D188" s="265"/>
      <c r="E188" s="265"/>
      <c r="F188" s="265"/>
      <c r="G188" s="265"/>
      <c r="H188" s="265"/>
      <c r="I188" s="265"/>
      <c r="J188" s="265"/>
      <c r="K188" s="265"/>
    </row>
    <row r="189" spans="1:11" ht="34.5" customHeight="1">
      <c r="A189" s="93" t="s">
        <v>129</v>
      </c>
      <c r="B189" s="254" t="s">
        <v>144</v>
      </c>
      <c r="C189" s="254"/>
      <c r="D189" s="254"/>
      <c r="E189" s="254"/>
      <c r="F189" s="254"/>
      <c r="G189" s="254"/>
      <c r="H189" s="254"/>
      <c r="I189" s="254"/>
      <c r="J189" s="254"/>
      <c r="K189" s="254"/>
    </row>
    <row r="190" spans="1:12" ht="28.5" customHeight="1">
      <c r="A190" s="79" t="s">
        <v>83</v>
      </c>
      <c r="B190" s="106">
        <f>C190+F190+I190</f>
        <v>9345698.11775182</v>
      </c>
      <c r="C190" s="107">
        <f>D190+E190</f>
        <v>2862715.9</v>
      </c>
      <c r="D190" s="107">
        <f>D191</f>
        <v>2862715.9</v>
      </c>
      <c r="E190" s="107">
        <f>E191</f>
        <v>0</v>
      </c>
      <c r="F190" s="107">
        <f>G190+H190</f>
        <v>3125533.0238</v>
      </c>
      <c r="G190" s="107">
        <f>G191</f>
        <v>3125533.0238</v>
      </c>
      <c r="H190" s="107">
        <f>H191</f>
        <v>0</v>
      </c>
      <c r="I190" s="107">
        <f>J190+K190</f>
        <v>3357449.1939518205</v>
      </c>
      <c r="J190" s="107">
        <f>J191</f>
        <v>3357449.1939518205</v>
      </c>
      <c r="K190" s="107">
        <f>K191</f>
        <v>0</v>
      </c>
      <c r="L190" s="42">
        <f>B190-'Додаток 2'!G81*1000</f>
        <v>0</v>
      </c>
    </row>
    <row r="191" spans="1:11" ht="23.25" customHeight="1">
      <c r="A191" s="94" t="s">
        <v>69</v>
      </c>
      <c r="B191" s="110"/>
      <c r="C191" s="111">
        <f>E191+D191</f>
        <v>2862715.9</v>
      </c>
      <c r="D191" s="111">
        <f>'Додаток 2'!H80*1000</f>
        <v>2862715.9</v>
      </c>
      <c r="E191" s="111"/>
      <c r="F191" s="111">
        <f>G191+H191</f>
        <v>3125533.0238</v>
      </c>
      <c r="G191" s="111">
        <f>'Додаток 2'!I81*1000</f>
        <v>3125533.0238</v>
      </c>
      <c r="H191" s="111">
        <f>E191*1.067</f>
        <v>0</v>
      </c>
      <c r="I191" s="111">
        <f>J191+K191</f>
        <v>3357449.1939518205</v>
      </c>
      <c r="J191" s="111">
        <f>'Додаток 2'!J81*1000</f>
        <v>3357449.1939518205</v>
      </c>
      <c r="K191" s="111">
        <f>H191*1.055</f>
        <v>0</v>
      </c>
    </row>
    <row r="192" spans="1:11" ht="23.25" customHeight="1">
      <c r="A192" s="81" t="s">
        <v>84</v>
      </c>
      <c r="B192" s="110"/>
      <c r="C192" s="110"/>
      <c r="D192" s="110"/>
      <c r="E192" s="110"/>
      <c r="F192" s="110"/>
      <c r="G192" s="110"/>
      <c r="H192" s="110"/>
      <c r="I192" s="110"/>
      <c r="J192" s="110"/>
      <c r="K192" s="110"/>
    </row>
    <row r="193" spans="1:11" ht="23.25" customHeight="1">
      <c r="A193" s="104" t="s">
        <v>96</v>
      </c>
      <c r="B193" s="112"/>
      <c r="C193" s="113"/>
      <c r="D193" s="113"/>
      <c r="E193" s="113"/>
      <c r="F193" s="113"/>
      <c r="G193" s="113"/>
      <c r="H193" s="113"/>
      <c r="I193" s="113"/>
      <c r="J193" s="113"/>
      <c r="K193" s="114"/>
    </row>
    <row r="194" spans="1:11" ht="31.5" customHeight="1">
      <c r="A194" s="85" t="s">
        <v>130</v>
      </c>
      <c r="B194" s="112"/>
      <c r="C194" s="115">
        <v>1</v>
      </c>
      <c r="D194" s="115"/>
      <c r="E194" s="115"/>
      <c r="F194" s="115">
        <f>C194</f>
        <v>1</v>
      </c>
      <c r="G194" s="115"/>
      <c r="H194" s="115"/>
      <c r="I194" s="115">
        <f>F194</f>
        <v>1</v>
      </c>
      <c r="J194" s="113"/>
      <c r="K194" s="114"/>
    </row>
    <row r="195" spans="1:11" ht="28.5" customHeight="1">
      <c r="A195" s="85" t="s">
        <v>131</v>
      </c>
      <c r="B195" s="112"/>
      <c r="C195" s="115">
        <f>9+12</f>
        <v>21</v>
      </c>
      <c r="D195" s="115"/>
      <c r="E195" s="115"/>
      <c r="F195" s="115">
        <f>C195</f>
        <v>21</v>
      </c>
      <c r="G195" s="115"/>
      <c r="H195" s="115"/>
      <c r="I195" s="115">
        <f>F195</f>
        <v>21</v>
      </c>
      <c r="J195" s="113"/>
      <c r="K195" s="114"/>
    </row>
    <row r="196" spans="1:11" ht="23.25" customHeight="1">
      <c r="A196" s="104" t="s">
        <v>85</v>
      </c>
      <c r="B196" s="112"/>
      <c r="C196" s="115"/>
      <c r="D196" s="115"/>
      <c r="E196" s="115"/>
      <c r="F196" s="115"/>
      <c r="G196" s="115"/>
      <c r="H196" s="115"/>
      <c r="I196" s="115"/>
      <c r="J196" s="115"/>
      <c r="K196" s="114"/>
    </row>
    <row r="197" spans="1:11" ht="45.75" customHeight="1">
      <c r="A197" s="85" t="s">
        <v>132</v>
      </c>
      <c r="B197" s="112"/>
      <c r="C197" s="116">
        <v>8</v>
      </c>
      <c r="D197" s="116"/>
      <c r="E197" s="116"/>
      <c r="F197" s="116">
        <f>C197</f>
        <v>8</v>
      </c>
      <c r="G197" s="116"/>
      <c r="H197" s="116"/>
      <c r="I197" s="116">
        <f>F197</f>
        <v>8</v>
      </c>
      <c r="J197" s="115"/>
      <c r="K197" s="114"/>
    </row>
    <row r="198" spans="1:11" ht="20.25">
      <c r="A198" s="84" t="s">
        <v>87</v>
      </c>
      <c r="B198" s="112"/>
      <c r="C198" s="115"/>
      <c r="D198" s="113"/>
      <c r="E198" s="113"/>
      <c r="F198" s="115"/>
      <c r="G198" s="113"/>
      <c r="H198" s="113"/>
      <c r="I198" s="115"/>
      <c r="J198" s="113"/>
      <c r="K198" s="114"/>
    </row>
    <row r="199" spans="1:11" ht="36.75" customHeight="1">
      <c r="A199" s="85" t="s">
        <v>133</v>
      </c>
      <c r="B199" s="112"/>
      <c r="C199" s="123">
        <v>107</v>
      </c>
      <c r="D199" s="113"/>
      <c r="E199" s="113"/>
      <c r="F199" s="116">
        <f>C199</f>
        <v>107</v>
      </c>
      <c r="G199" s="113"/>
      <c r="H199" s="113"/>
      <c r="I199" s="116">
        <f>F199</f>
        <v>107</v>
      </c>
      <c r="J199" s="113"/>
      <c r="K199" s="114"/>
    </row>
    <row r="200" spans="1:11" ht="31.5" customHeight="1">
      <c r="A200" s="85" t="s">
        <v>260</v>
      </c>
      <c r="B200" s="112"/>
      <c r="C200" s="123">
        <v>20</v>
      </c>
      <c r="D200" s="113"/>
      <c r="E200" s="113"/>
      <c r="F200" s="116">
        <f>C200</f>
        <v>20</v>
      </c>
      <c r="G200" s="113"/>
      <c r="H200" s="113"/>
      <c r="I200" s="116">
        <f>F200</f>
        <v>20</v>
      </c>
      <c r="J200" s="113"/>
      <c r="K200" s="114"/>
    </row>
    <row r="201" spans="1:11" ht="36.75" customHeight="1">
      <c r="A201" s="85" t="s">
        <v>141</v>
      </c>
      <c r="B201" s="112"/>
      <c r="C201" s="123">
        <v>15</v>
      </c>
      <c r="D201" s="113"/>
      <c r="E201" s="113"/>
      <c r="F201" s="116">
        <f>C201</f>
        <v>15</v>
      </c>
      <c r="G201" s="113"/>
      <c r="H201" s="113"/>
      <c r="I201" s="116">
        <f>F201</f>
        <v>15</v>
      </c>
      <c r="J201" s="113"/>
      <c r="K201" s="114"/>
    </row>
    <row r="202" spans="1:11" ht="29.25" customHeight="1">
      <c r="A202" s="85" t="s">
        <v>134</v>
      </c>
      <c r="B202" s="110"/>
      <c r="C202" s="123">
        <v>48</v>
      </c>
      <c r="D202" s="110"/>
      <c r="E202" s="110"/>
      <c r="F202" s="116">
        <f>C202</f>
        <v>48</v>
      </c>
      <c r="G202" s="110"/>
      <c r="H202" s="110"/>
      <c r="I202" s="116">
        <f>F202</f>
        <v>48</v>
      </c>
      <c r="J202" s="110"/>
      <c r="K202" s="110"/>
    </row>
    <row r="203" spans="1:11" ht="20.25">
      <c r="A203" s="86" t="s">
        <v>88</v>
      </c>
      <c r="B203" s="110"/>
      <c r="C203" s="110"/>
      <c r="D203" s="110"/>
      <c r="E203" s="110"/>
      <c r="F203" s="110"/>
      <c r="G203" s="110"/>
      <c r="H203" s="110"/>
      <c r="I203" s="110"/>
      <c r="J203" s="110"/>
      <c r="K203" s="110"/>
    </row>
    <row r="204" spans="1:11" ht="35.25" customHeight="1">
      <c r="A204" s="85" t="s">
        <v>139</v>
      </c>
      <c r="B204" s="110"/>
      <c r="C204" s="124">
        <f>C199/9</f>
        <v>11.88888888888889</v>
      </c>
      <c r="D204" s="110"/>
      <c r="E204" s="110"/>
      <c r="F204" s="124">
        <f>C204</f>
        <v>11.88888888888889</v>
      </c>
      <c r="G204" s="110"/>
      <c r="H204" s="110"/>
      <c r="I204" s="124">
        <f>F204</f>
        <v>11.88888888888889</v>
      </c>
      <c r="J204" s="110"/>
      <c r="K204" s="110"/>
    </row>
    <row r="205" spans="1:11" ht="40.5" customHeight="1">
      <c r="A205" s="85" t="s">
        <v>140</v>
      </c>
      <c r="B205" s="110"/>
      <c r="C205" s="125">
        <v>2.4</v>
      </c>
      <c r="D205" s="110"/>
      <c r="E205" s="110"/>
      <c r="F205" s="125">
        <f>C205</f>
        <v>2.4</v>
      </c>
      <c r="G205" s="111"/>
      <c r="H205" s="111"/>
      <c r="I205" s="125">
        <f>F205</f>
        <v>2.4</v>
      </c>
      <c r="J205" s="110"/>
      <c r="K205" s="110"/>
    </row>
    <row r="206" spans="1:11" ht="65.25" customHeight="1">
      <c r="A206" s="85" t="s">
        <v>142</v>
      </c>
      <c r="B206" s="110"/>
      <c r="C206" s="125">
        <v>2.8</v>
      </c>
      <c r="D206" s="110"/>
      <c r="E206" s="110"/>
      <c r="F206" s="125">
        <f>C206</f>
        <v>2.8</v>
      </c>
      <c r="G206" s="111"/>
      <c r="H206" s="111"/>
      <c r="I206" s="125">
        <f>F206</f>
        <v>2.8</v>
      </c>
      <c r="J206" s="110"/>
      <c r="K206" s="110"/>
    </row>
    <row r="207" spans="1:11" ht="30" customHeight="1">
      <c r="A207" s="85" t="s">
        <v>135</v>
      </c>
      <c r="B207" s="110"/>
      <c r="C207" s="124">
        <f>C202/9</f>
        <v>5.333333333333333</v>
      </c>
      <c r="D207" s="110"/>
      <c r="E207" s="110"/>
      <c r="F207" s="124">
        <f>C207</f>
        <v>5.333333333333333</v>
      </c>
      <c r="G207" s="110"/>
      <c r="H207" s="110"/>
      <c r="I207" s="124">
        <f>F207</f>
        <v>5.333333333333333</v>
      </c>
      <c r="J207" s="110"/>
      <c r="K207" s="110"/>
    </row>
    <row r="208" spans="1:11" ht="42" customHeight="1">
      <c r="A208" s="255" t="str">
        <f>'Додаток 2'!A83:K83</f>
        <v>Підпрограма 7. ІНШІ ПРОГРАМИ ТА ЗАХОДИ У СФЕРІ ОХОРОНИ ЗДОРОВ'Я</v>
      </c>
      <c r="B208" s="255"/>
      <c r="C208" s="255"/>
      <c r="D208" s="255"/>
      <c r="E208" s="255"/>
      <c r="F208" s="255"/>
      <c r="G208" s="255"/>
      <c r="H208" s="255"/>
      <c r="I208" s="255"/>
      <c r="J208" s="255"/>
      <c r="K208" s="255"/>
    </row>
    <row r="209" spans="1:11" ht="24" customHeight="1">
      <c r="A209" s="90" t="s">
        <v>92</v>
      </c>
      <c r="B209" s="211" t="s">
        <v>178</v>
      </c>
      <c r="C209" s="211"/>
      <c r="D209" s="211"/>
      <c r="E209" s="211"/>
      <c r="F209" s="211"/>
      <c r="G209" s="211"/>
      <c r="H209" s="211"/>
      <c r="I209" s="211"/>
      <c r="J209" s="211"/>
      <c r="K209" s="211"/>
    </row>
    <row r="210" spans="1:11" ht="24" customHeight="1">
      <c r="A210" s="93" t="s">
        <v>176</v>
      </c>
      <c r="B210" s="254" t="s">
        <v>143</v>
      </c>
      <c r="C210" s="254"/>
      <c r="D210" s="254"/>
      <c r="E210" s="254"/>
      <c r="F210" s="254"/>
      <c r="G210" s="254"/>
      <c r="H210" s="254"/>
      <c r="I210" s="254"/>
      <c r="J210" s="254"/>
      <c r="K210" s="254"/>
    </row>
    <row r="211" spans="1:12" ht="34.5" customHeight="1">
      <c r="A211" s="79" t="s">
        <v>83</v>
      </c>
      <c r="B211" s="133">
        <f>C211+F211+I211</f>
        <v>11115431.7492</v>
      </c>
      <c r="C211" s="134">
        <f>D211+E211</f>
        <v>5602320</v>
      </c>
      <c r="D211" s="133">
        <f>D212+D213+D214+D215</f>
        <v>2602319.9999999995</v>
      </c>
      <c r="E211" s="133">
        <f>E212+E213+E214+E215</f>
        <v>3000000</v>
      </c>
      <c r="F211" s="134">
        <f>G211+H211</f>
        <v>2682779.4399999995</v>
      </c>
      <c r="G211" s="133">
        <f>G212+G213</f>
        <v>2682779.4399999995</v>
      </c>
      <c r="H211" s="133">
        <f>H212+H213</f>
        <v>0</v>
      </c>
      <c r="I211" s="134">
        <f>J211+K211</f>
        <v>2830332.3091999996</v>
      </c>
      <c r="J211" s="133">
        <f>J212+J213</f>
        <v>2830332.3091999996</v>
      </c>
      <c r="K211" s="133">
        <f>K212+K213</f>
        <v>0</v>
      </c>
      <c r="L211" s="43">
        <f>B211-'Додаток 2'!G88*1000</f>
        <v>0</v>
      </c>
    </row>
    <row r="212" spans="1:11" ht="26.25" customHeight="1">
      <c r="A212" s="89" t="s">
        <v>60</v>
      </c>
      <c r="B212" s="111"/>
      <c r="C212" s="125">
        <f>D212+E212</f>
        <v>2314319.9999999995</v>
      </c>
      <c r="D212" s="111">
        <f>'Додаток 2'!H84*1000</f>
        <v>2314319.9999999995</v>
      </c>
      <c r="E212" s="111"/>
      <c r="F212" s="125">
        <f>G212+H212</f>
        <v>2469379.4399999995</v>
      </c>
      <c r="G212" s="111">
        <f>'Додаток 2'!I84*1000</f>
        <v>2469379.4399999995</v>
      </c>
      <c r="H212" s="111"/>
      <c r="I212" s="125">
        <f>J212+K212</f>
        <v>2605195.3091999996</v>
      </c>
      <c r="J212" s="111">
        <f>'Додаток 2'!J84*1000</f>
        <v>2605195.3091999996</v>
      </c>
      <c r="K212" s="111"/>
    </row>
    <row r="213" spans="1:11" ht="24" customHeight="1">
      <c r="A213" s="89" t="s">
        <v>148</v>
      </c>
      <c r="B213" s="111"/>
      <c r="C213" s="125">
        <f>D213+E213</f>
        <v>200000</v>
      </c>
      <c r="D213" s="111">
        <f>'Додаток 2'!H85*1000</f>
        <v>200000</v>
      </c>
      <c r="E213" s="111"/>
      <c r="F213" s="125">
        <f>G213+H213</f>
        <v>213399.99999999997</v>
      </c>
      <c r="G213" s="111">
        <f>'Додаток 2'!I85*1000</f>
        <v>213399.99999999997</v>
      </c>
      <c r="H213" s="111"/>
      <c r="I213" s="125">
        <f>J213+K213</f>
        <v>225136.99999999997</v>
      </c>
      <c r="J213" s="111">
        <f>'Додаток 2'!J85*1000</f>
        <v>225136.99999999997</v>
      </c>
      <c r="K213" s="111"/>
    </row>
    <row r="214" spans="1:11" ht="65.25" customHeight="1">
      <c r="A214" s="89" t="str">
        <f>'Додаток 2'!B86</f>
        <v>Виконання міської програми «Соціальна підтримка учасників антитерористичної операції та членів їх сімей» на 2017-2019 роки»</v>
      </c>
      <c r="B214" s="111"/>
      <c r="C214" s="125">
        <f>D214+E214</f>
        <v>88000</v>
      </c>
      <c r="D214" s="111">
        <f>'Додаток 2'!H86*1000</f>
        <v>88000</v>
      </c>
      <c r="E214" s="111"/>
      <c r="F214" s="125"/>
      <c r="G214" s="111"/>
      <c r="H214" s="111"/>
      <c r="I214" s="125"/>
      <c r="J214" s="111"/>
      <c r="K214" s="111"/>
    </row>
    <row r="215" spans="1:11" ht="120.75" customHeight="1">
      <c r="A215" s="89" t="str">
        <f>'Додаток 2'!B87</f>
        <v>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11"/>
      <c r="C215" s="125">
        <f>D215+E215</f>
        <v>3000000</v>
      </c>
      <c r="D215" s="111"/>
      <c r="E215" s="111">
        <f>'Додаток 2'!H87*1000</f>
        <v>3000000</v>
      </c>
      <c r="F215" s="125"/>
      <c r="G215" s="111"/>
      <c r="H215" s="111"/>
      <c r="I215" s="125"/>
      <c r="J215" s="111"/>
      <c r="K215" s="111"/>
    </row>
    <row r="216" spans="1:11" ht="26.25" customHeight="1">
      <c r="A216" s="104" t="s">
        <v>96</v>
      </c>
      <c r="B216" s="110"/>
      <c r="C216" s="124"/>
      <c r="D216" s="110"/>
      <c r="E216" s="110"/>
      <c r="F216" s="124"/>
      <c r="G216" s="110"/>
      <c r="H216" s="110"/>
      <c r="I216" s="124"/>
      <c r="J216" s="110"/>
      <c r="K216" s="110"/>
    </row>
    <row r="217" spans="1:11" ht="69.75" customHeight="1">
      <c r="A217" s="89" t="s">
        <v>179</v>
      </c>
      <c r="B217" s="110"/>
      <c r="C217" s="124">
        <f>(C212+C213+C214)/1000</f>
        <v>2602.3199999999997</v>
      </c>
      <c r="D217" s="110"/>
      <c r="E217" s="110"/>
      <c r="F217" s="124">
        <f>(F212+F213)/1000</f>
        <v>2682.7794399999993</v>
      </c>
      <c r="G217" s="110"/>
      <c r="H217" s="110"/>
      <c r="I217" s="124">
        <f>(I212+I213)/1000</f>
        <v>2830.3323091999996</v>
      </c>
      <c r="J217" s="110"/>
      <c r="K217" s="110"/>
    </row>
    <row r="218" spans="1:11" ht="45.75" customHeight="1">
      <c r="A218" s="89" t="s">
        <v>177</v>
      </c>
      <c r="B218" s="110"/>
      <c r="C218" s="124">
        <v>8356</v>
      </c>
      <c r="D218" s="110"/>
      <c r="E218" s="110"/>
      <c r="F218" s="124">
        <v>8488</v>
      </c>
      <c r="G218" s="110"/>
      <c r="H218" s="110"/>
      <c r="I218" s="124">
        <v>8603</v>
      </c>
      <c r="J218" s="110"/>
      <c r="K218" s="110"/>
    </row>
    <row r="219" spans="1:11" ht="45.75" customHeight="1">
      <c r="A219" s="89" t="s">
        <v>225</v>
      </c>
      <c r="B219" s="110"/>
      <c r="C219" s="124">
        <f>C215/1000</f>
        <v>3000</v>
      </c>
      <c r="D219" s="110"/>
      <c r="E219" s="110"/>
      <c r="F219" s="124"/>
      <c r="G219" s="110"/>
      <c r="H219" s="110"/>
      <c r="I219" s="124"/>
      <c r="J219" s="110"/>
      <c r="K219" s="110"/>
    </row>
    <row r="220" spans="1:11" ht="18" customHeight="1">
      <c r="A220" s="104" t="s">
        <v>85</v>
      </c>
      <c r="B220" s="110"/>
      <c r="C220" s="124"/>
      <c r="D220" s="110"/>
      <c r="E220" s="110"/>
      <c r="F220" s="124"/>
      <c r="G220" s="110"/>
      <c r="H220" s="110"/>
      <c r="I220" s="124"/>
      <c r="J220" s="110"/>
      <c r="K220" s="110"/>
    </row>
    <row r="221" spans="1:11" ht="51.75" customHeight="1">
      <c r="A221" s="85" t="s">
        <v>180</v>
      </c>
      <c r="B221" s="110"/>
      <c r="C221" s="124">
        <f>610+557</f>
        <v>1167</v>
      </c>
      <c r="D221" s="110"/>
      <c r="E221" s="110"/>
      <c r="F221" s="124">
        <f>C221</f>
        <v>1167</v>
      </c>
      <c r="G221" s="110"/>
      <c r="H221" s="110"/>
      <c r="I221" s="124">
        <f>F221</f>
        <v>1167</v>
      </c>
      <c r="J221" s="110"/>
      <c r="K221" s="110"/>
    </row>
    <row r="222" spans="1:11" ht="54.75" customHeight="1">
      <c r="A222" s="85" t="s">
        <v>224</v>
      </c>
      <c r="B222" s="110"/>
      <c r="C222" s="124">
        <v>150</v>
      </c>
      <c r="D222" s="110"/>
      <c r="E222" s="110"/>
      <c r="F222" s="124"/>
      <c r="G222" s="110"/>
      <c r="H222" s="110"/>
      <c r="I222" s="124"/>
      <c r="J222" s="110"/>
      <c r="K222" s="110"/>
    </row>
    <row r="223" spans="1:11" ht="19.5" customHeight="1">
      <c r="A223" s="84" t="s">
        <v>87</v>
      </c>
      <c r="B223" s="110"/>
      <c r="C223" s="124"/>
      <c r="D223" s="110"/>
      <c r="E223" s="110"/>
      <c r="F223" s="124"/>
      <c r="G223" s="110"/>
      <c r="H223" s="110"/>
      <c r="I223" s="124"/>
      <c r="J223" s="110"/>
      <c r="K223" s="110"/>
    </row>
    <row r="224" spans="1:11" ht="63" customHeight="1">
      <c r="A224" s="85" t="s">
        <v>181</v>
      </c>
      <c r="B224" s="110"/>
      <c r="C224" s="125">
        <f>C221/C218*100</f>
        <v>13.96601244614648</v>
      </c>
      <c r="D224" s="110"/>
      <c r="E224" s="110"/>
      <c r="F224" s="125">
        <f>F221/F218*100</f>
        <v>13.748821866163997</v>
      </c>
      <c r="G224" s="110"/>
      <c r="H224" s="110"/>
      <c r="I224" s="125">
        <f>I221/I218*100</f>
        <v>13.565035452749042</v>
      </c>
      <c r="J224" s="110"/>
      <c r="K224" s="110"/>
    </row>
    <row r="225" spans="1:11" ht="44.25" customHeight="1">
      <c r="A225" s="96" t="s">
        <v>226</v>
      </c>
      <c r="B225" s="110"/>
      <c r="C225" s="125">
        <f>C219/C222</f>
        <v>20</v>
      </c>
      <c r="D225" s="110"/>
      <c r="E225" s="110"/>
      <c r="F225" s="125"/>
      <c r="G225" s="110"/>
      <c r="H225" s="110"/>
      <c r="I225" s="125"/>
      <c r="J225" s="110"/>
      <c r="K225" s="110"/>
    </row>
    <row r="226" spans="1:11" ht="18" customHeight="1">
      <c r="A226" s="86" t="s">
        <v>88</v>
      </c>
      <c r="B226" s="110"/>
      <c r="C226" s="124"/>
      <c r="D226" s="110"/>
      <c r="E226" s="110"/>
      <c r="F226" s="124"/>
      <c r="G226" s="110"/>
      <c r="H226" s="110"/>
      <c r="I226" s="124"/>
      <c r="J226" s="110"/>
      <c r="K226" s="110"/>
    </row>
    <row r="227" spans="1:11" ht="86.25" customHeight="1">
      <c r="A227" s="85" t="s">
        <v>182</v>
      </c>
      <c r="B227" s="110"/>
      <c r="C227" s="124">
        <v>1</v>
      </c>
      <c r="D227" s="110"/>
      <c r="E227" s="110"/>
      <c r="F227" s="124">
        <v>1</v>
      </c>
      <c r="G227" s="110"/>
      <c r="H227" s="110"/>
      <c r="I227" s="124">
        <v>1</v>
      </c>
      <c r="J227" s="110"/>
      <c r="K227" s="110"/>
    </row>
    <row r="228" spans="1:11" ht="22.5" customHeight="1">
      <c r="A228" s="143" t="str">
        <f>'Додаток 2'!A91:K91</f>
        <v>Підпрограма 8.   ВИКОНАННЯ ІНВЕСТИЦІЙНИХ ПРОЕКТІВ В РАМКАХ ЗДІЙСНЕННЯ ЗАХОДІВ ЩОДО СОЦІАЛЬНО-ЕКОНОМІЧНОГО РОЗВИТКУ </v>
      </c>
      <c r="B228" s="144"/>
      <c r="C228" s="144"/>
      <c r="D228" s="144"/>
      <c r="E228" s="144"/>
      <c r="F228" s="144"/>
      <c r="G228" s="144"/>
      <c r="H228" s="144"/>
      <c r="I228" s="144"/>
      <c r="J228" s="144"/>
      <c r="K228" s="145"/>
    </row>
    <row r="229" spans="1:11" ht="22.5" customHeight="1">
      <c r="A229" s="90" t="s">
        <v>92</v>
      </c>
      <c r="B229" s="265" t="s">
        <v>215</v>
      </c>
      <c r="C229" s="265"/>
      <c r="D229" s="265"/>
      <c r="E229" s="265"/>
      <c r="F229" s="265"/>
      <c r="G229" s="265"/>
      <c r="H229" s="265"/>
      <c r="I229" s="265"/>
      <c r="J229" s="265"/>
      <c r="K229" s="265"/>
    </row>
    <row r="230" spans="1:11" ht="22.5" customHeight="1">
      <c r="A230" s="93" t="s">
        <v>227</v>
      </c>
      <c r="B230" s="68" t="s">
        <v>228</v>
      </c>
      <c r="C230" s="110"/>
      <c r="D230" s="110"/>
      <c r="E230" s="110"/>
      <c r="F230" s="110"/>
      <c r="G230" s="110"/>
      <c r="H230" s="110"/>
      <c r="I230" s="110"/>
      <c r="J230" s="110"/>
      <c r="K230" s="110"/>
    </row>
    <row r="231" spans="1:11" ht="22.5" customHeight="1">
      <c r="A231" s="135" t="s">
        <v>83</v>
      </c>
      <c r="B231" s="133">
        <f>C231+F231+I231</f>
        <v>3319135</v>
      </c>
      <c r="C231" s="134">
        <f>D231+E231</f>
        <v>3319135</v>
      </c>
      <c r="D231" s="133">
        <f>D232</f>
        <v>0</v>
      </c>
      <c r="E231" s="133">
        <f>E232</f>
        <v>3319135</v>
      </c>
      <c r="F231" s="136"/>
      <c r="G231" s="136"/>
      <c r="H231" s="136"/>
      <c r="I231" s="136"/>
      <c r="J231" s="136"/>
      <c r="K231" s="136"/>
    </row>
    <row r="232" spans="1:11" ht="37.5" customHeight="1">
      <c r="A232" s="122" t="s">
        <v>216</v>
      </c>
      <c r="B232" s="68"/>
      <c r="C232" s="110"/>
      <c r="D232" s="110"/>
      <c r="E232" s="110">
        <f>'Додаток 2'!H94*1000</f>
        <v>3319135</v>
      </c>
      <c r="F232" s="110"/>
      <c r="G232" s="110"/>
      <c r="H232" s="110"/>
      <c r="I232" s="110"/>
      <c r="J232" s="110"/>
      <c r="K232" s="110"/>
    </row>
    <row r="233" spans="1:11" ht="18" customHeight="1">
      <c r="A233" s="104" t="s">
        <v>96</v>
      </c>
      <c r="B233" s="68"/>
      <c r="C233" s="110"/>
      <c r="D233" s="110"/>
      <c r="E233" s="110"/>
      <c r="F233" s="110"/>
      <c r="G233" s="110"/>
      <c r="H233" s="110"/>
      <c r="I233" s="110"/>
      <c r="J233" s="110"/>
      <c r="K233" s="110"/>
    </row>
    <row r="234" spans="1:11" ht="37.5" customHeight="1">
      <c r="A234" s="85" t="s">
        <v>229</v>
      </c>
      <c r="B234" s="68"/>
      <c r="C234" s="110"/>
      <c r="D234" s="110"/>
      <c r="E234" s="110">
        <f>E232</f>
        <v>3319135</v>
      </c>
      <c r="F234" s="110"/>
      <c r="G234" s="110"/>
      <c r="H234" s="110"/>
      <c r="I234" s="110"/>
      <c r="J234" s="110"/>
      <c r="K234" s="110"/>
    </row>
    <row r="235" spans="1:11" ht="23.25" customHeight="1">
      <c r="A235" s="104" t="s">
        <v>85</v>
      </c>
      <c r="B235" s="68"/>
      <c r="C235" s="110"/>
      <c r="D235" s="110"/>
      <c r="E235" s="110"/>
      <c r="F235" s="110"/>
      <c r="G235" s="110"/>
      <c r="H235" s="110"/>
      <c r="I235" s="110"/>
      <c r="J235" s="110"/>
      <c r="K235" s="110"/>
    </row>
    <row r="236" spans="1:11" ht="44.25" customHeight="1">
      <c r="A236" s="85" t="s">
        <v>230</v>
      </c>
      <c r="B236" s="68"/>
      <c r="C236" s="110"/>
      <c r="D236" s="110"/>
      <c r="E236" s="110">
        <v>9</v>
      </c>
      <c r="F236" s="110"/>
      <c r="G236" s="110"/>
      <c r="H236" s="110"/>
      <c r="I236" s="110"/>
      <c r="J236" s="110"/>
      <c r="K236" s="110"/>
    </row>
    <row r="237" spans="1:11" ht="51" customHeight="1">
      <c r="A237" s="85" t="s">
        <v>231</v>
      </c>
      <c r="B237" s="68"/>
      <c r="C237" s="110"/>
      <c r="D237" s="110"/>
      <c r="E237" s="110">
        <v>9</v>
      </c>
      <c r="F237" s="110"/>
      <c r="G237" s="110"/>
      <c r="H237" s="110"/>
      <c r="I237" s="110"/>
      <c r="J237" s="110"/>
      <c r="K237" s="110"/>
    </row>
    <row r="238" spans="1:11" ht="29.25" customHeight="1">
      <c r="A238" s="84" t="s">
        <v>87</v>
      </c>
      <c r="B238" s="68"/>
      <c r="C238" s="110"/>
      <c r="D238" s="110"/>
      <c r="E238" s="110"/>
      <c r="F238" s="110"/>
      <c r="G238" s="110"/>
      <c r="H238" s="110"/>
      <c r="I238" s="110"/>
      <c r="J238" s="110"/>
      <c r="K238" s="110"/>
    </row>
    <row r="239" spans="1:11" ht="42.75" customHeight="1">
      <c r="A239" s="96" t="s">
        <v>232</v>
      </c>
      <c r="B239" s="68"/>
      <c r="C239" s="110"/>
      <c r="D239" s="110"/>
      <c r="E239" s="126">
        <f>E234/E236</f>
        <v>368792.77777777775</v>
      </c>
      <c r="F239" s="110"/>
      <c r="G239" s="110"/>
      <c r="H239" s="110"/>
      <c r="I239" s="110"/>
      <c r="J239" s="110"/>
      <c r="K239" s="110"/>
    </row>
    <row r="240" spans="1:11" ht="24.75" customHeight="1">
      <c r="A240" s="86" t="s">
        <v>88</v>
      </c>
      <c r="B240" s="68"/>
      <c r="C240" s="110"/>
      <c r="D240" s="110"/>
      <c r="E240" s="110"/>
      <c r="F240" s="110"/>
      <c r="G240" s="110"/>
      <c r="H240" s="110"/>
      <c r="I240" s="110"/>
      <c r="J240" s="110"/>
      <c r="K240" s="110"/>
    </row>
    <row r="241" spans="1:11" ht="72.75" customHeight="1">
      <c r="A241" s="97" t="s">
        <v>187</v>
      </c>
      <c r="B241" s="68"/>
      <c r="C241" s="110"/>
      <c r="D241" s="110"/>
      <c r="E241" s="110">
        <f>E236/E237*100</f>
        <v>100</v>
      </c>
      <c r="F241" s="110"/>
      <c r="G241" s="110"/>
      <c r="H241" s="110"/>
      <c r="I241" s="110"/>
      <c r="J241" s="110"/>
      <c r="K241" s="110"/>
    </row>
    <row r="242" spans="1:11" ht="22.5" customHeight="1">
      <c r="A242" s="104"/>
      <c r="B242" s="110"/>
      <c r="C242" s="110"/>
      <c r="D242" s="110"/>
      <c r="E242" s="110"/>
      <c r="F242" s="110"/>
      <c r="G242" s="110"/>
      <c r="H242" s="110"/>
      <c r="I242" s="110"/>
      <c r="J242" s="110"/>
      <c r="K242" s="110"/>
    </row>
    <row r="243" spans="1:11" ht="62.25" customHeight="1">
      <c r="A243" s="260" t="str">
        <f>'Додаток 2'!A97:K97</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v>
      </c>
      <c r="B243" s="261"/>
      <c r="C243" s="261"/>
      <c r="D243" s="261"/>
      <c r="E243" s="261"/>
      <c r="F243" s="261"/>
      <c r="G243" s="261"/>
      <c r="H243" s="261"/>
      <c r="I243" s="261"/>
      <c r="J243" s="261"/>
      <c r="K243" s="262"/>
    </row>
    <row r="244" spans="1:11" ht="22.5" customHeight="1">
      <c r="A244" s="90" t="s">
        <v>92</v>
      </c>
      <c r="B244" s="265" t="s">
        <v>219</v>
      </c>
      <c r="C244" s="265"/>
      <c r="D244" s="265"/>
      <c r="E244" s="265"/>
      <c r="F244" s="265"/>
      <c r="G244" s="265"/>
      <c r="H244" s="265"/>
      <c r="I244" s="265"/>
      <c r="J244" s="265"/>
      <c r="K244" s="265"/>
    </row>
    <row r="245" spans="1:11" ht="22.5" customHeight="1">
      <c r="A245" s="93" t="s">
        <v>234</v>
      </c>
      <c r="B245" s="270" t="s">
        <v>235</v>
      </c>
      <c r="C245" s="271"/>
      <c r="D245" s="271"/>
      <c r="E245" s="271"/>
      <c r="F245" s="271"/>
      <c r="G245" s="271"/>
      <c r="H245" s="271"/>
      <c r="I245" s="271"/>
      <c r="J245" s="271"/>
      <c r="K245" s="272"/>
    </row>
    <row r="246" spans="1:11" ht="22.5" customHeight="1">
      <c r="A246" s="137" t="s">
        <v>83</v>
      </c>
      <c r="B246" s="138">
        <f>C246+F246+I246</f>
        <v>12610000</v>
      </c>
      <c r="C246" s="139">
        <f>D246+E246</f>
        <v>12610000</v>
      </c>
      <c r="D246" s="138">
        <f>D247</f>
        <v>0</v>
      </c>
      <c r="E246" s="138">
        <f>E247</f>
        <v>12610000</v>
      </c>
      <c r="F246" s="136"/>
      <c r="G246" s="136"/>
      <c r="H246" s="136"/>
      <c r="I246" s="136"/>
      <c r="J246" s="136"/>
      <c r="K246" s="136"/>
    </row>
    <row r="247" spans="1:11" ht="50.25" customHeight="1">
      <c r="A247" s="85" t="s">
        <v>274</v>
      </c>
      <c r="B247" s="68"/>
      <c r="C247" s="110"/>
      <c r="D247" s="110"/>
      <c r="E247" s="110">
        <f>'Додаток 2'!H100*1000</f>
        <v>12610000</v>
      </c>
      <c r="F247" s="110"/>
      <c r="G247" s="110"/>
      <c r="H247" s="110"/>
      <c r="I247" s="110"/>
      <c r="J247" s="110"/>
      <c r="K247" s="110"/>
    </row>
    <row r="248" spans="1:11" ht="105" customHeight="1">
      <c r="A248" s="173" t="s">
        <v>236</v>
      </c>
      <c r="B248" s="69"/>
      <c r="C248" s="110"/>
      <c r="D248" s="110"/>
      <c r="E248" s="111">
        <f>E246</f>
        <v>12610000</v>
      </c>
      <c r="F248" s="110"/>
      <c r="G248" s="110"/>
      <c r="H248" s="110"/>
      <c r="I248" s="110"/>
      <c r="J248" s="110"/>
      <c r="K248" s="110"/>
    </row>
    <row r="249" spans="1:11" ht="54.75" customHeight="1">
      <c r="A249" s="260" t="str">
        <f>'Додаток 2'!A103:K103</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v>
      </c>
      <c r="B249" s="261"/>
      <c r="C249" s="261"/>
      <c r="D249" s="261"/>
      <c r="E249" s="261"/>
      <c r="F249" s="261"/>
      <c r="G249" s="261"/>
      <c r="H249" s="261"/>
      <c r="I249" s="261"/>
      <c r="J249" s="261"/>
      <c r="K249" s="262"/>
    </row>
    <row r="250" spans="1:11" ht="18.75" customHeight="1">
      <c r="A250" s="90" t="s">
        <v>92</v>
      </c>
      <c r="B250" s="265" t="s">
        <v>219</v>
      </c>
      <c r="C250" s="265"/>
      <c r="D250" s="265"/>
      <c r="E250" s="265"/>
      <c r="F250" s="265"/>
      <c r="G250" s="265"/>
      <c r="H250" s="265"/>
      <c r="I250" s="265"/>
      <c r="J250" s="265"/>
      <c r="K250" s="265"/>
    </row>
    <row r="251" spans="1:11" ht="27.75" customHeight="1">
      <c r="A251" s="93" t="s">
        <v>237</v>
      </c>
      <c r="B251" s="270" t="s">
        <v>238</v>
      </c>
      <c r="C251" s="271"/>
      <c r="D251" s="271"/>
      <c r="E251" s="271"/>
      <c r="F251" s="271"/>
      <c r="G251" s="271"/>
      <c r="H251" s="271"/>
      <c r="I251" s="271"/>
      <c r="J251" s="271"/>
      <c r="K251" s="272"/>
    </row>
    <row r="252" spans="1:11" ht="27.75" customHeight="1">
      <c r="A252" s="137" t="s">
        <v>83</v>
      </c>
      <c r="B252" s="138">
        <f>C252+F252+I252</f>
        <v>9392653.58</v>
      </c>
      <c r="C252" s="139">
        <f>D252+E252</f>
        <v>9392653.58</v>
      </c>
      <c r="D252" s="138">
        <f>D253</f>
        <v>0</v>
      </c>
      <c r="E252" s="138">
        <f>E253</f>
        <v>9392653.58</v>
      </c>
      <c r="F252" s="136"/>
      <c r="G252" s="136"/>
      <c r="H252" s="136"/>
      <c r="I252" s="136"/>
      <c r="J252" s="136"/>
      <c r="K252" s="136"/>
    </row>
    <row r="253" spans="1:11" ht="35.25" customHeight="1">
      <c r="A253" s="85" t="s">
        <v>275</v>
      </c>
      <c r="B253" s="68"/>
      <c r="C253" s="110"/>
      <c r="D253" s="110"/>
      <c r="E253" s="126">
        <f>'Додаток 2'!H106*1000</f>
        <v>9392653.58</v>
      </c>
      <c r="F253" s="110"/>
      <c r="G253" s="110"/>
      <c r="H253" s="110"/>
      <c r="I253" s="110"/>
      <c r="J253" s="110"/>
      <c r="K253" s="110"/>
    </row>
    <row r="254" spans="1:11" ht="108.75" customHeight="1">
      <c r="A254" s="98" t="s">
        <v>236</v>
      </c>
      <c r="B254" s="69"/>
      <c r="C254" s="110"/>
      <c r="D254" s="110"/>
      <c r="E254" s="111">
        <f>E252</f>
        <v>9392653.58</v>
      </c>
      <c r="F254" s="110"/>
      <c r="G254" s="110"/>
      <c r="H254" s="110"/>
      <c r="I254" s="110"/>
      <c r="J254" s="110"/>
      <c r="K254" s="110"/>
    </row>
    <row r="255" spans="1:11" ht="27.75" customHeight="1">
      <c r="A255" s="140" t="str">
        <f>'Додаток 2'!A107:K107</f>
        <v>Підпрограма 11.  Будівництво та реконструкція медичних установ та закладів</v>
      </c>
      <c r="B255" s="141"/>
      <c r="C255" s="141"/>
      <c r="D255" s="141"/>
      <c r="E255" s="141"/>
      <c r="F255" s="141"/>
      <c r="G255" s="141"/>
      <c r="H255" s="141"/>
      <c r="I255" s="141"/>
      <c r="J255" s="141"/>
      <c r="K255" s="142"/>
    </row>
    <row r="256" spans="1:11" ht="23.25" customHeight="1">
      <c r="A256" s="90" t="s">
        <v>92</v>
      </c>
      <c r="B256" s="265" t="s">
        <v>222</v>
      </c>
      <c r="C256" s="265"/>
      <c r="D256" s="265"/>
      <c r="E256" s="265"/>
      <c r="F256" s="265"/>
      <c r="G256" s="265"/>
      <c r="H256" s="265"/>
      <c r="I256" s="265"/>
      <c r="J256" s="265"/>
      <c r="K256" s="265"/>
    </row>
    <row r="257" spans="1:11" ht="27.75" customHeight="1">
      <c r="A257" s="70" t="s">
        <v>244</v>
      </c>
      <c r="B257" s="71"/>
      <c r="C257" s="71"/>
      <c r="D257" s="71"/>
      <c r="E257" s="71"/>
      <c r="F257" s="71"/>
      <c r="G257" s="71"/>
      <c r="H257" s="71"/>
      <c r="I257" s="71"/>
      <c r="J257" s="71"/>
      <c r="K257" s="69"/>
    </row>
    <row r="258" spans="1:11" ht="27.75" customHeight="1">
      <c r="A258" s="137" t="s">
        <v>83</v>
      </c>
      <c r="B258" s="138">
        <f>C258+F258+I258</f>
        <v>7500000</v>
      </c>
      <c r="C258" s="139">
        <f>D258+E258</f>
        <v>7500000</v>
      </c>
      <c r="D258" s="138">
        <f>D259</f>
        <v>0</v>
      </c>
      <c r="E258" s="138">
        <f>E259</f>
        <v>7500000</v>
      </c>
      <c r="F258" s="136"/>
      <c r="G258" s="136"/>
      <c r="H258" s="136"/>
      <c r="I258" s="136"/>
      <c r="J258" s="136"/>
      <c r="K258" s="136"/>
    </row>
    <row r="259" spans="1:11" ht="41.25" customHeight="1">
      <c r="A259" s="85" t="s">
        <v>222</v>
      </c>
      <c r="B259" s="68"/>
      <c r="C259" s="110"/>
      <c r="D259" s="110"/>
      <c r="E259" s="126">
        <f>'Додаток 2'!H110*1000</f>
        <v>7500000</v>
      </c>
      <c r="F259" s="110"/>
      <c r="G259" s="110"/>
      <c r="H259" s="110"/>
      <c r="I259" s="110"/>
      <c r="J259" s="110"/>
      <c r="K259" s="110"/>
    </row>
    <row r="260" spans="1:11" ht="20.25" customHeight="1">
      <c r="A260" s="273"/>
      <c r="B260" s="72"/>
      <c r="C260" s="74"/>
      <c r="D260" s="74"/>
      <c r="E260" s="274"/>
      <c r="F260" s="74"/>
      <c r="G260" s="74"/>
      <c r="H260" s="74"/>
      <c r="I260" s="74"/>
      <c r="J260" s="74"/>
      <c r="K260" s="74"/>
    </row>
    <row r="261" spans="1:11" ht="20.25" customHeight="1">
      <c r="A261" s="273"/>
      <c r="B261" s="72"/>
      <c r="C261" s="74"/>
      <c r="D261" s="74"/>
      <c r="E261" s="274"/>
      <c r="F261" s="74"/>
      <c r="G261" s="74"/>
      <c r="H261" s="74"/>
      <c r="I261" s="74"/>
      <c r="J261" s="74"/>
      <c r="K261" s="74"/>
    </row>
    <row r="262" spans="1:11" ht="20.25" customHeight="1">
      <c r="A262" s="273"/>
      <c r="B262" s="72"/>
      <c r="C262" s="74"/>
      <c r="D262" s="74"/>
      <c r="E262" s="274"/>
      <c r="F262" s="74"/>
      <c r="G262" s="74"/>
      <c r="H262" s="74"/>
      <c r="I262" s="74"/>
      <c r="J262" s="74"/>
      <c r="K262" s="74"/>
    </row>
    <row r="263" spans="1:11" ht="20.25" customHeight="1">
      <c r="A263" s="72"/>
      <c r="B263" s="72"/>
      <c r="C263" s="72"/>
      <c r="D263" s="72"/>
      <c r="E263" s="72"/>
      <c r="F263" s="72"/>
      <c r="G263" s="72"/>
      <c r="H263" s="72"/>
      <c r="I263" s="72"/>
      <c r="J263" s="72"/>
      <c r="K263" s="72"/>
    </row>
    <row r="264" spans="1:16" s="11" customFormat="1" ht="20.25" customHeight="1">
      <c r="A264" s="1" t="s">
        <v>288</v>
      </c>
      <c r="B264" s="61"/>
      <c r="C264" s="2"/>
      <c r="D264" s="13"/>
      <c r="F264" s="16"/>
      <c r="G264" s="16"/>
      <c r="H264" s="16"/>
      <c r="I264" s="15" t="s">
        <v>289</v>
      </c>
      <c r="J264" s="16"/>
      <c r="K264" s="18"/>
      <c r="M264" s="41"/>
      <c r="N264" s="41"/>
      <c r="O264" s="41"/>
      <c r="P264" s="41"/>
    </row>
    <row r="265" spans="1:15" ht="20.25" customHeight="1">
      <c r="A265" s="57" t="s">
        <v>12</v>
      </c>
      <c r="C265" s="56"/>
      <c r="D265" s="52"/>
      <c r="F265" s="53"/>
      <c r="G265" s="53"/>
      <c r="H265" s="53"/>
      <c r="I265" s="53"/>
      <c r="J265" s="53"/>
      <c r="K265" s="55"/>
      <c r="O265" s="43"/>
    </row>
    <row r="266" spans="1:11" ht="20.25" customHeight="1">
      <c r="A266" s="11" t="s">
        <v>233</v>
      </c>
      <c r="D266" s="52"/>
      <c r="F266" s="53"/>
      <c r="G266" s="53"/>
      <c r="H266" s="53"/>
      <c r="I266" s="53"/>
      <c r="J266" s="53"/>
      <c r="K266" s="55"/>
    </row>
    <row r="267" ht="20.25" customHeight="1"/>
    <row r="268" ht="20.25" customHeight="1"/>
    <row r="269" ht="20.25" customHeight="1"/>
    <row r="270" ht="20.25" customHeight="1"/>
    <row r="271" ht="20.25" customHeight="1"/>
    <row r="272" ht="20.25" customHeight="1"/>
  </sheetData>
  <sheetProtection/>
  <mergeCells count="48">
    <mergeCell ref="B256:K256"/>
    <mergeCell ref="B229:K229"/>
    <mergeCell ref="B244:K244"/>
    <mergeCell ref="B245:K245"/>
    <mergeCell ref="B250:K250"/>
    <mergeCell ref="B251:K251"/>
    <mergeCell ref="A243:K243"/>
    <mergeCell ref="A249:K249"/>
    <mergeCell ref="A208:K208"/>
    <mergeCell ref="B209:K209"/>
    <mergeCell ref="B210:K210"/>
    <mergeCell ref="B188:K188"/>
    <mergeCell ref="B133:K133"/>
    <mergeCell ref="H1:J1"/>
    <mergeCell ref="H2:K2"/>
    <mergeCell ref="H3:K3"/>
    <mergeCell ref="A5:K5"/>
    <mergeCell ref="A7:A10"/>
    <mergeCell ref="A14:K14"/>
    <mergeCell ref="B60:K60"/>
    <mergeCell ref="F7:H8"/>
    <mergeCell ref="I7:K8"/>
    <mergeCell ref="C9:C10"/>
    <mergeCell ref="D9:E9"/>
    <mergeCell ref="F9:F10"/>
    <mergeCell ref="G9:H9"/>
    <mergeCell ref="I9:I10"/>
    <mergeCell ref="J9:K9"/>
    <mergeCell ref="A163:K163"/>
    <mergeCell ref="B164:K164"/>
    <mergeCell ref="A187:K187"/>
    <mergeCell ref="A95:K95"/>
    <mergeCell ref="B7:B10"/>
    <mergeCell ref="C7:E8"/>
    <mergeCell ref="B96:K96"/>
    <mergeCell ref="A13:K13"/>
    <mergeCell ref="B15:K15"/>
    <mergeCell ref="A59:K59"/>
    <mergeCell ref="B17:K17"/>
    <mergeCell ref="B39:K39"/>
    <mergeCell ref="B177:K177"/>
    <mergeCell ref="B189:K189"/>
    <mergeCell ref="B167:K167"/>
    <mergeCell ref="B18:K18"/>
    <mergeCell ref="B61:K61"/>
    <mergeCell ref="B97:K97"/>
    <mergeCell ref="B134:K134"/>
    <mergeCell ref="A132:K132"/>
  </mergeCells>
  <printOptions/>
  <pageMargins left="0.7086614173228347" right="0.7086614173228347" top="1.141732283464567" bottom="0.35433070866141736" header="0.31496062992125984" footer="0.31496062992125984"/>
  <pageSetup fitToHeight="13" horizontalDpi="600" verticalDpi="600" orientation="landscape" paperSize="9" scale="49" r:id="rId1"/>
  <rowBreaks count="1" manualBreakCount="1">
    <brk id="3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2019-04-26T08:01:48Z</cp:lastPrinted>
  <dcterms:created xsi:type="dcterms:W3CDTF">1996-10-08T23:32:33Z</dcterms:created>
  <dcterms:modified xsi:type="dcterms:W3CDTF">2019-04-26T08:40:23Z</dcterms:modified>
  <cp:category/>
  <cp:version/>
  <cp:contentType/>
  <cp:contentStatus/>
</cp:coreProperties>
</file>