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489" activeTab="0"/>
  </bookViews>
  <sheets>
    <sheet name="дод 4" sheetId="1" r:id="rId1"/>
  </sheets>
  <definedNames>
    <definedName name="_xlfn.AGGREGATE" hidden="1">#NAME?</definedName>
    <definedName name="_xlnm.Print_Titles" localSheetId="0">'дод 4'!$9:$10</definedName>
    <definedName name="_xlnm.Print_Area" localSheetId="0">'дод 4'!$A$1:$J$223</definedName>
  </definedNames>
  <calcPr fullCalcOnLoad="1"/>
</workbook>
</file>

<file path=xl/sharedStrings.xml><?xml version="1.0" encoding="utf-8"?>
<sst xmlns="http://schemas.openxmlformats.org/spreadsheetml/2006/main" count="1023" uniqueCount="502">
  <si>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</si>
  <si>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</si>
  <si>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</si>
  <si>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</si>
  <si>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</si>
  <si>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</si>
  <si>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</si>
  <si>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</si>
  <si>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</si>
  <si>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</si>
  <si>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</si>
  <si>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</si>
  <si>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</si>
  <si>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</si>
  <si>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</si>
  <si>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</si>
  <si>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</si>
  <si>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</si>
  <si>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</si>
  <si>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</si>
  <si>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</si>
  <si>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</si>
  <si>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</si>
  <si>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</si>
  <si>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</si>
  <si>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</si>
  <si>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</si>
  <si>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</si>
  <si>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</si>
  <si>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</si>
  <si>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</si>
  <si>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</si>
  <si>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</si>
  <si>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</si>
  <si>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</si>
  <si>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</si>
  <si>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</si>
  <si>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</si>
  <si>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</si>
  <si>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</si>
  <si>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</si>
  <si>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</si>
  <si>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</si>
  <si>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</si>
  <si>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</si>
  <si>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</si>
  <si>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</si>
  <si>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</si>
  <si>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</si>
  <si>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</si>
  <si>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</si>
  <si>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</si>
  <si>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</si>
  <si>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</si>
  <si>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</si>
  <si>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</si>
  <si>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</si>
  <si>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</si>
  <si>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</si>
  <si>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</si>
  <si>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</si>
  <si>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</si>
  <si>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</si>
  <si>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</si>
  <si>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</si>
  <si>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</si>
  <si>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</si>
  <si>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</si>
  <si>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</si>
  <si>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</si>
  <si>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</si>
  <si>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</si>
  <si>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</si>
  <si>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</si>
  <si>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</si>
  <si>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</si>
  <si>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</si>
  <si>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</si>
  <si>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</si>
  <si>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</si>
  <si>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</si>
  <si>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</si>
  <si>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</si>
  <si>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</si>
  <si>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</si>
  <si>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</si>
  <si>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</si>
  <si>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</si>
  <si>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</si>
  <si>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</si>
  <si>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</si>
  <si>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</si>
  <si>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</si>
  <si>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</si>
  <si>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</si>
  <si>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</si>
  <si>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</si>
  <si>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</si>
  <si>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</si>
  <si>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</si>
  <si>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</si>
  <si>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</si>
  <si>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</si>
  <si>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</si>
  <si>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</si>
  <si>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</si>
  <si>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</si>
  <si>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</si>
  <si>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</si>
  <si>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</si>
  <si>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</si>
  <si>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</si>
  <si>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</si>
  <si>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</si>
  <si>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</si>
  <si>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</si>
  <si>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</si>
  <si>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</si>
  <si>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</si>
  <si>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</si>
  <si>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</si>
  <si>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</si>
  <si>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</si>
  <si>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</si>
  <si>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</si>
  <si>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</si>
  <si>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</si>
  <si>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</si>
  <si>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</si>
  <si>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</si>
  <si>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</si>
  <si>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</si>
  <si>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</si>
  <si>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</si>
  <si>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</si>
  <si>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</si>
  <si>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</si>
  <si>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</si>
  <si>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</si>
  <si>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</si>
  <si>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</si>
  <si>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</si>
  <si>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</si>
  <si>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</si>
  <si>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</si>
  <si>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</si>
  <si>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</si>
  <si>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</si>
  <si>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</si>
  <si>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</si>
  <si>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</si>
  <si>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</si>
  <si>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</si>
  <si>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</si>
  <si>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</si>
  <si>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</si>
  <si>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</si>
  <si>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</si>
  <si>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</si>
  <si>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</si>
  <si>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</si>
  <si>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</si>
  <si>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</si>
  <si>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</si>
  <si>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</si>
  <si>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</si>
  <si>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</si>
  <si>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</si>
  <si>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</si>
  <si>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</si>
  <si>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</si>
  <si>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</si>
  <si>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</si>
  <si>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</si>
  <si>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</si>
  <si>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</si>
  <si>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</si>
  <si>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</si>
  <si>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</si>
  <si>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</si>
  <si>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</si>
  <si>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</si>
  <si>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</si>
  <si>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 Служба у справах дітей Сумської міської ради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</si>
  <si>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</si>
  <si>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</si>
  <si>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</si>
  <si>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</si>
  <si>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</si>
  <si>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</si>
  <si>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</si>
  <si>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</si>
  <si>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</si>
  <si>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</si>
  <si>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</si>
  <si>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</si>
  <si>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</si>
  <si>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</si>
  <si>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</si>
  <si>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</si>
  <si>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</si>
  <si>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</si>
  <si>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</si>
  <si>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</si>
  <si>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</si>
  <si>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</si>
  <si>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</si>
  <si>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</si>
  <si>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</si>
  <si>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</si>
  <si>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</si>
  <si>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</si>
  <si>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</si>
  <si>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</si>
  <si>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</si>
  <si>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</si>
  <si>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</si>
  <si>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</si>
  <si>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</si>
  <si>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</si>
  <si>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</si>
  <si>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</si>
  <si>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</si>
  <si>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</si>
  <si>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</si>
  <si>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</si>
  <si>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</si>
  <si>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</si>
  <si>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</si>
  <si>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</si>
  <si>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</si>
  <si>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</si>
  <si>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</si>
  <si>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</si>
  <si>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</si>
  <si>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</si>
  <si>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</si>
  <si>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</si>
  <si>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</si>
  <si>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</si>
  <si>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</si>
  <si>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</si>
  <si>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</si>
  <si>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</si>
  <si>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</si>
  <si>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</si>
  <si>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</si>
  <si>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</si>
  <si>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</si>
  <si>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</si>
  <si>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</si>
  <si>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</si>
  <si>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</si>
  <si>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</si>
  <si>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</si>
  <si>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</si>
  <si>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</si>
  <si>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</si>
  <si>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</si>
  <si>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</si>
  <si>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</si>
  <si>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</si>
  <si>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</si>
  <si>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</si>
  <si>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</si>
  <si>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</si>
  <si>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</si>
  <si>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</si>
  <si>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</si>
  <si>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</si>
  <si>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</si>
  <si>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</si>
  <si>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</si>
  <si>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</si>
  <si>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</si>
  <si>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</si>
  <si>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</si>
  <si>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</si>
  <si>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</si>
  <si>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</si>
  <si>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</si>
  <si>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</si>
  <si>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</si>
  <si>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</si>
  <si>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</si>
  <si>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</si>
  <si>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</si>
  <si>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</si>
  <si>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</si>
  <si>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</si>
  <si>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</si>
  <si>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</si>
  <si>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</si>
  <si>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</si>
  <si>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</si>
  <si>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</si>
  <si>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</si>
  <si>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</si>
  <si>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</si>
  <si>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</si>
  <si>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</si>
  <si>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</si>
  <si>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</si>
  <si>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</si>
  <si>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</si>
  <si>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</si>
  <si>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</si>
  <si>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</si>
  <si>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</si>
  <si>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</si>
  <si>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</si>
  <si>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</si>
  <si>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</si>
  <si>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</si>
  <si>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</si>
  <si>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</si>
  <si>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</si>
  <si>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</si>
  <si>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</si>
  <si>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</si>
  <si>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</si>
  <si>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</si>
  <si>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</si>
  <si>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</si>
  <si>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</si>
  <si>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</si>
  <si>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</si>
  <si>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</si>
  <si>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</si>
  <si>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</si>
  <si>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</si>
  <si>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</si>
  <si>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</si>
  <si>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</si>
  <si>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</si>
  <si>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</si>
  <si>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</si>
  <si>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</si>
  <si>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</si>
  <si>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</si>
  <si>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</si>
  <si>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</si>
  <si>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</si>
  <si>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</si>
  <si>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</si>
  <si>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</si>
  <si>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</si>
  <si>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</si>
  <si>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</si>
  <si>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</si>
  <si>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</si>
  <si>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</si>
  <si>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</si>
  <si>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</si>
  <si>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</si>
  <si>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</si>
  <si>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</si>
  <si>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</si>
  <si>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</si>
  <si>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</si>
  <si>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</si>
  <si>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</si>
  <si>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</si>
  <si>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</si>
  <si>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</si>
  <si>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</si>
  <si>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</si>
  <si>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</si>
  <si>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</si>
  <si>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</si>
  <si>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</si>
  <si>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</si>
  <si>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</si>
  <si>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</si>
  <si>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</si>
  <si>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</si>
  <si>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</si>
  <si>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</si>
  <si>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</si>
  <si>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</si>
  <si>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</si>
  <si>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</si>
  <si>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</si>
  <si>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</si>
  <si>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</si>
  <si>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</si>
  <si>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</si>
  <si>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</si>
  <si>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</si>
  <si>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</si>
  <si>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</si>
  <si>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</si>
  <si>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</si>
  <si>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</si>
  <si>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</si>
  <si>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</si>
  <si>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</si>
  <si>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</si>
  <si>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</si>
  <si>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</si>
  <si>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</si>
  <si>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</si>
  <si>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</si>
  <si>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</si>
  <si>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</si>
  <si>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</si>
  <si>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</si>
  <si>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</si>
  <si>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</si>
  <si>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</si>
  <si>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</si>
  <si>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</si>
  <si>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</si>
  <si>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</si>
  <si>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</si>
  <si>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</si>
  <si>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проект рішення</t>
  </si>
  <si>
    <t>від 28.11.2018 № 4153-МР</t>
  </si>
  <si>
    <t>0712144</t>
  </si>
  <si>
    <t>2144</t>
  </si>
  <si>
    <t>0712146</t>
  </si>
  <si>
    <t>2146</t>
  </si>
  <si>
    <t>0712151</t>
  </si>
  <si>
    <t>2151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</si>
  <si>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</si>
  <si>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</si>
  <si>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</si>
  <si>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</si>
  <si>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</si>
  <si>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</si>
  <si>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</si>
  <si>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4332-МР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</si>
  <si>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</si>
  <si>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</si>
  <si>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</si>
  <si>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грн.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</si>
  <si>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</si>
  <si>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</si>
  <si>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</si>
  <si>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</si>
  <si>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</si>
  <si>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</si>
  <si>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</si>
  <si>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</si>
  <si>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</si>
  <si>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</si>
  <si>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</si>
  <si>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</si>
  <si>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</si>
  <si>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</si>
  <si>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</si>
  <si>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</si>
  <si>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</si>
  <si>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від 26.10.2016 року № 1268-МР   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</si>
  <si>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</si>
  <si>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</si>
  <si>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</si>
  <si>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>від 28.11.2018 № 4151-МР (зі змінами)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</si>
  <si>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</si>
  <si>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</si>
  <si>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</si>
  <si>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</si>
  <si>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</si>
  <si>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</si>
  <si>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Комплексна міська програма «Освіта м. Суми на 2019-2021 роки»</t>
  </si>
  <si>
    <t>від 19.12.2018 року № 4329-МР (зі змінами)</t>
  </si>
  <si>
    <t xml:space="preserve">Програма підвищення енергоефективності в бюджетній сфері міста Суми на 2017-2019 роки </t>
  </si>
  <si>
    <t>Цільова Програма підтримки малого і середнього підприємництва в м.Суми на 2017-2019 роки</t>
  </si>
  <si>
    <t xml:space="preserve">Міська програма «Місто Суми – територія добра та милосердя» на 2019 – 2021 роки» </t>
  </si>
  <si>
    <t>Міська програма  «Соціальна підтримка учасників антитерористичної операції та членів їх сімей» на 2017-2019 роки»</t>
  </si>
  <si>
    <t>Міська програма «Соціальна підтримка учасників антитерористичної операції та членів їх сімей" на 2017-2019 роки"</t>
  </si>
  <si>
    <t>від 26.10.2016 року № 1269-МР (зі змінами)</t>
  </si>
  <si>
    <t>від 28.11.2018 року № 4150-МР (зі змінами)</t>
  </si>
  <si>
    <t>від 19.12.2018 № 4331-МР        (зі змінами)</t>
  </si>
  <si>
    <t>від 19.12.2018 року № 4331-МР (зі змінами)</t>
  </si>
  <si>
    <t>1517370</t>
  </si>
  <si>
    <t>Програма економічного і соціального розвитку         м. Суми на 2019 рік та основні напрями розвитку на 2020-2021 роки</t>
  </si>
  <si>
    <t>Програма економічного і соціального розвитку          м. Суми на 2019 рік та основні напрями розвитку на 2020-2021 роки</t>
  </si>
  <si>
    <t>Програма економічного і соціального розвитку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</si>
  <si>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</si>
  <si>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</si>
  <si>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</si>
  <si>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</si>
  <si>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</si>
  <si>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 xml:space="preserve"> _________________</t>
  </si>
  <si>
    <t xml:space="preserve"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 </t>
  </si>
  <si>
    <t xml:space="preserve">Міська програма «Соціальна підтримка учасників антитерористичної операції та членів їх сімей» на 2017-2019 роки» </t>
  </si>
  <si>
    <t>Виконавець: Липова С.А.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</si>
  <si>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</si>
  <si>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</si>
  <si>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</si>
  <si>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</si>
  <si>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Комплексна міська Програма «Охорона здоров’я  м. Суми на 2019-2021 роки»</t>
  </si>
  <si>
    <t>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2019-2021 роки</t>
  </si>
  <si>
    <t>0619770</t>
  </si>
  <si>
    <t xml:space="preserve">                         Додаток № 4</t>
  </si>
  <si>
    <t>А.В. Баранов</t>
  </si>
  <si>
    <t>Секретар Сумської міської ради</t>
  </si>
  <si>
    <t>міського бюджету м. Суми на 2019 рік»</t>
  </si>
  <si>
    <t>до   рішення   Сумської   міської   ради</t>
  </si>
  <si>
    <t xml:space="preserve">«Про  внесення  змін   та  доповнень  до </t>
  </si>
  <si>
    <t>від 24  грудня  2019  року № 6214 - МР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</si>
</sst>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9" fillId="4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53" fillId="0" borderId="7" applyNumberFormat="0" applyFill="0" applyAlignment="0" applyProtection="0"/>
    <xf numFmtId="0" fontId="11" fillId="0" borderId="8" applyNumberFormat="0" applyFill="0" applyAlignment="0" applyProtection="0"/>
    <xf numFmtId="0" fontId="54" fillId="47" borderId="9" applyNumberFormat="0" applyAlignment="0" applyProtection="0"/>
    <xf numFmtId="0" fontId="9" fillId="48" borderId="10" applyNumberFormat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" fillId="3" borderId="0" applyNumberFormat="0" applyBorder="0" applyAlignment="0" applyProtection="0"/>
    <xf numFmtId="0" fontId="58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59" fillId="50" borderId="14" applyNumberFormat="0" applyAlignment="0" applyProtection="0"/>
    <xf numFmtId="0" fontId="17" fillId="0" borderId="15" applyNumberFormat="0" applyFill="0" applyAlignment="0" applyProtection="0"/>
    <xf numFmtId="0" fontId="60" fillId="54" borderId="0" applyNumberFormat="0" applyBorder="0" applyAlignment="0" applyProtection="0"/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Border="1" applyAlignment="1">
      <alignment horizontal="left" vertical="center" wrapText="1"/>
    </xf>
    <xf numFmtId="202" fontId="27" fillId="0" borderId="0" xfId="0" applyNumberFormat="1" applyFont="1" applyFill="1" applyBorder="1" applyAlignment="1">
      <alignment vertical="justify"/>
    </xf>
    <xf numFmtId="4" fontId="28" fillId="0" borderId="0" xfId="0" applyNumberFormat="1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vertical="center"/>
    </xf>
    <xf numFmtId="4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9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8" fillId="0" borderId="21" xfId="0" applyFont="1" applyFill="1" applyBorder="1" applyAlignment="1">
      <alignment horizontal="center" vertical="center" wrapText="1"/>
    </xf>
    <xf numFmtId="202" fontId="29" fillId="0" borderId="17" xfId="95" applyNumberFormat="1" applyFont="1" applyFill="1" applyBorder="1" applyAlignment="1">
      <alignment horizontal="left" vertical="center"/>
      <protection/>
    </xf>
    <xf numFmtId="202" fontId="29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0" fontId="35" fillId="0" borderId="0" xfId="0" applyFont="1" applyFill="1" applyAlignment="1">
      <alignment/>
    </xf>
    <xf numFmtId="0" fontId="25" fillId="0" borderId="20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4" fontId="29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25" fillId="0" borderId="18" xfId="95" applyNumberFormat="1" applyFont="1" applyFill="1" applyBorder="1" applyAlignment="1">
      <alignment horizontal="center" vertical="center"/>
      <protection/>
    </xf>
    <xf numFmtId="4" fontId="35" fillId="0" borderId="17" xfId="95" applyNumberFormat="1" applyFont="1" applyFill="1" applyBorder="1" applyAlignment="1">
      <alignment horizontal="center" vertical="center"/>
      <protection/>
    </xf>
    <xf numFmtId="4" fontId="63" fillId="0" borderId="17" xfId="95" applyNumberFormat="1" applyFont="1" applyFill="1" applyBorder="1" applyAlignment="1">
      <alignment horizontal="center" vertical="center"/>
      <protection/>
    </xf>
    <xf numFmtId="4" fontId="28" fillId="0" borderId="17" xfId="95" applyNumberFormat="1" applyFont="1" applyFill="1" applyBorder="1" applyAlignment="1">
      <alignment horizontal="center" vertical="center"/>
      <protection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>
      <alignment wrapText="1"/>
    </xf>
    <xf numFmtId="0" fontId="34" fillId="0" borderId="0" xfId="0" applyFont="1" applyFill="1" applyAlignment="1">
      <alignment horizontal="left" vertical="center"/>
    </xf>
    <xf numFmtId="0" fontId="34" fillId="0" borderId="17" xfId="0" applyFont="1" applyFill="1" applyBorder="1" applyAlignment="1">
      <alignment horizontal="left" vertical="center" wrapText="1"/>
    </xf>
    <xf numFmtId="202" fontId="37" fillId="0" borderId="0" xfId="0" applyNumberFormat="1" applyFont="1" applyFill="1" applyBorder="1" applyAlignment="1">
      <alignment vertical="justify"/>
    </xf>
    <xf numFmtId="4" fontId="38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3" fontId="25" fillId="0" borderId="18" xfId="0" applyNumberFormat="1" applyFont="1" applyFill="1" applyBorder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vertical="center"/>
    </xf>
    <xf numFmtId="4" fontId="36" fillId="0" borderId="0" xfId="0" applyNumberFormat="1" applyFont="1" applyFill="1" applyBorder="1" applyAlignment="1" applyProtection="1">
      <alignment horizontal="center" vertical="center"/>
      <protection/>
    </xf>
    <xf numFmtId="1" fontId="25" fillId="0" borderId="0" xfId="0" applyNumberFormat="1" applyFont="1" applyFill="1" applyAlignment="1">
      <alignment vertical="center" textRotation="180"/>
    </xf>
    <xf numFmtId="1" fontId="27" fillId="0" borderId="0" xfId="0" applyNumberFormat="1" applyFont="1" applyFill="1" applyAlignment="1">
      <alignment vertical="center" textRotation="180"/>
    </xf>
    <xf numFmtId="1" fontId="25" fillId="0" borderId="23" xfId="0" applyNumberFormat="1" applyFont="1" applyFill="1" applyBorder="1" applyAlignment="1">
      <alignment vertical="center" textRotation="180"/>
    </xf>
    <xf numFmtId="1" fontId="25" fillId="0" borderId="0" xfId="0" applyNumberFormat="1" applyFont="1" applyFill="1" applyAlignment="1">
      <alignment textRotation="180"/>
    </xf>
    <xf numFmtId="49" fontId="37" fillId="0" borderId="0" xfId="0" applyNumberFormat="1" applyFont="1" applyFill="1" applyBorder="1" applyAlignment="1">
      <alignment vertical="center" wrapText="1"/>
    </xf>
    <xf numFmtId="0" fontId="36" fillId="0" borderId="0" xfId="0" applyNumberFormat="1" applyFont="1" applyFill="1" applyAlignment="1" applyProtection="1">
      <alignment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justify"/>
    </xf>
    <xf numFmtId="0" fontId="25" fillId="0" borderId="18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4" fontId="29" fillId="0" borderId="18" xfId="0" applyNumberFormat="1" applyFont="1" applyFill="1" applyBorder="1" applyAlignment="1" applyProtection="1">
      <alignment horizontal="center" vertical="center" wrapText="1"/>
      <protection/>
    </xf>
    <xf numFmtId="4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0" xfId="0" applyNumberFormat="1" applyFont="1" applyFill="1" applyBorder="1" applyAlignment="1">
      <alignment horizontal="left" vertical="center" wrapText="1"/>
    </xf>
    <xf numFmtId="4" fontId="29" fillId="0" borderId="24" xfId="0" applyNumberFormat="1" applyFont="1" applyFill="1" applyBorder="1" applyAlignment="1" applyProtection="1">
      <alignment horizontal="center" vertical="center" wrapText="1"/>
      <protection/>
    </xf>
    <xf numFmtId="4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showZeros="0" tabSelected="1" view="pageBreakPreview" zoomScale="25" zoomScaleNormal="25" zoomScaleSheetLayoutView="25" workbookViewId="0" topLeftCell="A1">
      <selection activeCell="D154" sqref="D154:D155"/>
    </sheetView>
  </sheetViews>
  <sheetFormatPr defaultColWidth="9.16015625" defaultRowHeight="12.75"/>
  <cols>
    <col min="1" max="1" width="56.5" style="10" customWidth="1"/>
    <col min="2" max="2" width="51.83203125" style="10" customWidth="1"/>
    <col min="3" max="3" width="55.16015625" style="10" customWidth="1"/>
    <col min="4" max="4" width="157" style="9" customWidth="1"/>
    <col min="5" max="5" width="164.33203125" style="10" customWidth="1"/>
    <col min="6" max="6" width="101.83203125" style="10" customWidth="1"/>
    <col min="7" max="7" width="81.83203125" style="10" customWidth="1"/>
    <col min="8" max="8" width="80.16015625" style="20" customWidth="1"/>
    <col min="9" max="9" width="66.5" style="20" customWidth="1"/>
    <col min="10" max="10" width="67.66015625" style="20" customWidth="1"/>
    <col min="11" max="11" width="22.83203125" style="84" customWidth="1"/>
    <col min="12" max="12" width="16.5" style="1" customWidth="1"/>
    <col min="13" max="16384" width="9.16015625" style="1" customWidth="1"/>
  </cols>
  <sheetData>
    <row r="1" spans="1:11" ht="69" customHeight="1">
      <c r="A1" s="15"/>
      <c r="B1" s="15"/>
      <c r="C1" s="15"/>
      <c r="H1" s="82" t="s">
        <v>495</v>
      </c>
      <c r="I1" s="82"/>
      <c r="J1" s="82"/>
      <c r="K1" s="85"/>
    </row>
    <row r="2" spans="1:11" ht="66.75" customHeight="1">
      <c r="A2" s="15"/>
      <c r="B2" s="15"/>
      <c r="C2" s="15"/>
      <c r="H2" s="126" t="s">
        <v>499</v>
      </c>
      <c r="I2" s="126"/>
      <c r="J2" s="126"/>
      <c r="K2" s="85"/>
    </row>
    <row r="3" spans="1:11" ht="66.75" customHeight="1">
      <c r="A3" s="15"/>
      <c r="B3" s="15"/>
      <c r="C3" s="15"/>
      <c r="H3" s="126" t="s">
        <v>500</v>
      </c>
      <c r="I3" s="126"/>
      <c r="J3" s="126"/>
      <c r="K3" s="85"/>
    </row>
    <row r="4" spans="1:11" ht="66.75" customHeight="1">
      <c r="A4" s="15"/>
      <c r="B4" s="15"/>
      <c r="C4" s="15"/>
      <c r="H4" s="82" t="s">
        <v>498</v>
      </c>
      <c r="I4" s="82"/>
      <c r="J4" s="82"/>
      <c r="K4" s="85"/>
    </row>
    <row r="5" spans="1:11" ht="66.75">
      <c r="A5" s="15"/>
      <c r="B5" s="15"/>
      <c r="C5" s="15"/>
      <c r="H5" s="126" t="s">
        <v>501</v>
      </c>
      <c r="I5" s="126"/>
      <c r="J5" s="126"/>
      <c r="K5" s="85"/>
    </row>
    <row r="6" spans="1:11" ht="64.5">
      <c r="A6" s="15"/>
      <c r="B6" s="15"/>
      <c r="C6" s="15"/>
      <c r="H6" s="79"/>
      <c r="I6" s="79"/>
      <c r="J6" s="79"/>
      <c r="K6" s="85"/>
    </row>
    <row r="7" spans="1:11" ht="67.5" customHeight="1">
      <c r="A7" s="127" t="s">
        <v>368</v>
      </c>
      <c r="B7" s="127"/>
      <c r="C7" s="127"/>
      <c r="D7" s="127"/>
      <c r="E7" s="127"/>
      <c r="F7" s="127"/>
      <c r="G7" s="127"/>
      <c r="H7" s="127"/>
      <c r="I7" s="127"/>
      <c r="J7" s="127"/>
      <c r="K7" s="85"/>
    </row>
    <row r="8" spans="1:11" ht="46.5" customHeight="1">
      <c r="A8" s="4"/>
      <c r="B8" s="4"/>
      <c r="C8" s="4"/>
      <c r="D8" s="5"/>
      <c r="E8" s="6"/>
      <c r="F8" s="6"/>
      <c r="G8" s="6"/>
      <c r="H8" s="28"/>
      <c r="I8" s="28"/>
      <c r="J8" s="83" t="s">
        <v>435</v>
      </c>
      <c r="K8" s="85"/>
    </row>
    <row r="9" spans="1:11" ht="103.5" customHeight="1">
      <c r="A9" s="120" t="s">
        <v>369</v>
      </c>
      <c r="B9" s="120" t="s">
        <v>370</v>
      </c>
      <c r="C9" s="120" t="s">
        <v>371</v>
      </c>
      <c r="D9" s="120" t="s">
        <v>376</v>
      </c>
      <c r="E9" s="120" t="s">
        <v>66</v>
      </c>
      <c r="F9" s="120" t="s">
        <v>372</v>
      </c>
      <c r="G9" s="120" t="s">
        <v>373</v>
      </c>
      <c r="H9" s="122" t="s">
        <v>0</v>
      </c>
      <c r="I9" s="129" t="s">
        <v>1</v>
      </c>
      <c r="J9" s="130"/>
      <c r="K9" s="85"/>
    </row>
    <row r="10" spans="1:11" ht="217.5" customHeight="1">
      <c r="A10" s="121"/>
      <c r="B10" s="121"/>
      <c r="C10" s="121"/>
      <c r="D10" s="121"/>
      <c r="E10" s="121"/>
      <c r="F10" s="121"/>
      <c r="G10" s="121"/>
      <c r="H10" s="123"/>
      <c r="I10" s="29" t="s">
        <v>373</v>
      </c>
      <c r="J10" s="29" t="s">
        <v>374</v>
      </c>
      <c r="K10" s="85"/>
    </row>
    <row r="11" spans="1:11" s="36" customFormat="1" ht="102" customHeight="1">
      <c r="A11" s="18"/>
      <c r="B11" s="18"/>
      <c r="C11" s="18"/>
      <c r="D11" s="19" t="s">
        <v>136</v>
      </c>
      <c r="E11" s="43"/>
      <c r="F11" s="44"/>
      <c r="G11" s="55">
        <f>SUM(G12+G13+G15+G16+G17+G18+G19+G20+G21+G22+G23+G24+G25+G26+G27+G28+G29+G30+G31+G32+G33+G34+G37+G38+G40+G41+G42+G43+G44+G45+G46+G47+G48+G52+G49+G51+J41+G50+G53+G14)</f>
        <v>103623810</v>
      </c>
      <c r="H11" s="55">
        <f>SUM(H12+H13+H15+H16+H17+H18+H19+H20+H21+H22+H23+H24+H25+H26+H27+H28+H29+H30+H31+H32+H33+H34+H37+H38+H40+H41+H42+H43+H44+H45+H46+H47+H48+H52+H49+H51+K41+H50+H53+H14)</f>
        <v>67648530</v>
      </c>
      <c r="I11" s="55">
        <f>SUM(I12+I13+I15+I16+I17+I18+I19+I20+I21+I22+I23+I24+I25+I26+I27+I28+I29+I30+I31+I32+I33+I34+I37+I38+I40+I41+I42+I43+I44+I45+I46+I47+I48+I52+I49+I51+L41+I50+I53+I14)</f>
        <v>35975280</v>
      </c>
      <c r="J11" s="55">
        <f>SUM(J12+J13+J15+J16+J17+J18+J19+J20+J21+J22+J23+J24+J25+J26+J27+J28+J29+J30+J31+J32+J33+J34+J37+J38+J40+J41+J42+J43+J44+J45+J46+J47+J48+J52+J49+J51+M41+J50+J53+J14)</f>
        <v>35414891</v>
      </c>
      <c r="K11" s="85"/>
    </row>
    <row r="12" spans="1:11" ht="156.75" customHeight="1">
      <c r="A12" s="25" t="s">
        <v>137</v>
      </c>
      <c r="B12" s="61" t="s">
        <v>80</v>
      </c>
      <c r="C12" s="61" t="s">
        <v>2</v>
      </c>
      <c r="D12" s="26" t="s">
        <v>81</v>
      </c>
      <c r="E12" s="12" t="s">
        <v>379</v>
      </c>
      <c r="F12" s="45" t="s">
        <v>446</v>
      </c>
      <c r="G12" s="56">
        <f aca="true" t="shared" si="0" ref="G12:G76">H12+I12</f>
        <v>2270000</v>
      </c>
      <c r="H12" s="56">
        <f>1850000+95000+300000+25000</f>
        <v>2270000</v>
      </c>
      <c r="I12" s="56"/>
      <c r="J12" s="56"/>
      <c r="K12" s="85"/>
    </row>
    <row r="13" spans="1:11" ht="200.25" customHeight="1">
      <c r="A13" s="99" t="s">
        <v>215</v>
      </c>
      <c r="B13" s="97" t="s">
        <v>29</v>
      </c>
      <c r="C13" s="102" t="s">
        <v>14</v>
      </c>
      <c r="D13" s="124" t="s">
        <v>214</v>
      </c>
      <c r="E13" s="26" t="s">
        <v>216</v>
      </c>
      <c r="F13" s="46" t="s">
        <v>399</v>
      </c>
      <c r="G13" s="56">
        <f t="shared" si="0"/>
        <v>220500</v>
      </c>
      <c r="H13" s="57">
        <f>200000+10000+10500</f>
        <v>220500</v>
      </c>
      <c r="I13" s="57"/>
      <c r="J13" s="57"/>
      <c r="K13" s="85"/>
    </row>
    <row r="14" spans="1:11" ht="141.75" customHeight="1">
      <c r="A14" s="101"/>
      <c r="B14" s="98"/>
      <c r="C14" s="103"/>
      <c r="D14" s="125"/>
      <c r="E14" s="26" t="s">
        <v>488</v>
      </c>
      <c r="F14" s="46" t="s">
        <v>491</v>
      </c>
      <c r="G14" s="56">
        <f t="shared" si="0"/>
        <v>82800</v>
      </c>
      <c r="H14" s="57">
        <f>59000+34300-10500</f>
        <v>82800</v>
      </c>
      <c r="I14" s="57"/>
      <c r="J14" s="57"/>
      <c r="K14" s="85"/>
    </row>
    <row r="15" spans="1:11" s="3" customFormat="1" ht="151.5" customHeight="1">
      <c r="A15" s="24" t="s">
        <v>265</v>
      </c>
      <c r="B15" s="61" t="s">
        <v>44</v>
      </c>
      <c r="C15" s="63">
        <v>1070</v>
      </c>
      <c r="D15" s="12" t="s">
        <v>39</v>
      </c>
      <c r="E15" s="26" t="s">
        <v>380</v>
      </c>
      <c r="F15" s="26" t="s">
        <v>461</v>
      </c>
      <c r="G15" s="56">
        <f t="shared" si="0"/>
        <v>116396</v>
      </c>
      <c r="H15" s="57">
        <v>116396</v>
      </c>
      <c r="I15" s="57"/>
      <c r="J15" s="57"/>
      <c r="K15" s="85"/>
    </row>
    <row r="16" spans="1:11" s="3" customFormat="1" ht="113.25" customHeight="1">
      <c r="A16" s="99" t="s">
        <v>138</v>
      </c>
      <c r="B16" s="97" t="s">
        <v>82</v>
      </c>
      <c r="C16" s="97">
        <v>1070</v>
      </c>
      <c r="D16" s="93" t="s">
        <v>375</v>
      </c>
      <c r="E16" s="12" t="s">
        <v>383</v>
      </c>
      <c r="F16" s="45" t="s">
        <v>462</v>
      </c>
      <c r="G16" s="56">
        <f t="shared" si="0"/>
        <v>81375</v>
      </c>
      <c r="H16" s="56">
        <v>81375</v>
      </c>
      <c r="I16" s="56"/>
      <c r="J16" s="56"/>
      <c r="K16" s="85"/>
    </row>
    <row r="17" spans="1:11" s="3" customFormat="1" ht="104.25" customHeight="1">
      <c r="A17" s="101"/>
      <c r="B17" s="98"/>
      <c r="C17" s="98"/>
      <c r="D17" s="94"/>
      <c r="E17" s="26" t="s">
        <v>380</v>
      </c>
      <c r="F17" s="26" t="s">
        <v>461</v>
      </c>
      <c r="G17" s="56">
        <f t="shared" si="0"/>
        <v>172155</v>
      </c>
      <c r="H17" s="56">
        <v>172155</v>
      </c>
      <c r="I17" s="56"/>
      <c r="J17" s="56"/>
      <c r="K17" s="85"/>
    </row>
    <row r="18" spans="1:11" s="3" customFormat="1" ht="152.25" customHeight="1">
      <c r="A18" s="11" t="s">
        <v>139</v>
      </c>
      <c r="B18" s="64" t="s">
        <v>83</v>
      </c>
      <c r="C18" s="64" t="s">
        <v>8</v>
      </c>
      <c r="D18" s="12" t="s">
        <v>84</v>
      </c>
      <c r="E18" s="12" t="s">
        <v>381</v>
      </c>
      <c r="F18" s="45" t="s">
        <v>432</v>
      </c>
      <c r="G18" s="56">
        <f t="shared" si="0"/>
        <v>65000</v>
      </c>
      <c r="H18" s="56">
        <v>65000</v>
      </c>
      <c r="I18" s="56"/>
      <c r="J18" s="56"/>
      <c r="K18" s="85"/>
    </row>
    <row r="19" spans="1:11" s="3" customFormat="1" ht="155.25" customHeight="1">
      <c r="A19" s="11" t="s">
        <v>140</v>
      </c>
      <c r="B19" s="64" t="s">
        <v>85</v>
      </c>
      <c r="C19" s="64" t="s">
        <v>8</v>
      </c>
      <c r="D19" s="12" t="s">
        <v>86</v>
      </c>
      <c r="E19" s="12" t="s">
        <v>383</v>
      </c>
      <c r="F19" s="45" t="s">
        <v>462</v>
      </c>
      <c r="G19" s="56">
        <f t="shared" si="0"/>
        <v>850000</v>
      </c>
      <c r="H19" s="56">
        <f>800000+50000</f>
        <v>850000</v>
      </c>
      <c r="I19" s="56"/>
      <c r="J19" s="56"/>
      <c r="K19" s="85"/>
    </row>
    <row r="20" spans="1:11" s="16" customFormat="1" ht="240.75" customHeight="1">
      <c r="A20" s="11" t="s">
        <v>141</v>
      </c>
      <c r="B20" s="64" t="s">
        <v>42</v>
      </c>
      <c r="C20" s="64" t="s">
        <v>8</v>
      </c>
      <c r="D20" s="12" t="s">
        <v>46</v>
      </c>
      <c r="E20" s="12" t="s">
        <v>383</v>
      </c>
      <c r="F20" s="45" t="s">
        <v>462</v>
      </c>
      <c r="G20" s="56">
        <f t="shared" si="0"/>
        <v>3076854</v>
      </c>
      <c r="H20" s="56">
        <f>488000+2588854</f>
        <v>3076854</v>
      </c>
      <c r="I20" s="56"/>
      <c r="J20" s="56"/>
      <c r="K20" s="85"/>
    </row>
    <row r="21" spans="1:11" s="3" customFormat="1" ht="132.75">
      <c r="A21" s="11" t="s">
        <v>269</v>
      </c>
      <c r="B21" s="64" t="s">
        <v>271</v>
      </c>
      <c r="C21" s="64" t="s">
        <v>7</v>
      </c>
      <c r="D21" s="27" t="s">
        <v>272</v>
      </c>
      <c r="E21" s="12" t="s">
        <v>381</v>
      </c>
      <c r="F21" s="45" t="s">
        <v>432</v>
      </c>
      <c r="G21" s="56">
        <f t="shared" si="0"/>
        <v>1028700</v>
      </c>
      <c r="H21" s="56">
        <f>973700+55000</f>
        <v>1028700</v>
      </c>
      <c r="I21" s="56"/>
      <c r="J21" s="33"/>
      <c r="K21" s="85"/>
    </row>
    <row r="22" spans="1:11" s="3" customFormat="1" ht="104.25" customHeight="1">
      <c r="A22" s="113" t="s">
        <v>270</v>
      </c>
      <c r="B22" s="97" t="s">
        <v>273</v>
      </c>
      <c r="C22" s="97" t="s">
        <v>7</v>
      </c>
      <c r="D22" s="104" t="s">
        <v>274</v>
      </c>
      <c r="E22" s="12" t="s">
        <v>468</v>
      </c>
      <c r="F22" s="45" t="s">
        <v>448</v>
      </c>
      <c r="G22" s="56">
        <f t="shared" si="0"/>
        <v>172670</v>
      </c>
      <c r="H22" s="56">
        <v>172670</v>
      </c>
      <c r="I22" s="56"/>
      <c r="J22" s="33"/>
      <c r="K22" s="85"/>
    </row>
    <row r="23" spans="1:11" s="3" customFormat="1" ht="143.25" customHeight="1">
      <c r="A23" s="115"/>
      <c r="B23" s="98"/>
      <c r="C23" s="98"/>
      <c r="D23" s="106"/>
      <c r="E23" s="12" t="s">
        <v>469</v>
      </c>
      <c r="F23" s="45" t="s">
        <v>398</v>
      </c>
      <c r="G23" s="56">
        <f t="shared" si="0"/>
        <v>65920</v>
      </c>
      <c r="H23" s="56">
        <v>65920</v>
      </c>
      <c r="I23" s="56"/>
      <c r="J23" s="33"/>
      <c r="K23" s="85"/>
    </row>
    <row r="24" spans="1:11" s="3" customFormat="1" ht="143.25" customHeight="1">
      <c r="A24" s="31" t="s">
        <v>314</v>
      </c>
      <c r="B24" s="65" t="s">
        <v>315</v>
      </c>
      <c r="C24" s="65" t="s">
        <v>316</v>
      </c>
      <c r="D24" s="32" t="s">
        <v>317</v>
      </c>
      <c r="E24" s="12" t="s">
        <v>383</v>
      </c>
      <c r="F24" s="45" t="s">
        <v>462</v>
      </c>
      <c r="G24" s="56">
        <f t="shared" si="0"/>
        <v>632000</v>
      </c>
      <c r="H24" s="56">
        <f>700000-68000</f>
        <v>632000</v>
      </c>
      <c r="I24" s="56"/>
      <c r="J24" s="33"/>
      <c r="K24" s="85"/>
    </row>
    <row r="25" spans="1:11" s="3" customFormat="1" ht="117.75" customHeight="1">
      <c r="A25" s="25" t="s">
        <v>305</v>
      </c>
      <c r="B25" s="61" t="s">
        <v>303</v>
      </c>
      <c r="C25" s="61" t="s">
        <v>10</v>
      </c>
      <c r="D25" s="26" t="s">
        <v>304</v>
      </c>
      <c r="E25" s="12" t="s">
        <v>379</v>
      </c>
      <c r="F25" s="45" t="s">
        <v>446</v>
      </c>
      <c r="G25" s="56">
        <f t="shared" si="0"/>
        <v>984500</v>
      </c>
      <c r="H25" s="56">
        <f>800000+25000+130000+9500+20000</f>
        <v>984500</v>
      </c>
      <c r="I25" s="56"/>
      <c r="J25" s="56"/>
      <c r="K25" s="85"/>
    </row>
    <row r="26" spans="1:11" s="3" customFormat="1" ht="111.75" customHeight="1">
      <c r="A26" s="25" t="s">
        <v>277</v>
      </c>
      <c r="B26" s="61" t="s">
        <v>275</v>
      </c>
      <c r="C26" s="61" t="s">
        <v>10</v>
      </c>
      <c r="D26" s="39" t="s">
        <v>276</v>
      </c>
      <c r="E26" s="12" t="s">
        <v>379</v>
      </c>
      <c r="F26" s="45" t="s">
        <v>446</v>
      </c>
      <c r="G26" s="56">
        <f t="shared" si="0"/>
        <v>328100</v>
      </c>
      <c r="H26" s="56">
        <f>429100-59000-42000</f>
        <v>328100</v>
      </c>
      <c r="I26" s="56"/>
      <c r="J26" s="56"/>
      <c r="K26" s="86"/>
    </row>
    <row r="27" spans="1:11" s="3" customFormat="1" ht="105.75" customHeight="1">
      <c r="A27" s="11" t="s">
        <v>142</v>
      </c>
      <c r="B27" s="64" t="s">
        <v>61</v>
      </c>
      <c r="C27" s="64" t="s">
        <v>11</v>
      </c>
      <c r="D27" s="12" t="s">
        <v>47</v>
      </c>
      <c r="E27" s="12" t="s">
        <v>388</v>
      </c>
      <c r="F27" s="45" t="s">
        <v>472</v>
      </c>
      <c r="G27" s="56">
        <f t="shared" si="0"/>
        <v>860000</v>
      </c>
      <c r="H27" s="56">
        <f>750000+60000+30000+20000</f>
        <v>860000</v>
      </c>
      <c r="I27" s="56"/>
      <c r="J27" s="56"/>
      <c r="K27" s="86"/>
    </row>
    <row r="28" spans="1:11" s="3" customFormat="1" ht="126.75" customHeight="1">
      <c r="A28" s="11" t="s">
        <v>143</v>
      </c>
      <c r="B28" s="64" t="s">
        <v>62</v>
      </c>
      <c r="C28" s="64" t="s">
        <v>11</v>
      </c>
      <c r="D28" s="12" t="s">
        <v>12</v>
      </c>
      <c r="E28" s="12" t="s">
        <v>388</v>
      </c>
      <c r="F28" s="45" t="s">
        <v>472</v>
      </c>
      <c r="G28" s="56">
        <f t="shared" si="0"/>
        <v>1004500</v>
      </c>
      <c r="H28" s="56">
        <f>750000+65000+22000+25000+10000+5000+5000+77000+50000+6000-20000+9500</f>
        <v>1004500</v>
      </c>
      <c r="I28" s="56"/>
      <c r="J28" s="56"/>
      <c r="K28" s="86"/>
    </row>
    <row r="29" spans="1:11" s="3" customFormat="1" ht="120.75" customHeight="1">
      <c r="A29" s="11" t="s">
        <v>144</v>
      </c>
      <c r="B29" s="64" t="s">
        <v>69</v>
      </c>
      <c r="C29" s="64" t="s">
        <v>11</v>
      </c>
      <c r="D29" s="12" t="s">
        <v>48</v>
      </c>
      <c r="E29" s="12" t="s">
        <v>388</v>
      </c>
      <c r="F29" s="45" t="s">
        <v>472</v>
      </c>
      <c r="G29" s="56">
        <f t="shared" si="0"/>
        <v>10721500</v>
      </c>
      <c r="H29" s="56">
        <f>10041300+70000+30000+35000-10000+10000+20000+25200</f>
        <v>10221500</v>
      </c>
      <c r="I29" s="56">
        <f>200000+10000+290000</f>
        <v>500000</v>
      </c>
      <c r="J29" s="56">
        <f>200000+10000+290000</f>
        <v>500000</v>
      </c>
      <c r="K29" s="86"/>
    </row>
    <row r="30" spans="1:11" s="3" customFormat="1" ht="144.75" customHeight="1">
      <c r="A30" s="11" t="s">
        <v>145</v>
      </c>
      <c r="B30" s="64" t="s">
        <v>70</v>
      </c>
      <c r="C30" s="64" t="s">
        <v>11</v>
      </c>
      <c r="D30" s="12" t="s">
        <v>49</v>
      </c>
      <c r="E30" s="12" t="s">
        <v>388</v>
      </c>
      <c r="F30" s="45" t="s">
        <v>472</v>
      </c>
      <c r="G30" s="56">
        <f t="shared" si="0"/>
        <v>9408300</v>
      </c>
      <c r="H30" s="56">
        <f>8727300+38000+20000+40000+25000+22500+20000+3000+20000+25000+2000+10000+80000+5000+50000+28500</f>
        <v>9116300</v>
      </c>
      <c r="I30" s="56">
        <f>120000+52000+10000+110000</f>
        <v>292000</v>
      </c>
      <c r="J30" s="56">
        <f>120000+52000+10000+110000</f>
        <v>292000</v>
      </c>
      <c r="K30" s="86"/>
    </row>
    <row r="31" spans="1:11" s="3" customFormat="1" ht="192.75" customHeight="1">
      <c r="A31" s="11" t="s">
        <v>146</v>
      </c>
      <c r="B31" s="64" t="s">
        <v>73</v>
      </c>
      <c r="C31" s="64" t="s">
        <v>11</v>
      </c>
      <c r="D31" s="12" t="s">
        <v>71</v>
      </c>
      <c r="E31" s="12" t="s">
        <v>388</v>
      </c>
      <c r="F31" s="45" t="s">
        <v>472</v>
      </c>
      <c r="G31" s="56">
        <f t="shared" si="0"/>
        <v>4416889</v>
      </c>
      <c r="H31" s="56">
        <f>3511500+23000-10000</f>
        <v>3524500</v>
      </c>
      <c r="I31" s="56">
        <f>385389+7000+500000</f>
        <v>892389</v>
      </c>
      <c r="J31" s="56">
        <f>135000+7000+500000</f>
        <v>642000</v>
      </c>
      <c r="K31" s="86"/>
    </row>
    <row r="32" spans="1:11" s="3" customFormat="1" ht="150.75" customHeight="1">
      <c r="A32" s="11" t="s">
        <v>147</v>
      </c>
      <c r="B32" s="64" t="s">
        <v>68</v>
      </c>
      <c r="C32" s="64" t="s">
        <v>11</v>
      </c>
      <c r="D32" s="12" t="s">
        <v>72</v>
      </c>
      <c r="E32" s="12" t="s">
        <v>388</v>
      </c>
      <c r="F32" s="45" t="s">
        <v>472</v>
      </c>
      <c r="G32" s="56">
        <f t="shared" si="0"/>
        <v>6398180</v>
      </c>
      <c r="H32" s="56">
        <f>6057200+40000+251180+25000+30000+10000-15200</f>
        <v>6398180</v>
      </c>
      <c r="I32" s="56"/>
      <c r="J32" s="56"/>
      <c r="K32" s="86"/>
    </row>
    <row r="33" spans="1:11" s="3" customFormat="1" ht="146.25" customHeight="1">
      <c r="A33" s="11" t="s">
        <v>148</v>
      </c>
      <c r="B33" s="64" t="s">
        <v>104</v>
      </c>
      <c r="C33" s="64" t="s">
        <v>32</v>
      </c>
      <c r="D33" s="12" t="s">
        <v>31</v>
      </c>
      <c r="E33" s="12" t="s">
        <v>458</v>
      </c>
      <c r="F33" s="45" t="s">
        <v>430</v>
      </c>
      <c r="G33" s="56">
        <f t="shared" si="0"/>
        <v>10102369.4</v>
      </c>
      <c r="H33" s="56">
        <f>4000000+6102369.4</f>
        <v>10102369.4</v>
      </c>
      <c r="I33" s="56"/>
      <c r="J33" s="56"/>
      <c r="K33" s="86"/>
    </row>
    <row r="34" spans="1:11" s="3" customFormat="1" ht="138" customHeight="1">
      <c r="A34" s="11" t="s">
        <v>149</v>
      </c>
      <c r="B34" s="64" t="s">
        <v>105</v>
      </c>
      <c r="C34" s="64" t="s">
        <v>33</v>
      </c>
      <c r="D34" s="12" t="s">
        <v>106</v>
      </c>
      <c r="E34" s="12" t="s">
        <v>458</v>
      </c>
      <c r="F34" s="45" t="s">
        <v>430</v>
      </c>
      <c r="G34" s="56">
        <f t="shared" si="0"/>
        <v>897630.5999999996</v>
      </c>
      <c r="H34" s="56">
        <f>7000000-6102369.4</f>
        <v>897630.5999999996</v>
      </c>
      <c r="I34" s="56"/>
      <c r="J34" s="56"/>
      <c r="K34" s="86"/>
    </row>
    <row r="35" spans="1:11" s="3" customFormat="1" ht="169.5" customHeight="1" hidden="1">
      <c r="A35" s="11" t="s">
        <v>150</v>
      </c>
      <c r="B35" s="64" t="s">
        <v>107</v>
      </c>
      <c r="C35" s="64" t="s">
        <v>33</v>
      </c>
      <c r="D35" s="12" t="s">
        <v>108</v>
      </c>
      <c r="E35" s="12" t="s">
        <v>386</v>
      </c>
      <c r="F35" s="26" t="s">
        <v>416</v>
      </c>
      <c r="G35" s="56">
        <f t="shared" si="0"/>
        <v>0</v>
      </c>
      <c r="H35" s="56"/>
      <c r="I35" s="56"/>
      <c r="J35" s="56"/>
      <c r="K35" s="86"/>
    </row>
    <row r="36" spans="1:11" s="16" customFormat="1" ht="133.5" customHeight="1" hidden="1">
      <c r="A36" s="11" t="s">
        <v>290</v>
      </c>
      <c r="B36" s="64" t="s">
        <v>291</v>
      </c>
      <c r="C36" s="64" t="s">
        <v>293</v>
      </c>
      <c r="D36" s="12" t="s">
        <v>292</v>
      </c>
      <c r="E36" s="12" t="s">
        <v>386</v>
      </c>
      <c r="F36" s="26" t="s">
        <v>416</v>
      </c>
      <c r="G36" s="56">
        <f t="shared" si="0"/>
        <v>0</v>
      </c>
      <c r="H36" s="56"/>
      <c r="I36" s="56"/>
      <c r="J36" s="56"/>
      <c r="K36" s="86"/>
    </row>
    <row r="37" spans="1:11" s="3" customFormat="1" ht="154.5" customHeight="1">
      <c r="A37" s="11" t="s">
        <v>226</v>
      </c>
      <c r="B37" s="64" t="s">
        <v>227</v>
      </c>
      <c r="C37" s="64" t="s">
        <v>228</v>
      </c>
      <c r="D37" s="12" t="s">
        <v>229</v>
      </c>
      <c r="E37" s="12" t="s">
        <v>74</v>
      </c>
      <c r="F37" s="45" t="s">
        <v>393</v>
      </c>
      <c r="G37" s="56">
        <f t="shared" si="0"/>
        <v>14501360</v>
      </c>
      <c r="H37" s="56">
        <f>6802500+2861360+400000+100000+20000-590000-20000</f>
        <v>9573860</v>
      </c>
      <c r="I37" s="56">
        <f>3197500+590000+550000+590000</f>
        <v>4927500</v>
      </c>
      <c r="J37" s="56">
        <f>3197500+590000+550000+590000</f>
        <v>4927500</v>
      </c>
      <c r="K37" s="86"/>
    </row>
    <row r="38" spans="1:11" s="16" customFormat="1" ht="163.5" customHeight="1">
      <c r="A38" s="11" t="s">
        <v>151</v>
      </c>
      <c r="B38" s="64" t="s">
        <v>109</v>
      </c>
      <c r="C38" s="64" t="s">
        <v>6</v>
      </c>
      <c r="D38" s="12" t="s">
        <v>50</v>
      </c>
      <c r="E38" s="12" t="s">
        <v>467</v>
      </c>
      <c r="F38" s="45" t="s">
        <v>394</v>
      </c>
      <c r="G38" s="56">
        <f t="shared" si="0"/>
        <v>142000</v>
      </c>
      <c r="H38" s="56">
        <f>100000+42000</f>
        <v>142000</v>
      </c>
      <c r="I38" s="56"/>
      <c r="J38" s="56"/>
      <c r="K38" s="86"/>
    </row>
    <row r="39" spans="1:11" s="16" customFormat="1" ht="124.5" customHeight="1" hidden="1">
      <c r="A39" s="25" t="s">
        <v>230</v>
      </c>
      <c r="B39" s="61" t="s">
        <v>96</v>
      </c>
      <c r="C39" s="64" t="s">
        <v>28</v>
      </c>
      <c r="D39" s="12" t="s">
        <v>57</v>
      </c>
      <c r="E39" s="12" t="s">
        <v>79</v>
      </c>
      <c r="F39" s="45" t="s">
        <v>396</v>
      </c>
      <c r="G39" s="56">
        <f t="shared" si="0"/>
        <v>0</v>
      </c>
      <c r="H39" s="56"/>
      <c r="I39" s="56"/>
      <c r="J39" s="56"/>
      <c r="K39" s="86"/>
    </row>
    <row r="40" spans="1:11" s="16" customFormat="1" ht="151.5" customHeight="1">
      <c r="A40" s="25" t="s">
        <v>152</v>
      </c>
      <c r="B40" s="61" t="s">
        <v>110</v>
      </c>
      <c r="C40" s="61" t="s">
        <v>5</v>
      </c>
      <c r="D40" s="26" t="s">
        <v>51</v>
      </c>
      <c r="E40" s="12" t="s">
        <v>458</v>
      </c>
      <c r="F40" s="45" t="s">
        <v>430</v>
      </c>
      <c r="G40" s="56">
        <f t="shared" si="0"/>
        <v>25595199</v>
      </c>
      <c r="H40" s="56"/>
      <c r="I40" s="56">
        <f>61989300-9000000-7680000-500000-999000-297500-6400000-135000-40000-3896761-2483239-224081-4738520</f>
        <v>25595199</v>
      </c>
      <c r="J40" s="56">
        <f>61989300-9000000-7680000-500000-999000-297500-6400000-135000-40000-3896761-2483239-224081-4738520</f>
        <v>25595199</v>
      </c>
      <c r="K40" s="86"/>
    </row>
    <row r="41" spans="1:11" s="16" customFormat="1" ht="163.5" customHeight="1">
      <c r="A41" s="113" t="s">
        <v>219</v>
      </c>
      <c r="B41" s="97" t="s">
        <v>220</v>
      </c>
      <c r="C41" s="97" t="s">
        <v>5</v>
      </c>
      <c r="D41" s="104" t="s">
        <v>221</v>
      </c>
      <c r="E41" s="14" t="s">
        <v>476</v>
      </c>
      <c r="F41" s="45" t="s">
        <v>449</v>
      </c>
      <c r="G41" s="56">
        <f t="shared" si="0"/>
        <v>158690</v>
      </c>
      <c r="H41" s="56">
        <v>158690</v>
      </c>
      <c r="I41" s="56"/>
      <c r="J41" s="56"/>
      <c r="K41" s="86"/>
    </row>
    <row r="42" spans="1:11" s="16" customFormat="1" ht="112.5" customHeight="1">
      <c r="A42" s="115"/>
      <c r="B42" s="98"/>
      <c r="C42" s="98"/>
      <c r="D42" s="106"/>
      <c r="E42" s="12" t="s">
        <v>466</v>
      </c>
      <c r="F42" s="45" t="s">
        <v>396</v>
      </c>
      <c r="G42" s="56">
        <f t="shared" si="0"/>
        <v>85000</v>
      </c>
      <c r="H42" s="56">
        <v>85000</v>
      </c>
      <c r="I42" s="56"/>
      <c r="J42" s="56"/>
      <c r="K42" s="86"/>
    </row>
    <row r="43" spans="1:11" s="3" customFormat="1" ht="120.75" customHeight="1">
      <c r="A43" s="11" t="s">
        <v>231</v>
      </c>
      <c r="B43" s="64" t="s">
        <v>232</v>
      </c>
      <c r="C43" s="64" t="s">
        <v>5</v>
      </c>
      <c r="D43" s="12" t="s">
        <v>233</v>
      </c>
      <c r="E43" s="12" t="s">
        <v>379</v>
      </c>
      <c r="F43" s="45" t="s">
        <v>455</v>
      </c>
      <c r="G43" s="56">
        <f t="shared" si="0"/>
        <v>2132582</v>
      </c>
      <c r="H43" s="56">
        <f>2172100+93000-87000+450000-34300-461218</f>
        <v>2132582</v>
      </c>
      <c r="I43" s="56">
        <f>25900-25900</f>
        <v>0</v>
      </c>
      <c r="J43" s="56">
        <f>25900-25900</f>
        <v>0</v>
      </c>
      <c r="K43" s="86"/>
    </row>
    <row r="44" spans="1:11" ht="197.25" customHeight="1">
      <c r="A44" s="11" t="s">
        <v>153</v>
      </c>
      <c r="B44" s="64" t="s">
        <v>111</v>
      </c>
      <c r="C44" s="64" t="s">
        <v>112</v>
      </c>
      <c r="D44" s="12" t="s">
        <v>113</v>
      </c>
      <c r="E44" s="12" t="s">
        <v>389</v>
      </c>
      <c r="F44" s="45" t="s">
        <v>431</v>
      </c>
      <c r="G44" s="56">
        <f t="shared" si="0"/>
        <v>2457800</v>
      </c>
      <c r="H44" s="56">
        <v>450600</v>
      </c>
      <c r="I44" s="56">
        <v>2007200</v>
      </c>
      <c r="J44" s="56">
        <v>2007200</v>
      </c>
      <c r="K44" s="86"/>
    </row>
    <row r="45" spans="1:11" ht="123" customHeight="1">
      <c r="A45" s="11" t="s">
        <v>222</v>
      </c>
      <c r="B45" s="64" t="s">
        <v>223</v>
      </c>
      <c r="C45" s="64" t="s">
        <v>224</v>
      </c>
      <c r="D45" s="27" t="s">
        <v>225</v>
      </c>
      <c r="E45" s="12" t="s">
        <v>385</v>
      </c>
      <c r="F45" s="45" t="s">
        <v>474</v>
      </c>
      <c r="G45" s="56">
        <f t="shared" si="0"/>
        <v>819800</v>
      </c>
      <c r="H45" s="56">
        <f>789800+30000</f>
        <v>819800</v>
      </c>
      <c r="I45" s="56"/>
      <c r="J45" s="56"/>
      <c r="K45" s="86"/>
    </row>
    <row r="46" spans="1:11" ht="116.25" customHeight="1">
      <c r="A46" s="11" t="s">
        <v>154</v>
      </c>
      <c r="B46" s="64" t="s">
        <v>89</v>
      </c>
      <c r="C46" s="64" t="s">
        <v>13</v>
      </c>
      <c r="D46" s="12" t="s">
        <v>90</v>
      </c>
      <c r="E46" s="14" t="s">
        <v>387</v>
      </c>
      <c r="F46" s="26" t="s">
        <v>447</v>
      </c>
      <c r="G46" s="56">
        <f t="shared" si="0"/>
        <v>310000</v>
      </c>
      <c r="H46" s="56"/>
      <c r="I46" s="56">
        <f>260000+50000</f>
        <v>310000</v>
      </c>
      <c r="J46" s="56"/>
      <c r="K46" s="86"/>
    </row>
    <row r="47" spans="1:11" ht="122.25" customHeight="1">
      <c r="A47" s="11" t="s">
        <v>266</v>
      </c>
      <c r="B47" s="64" t="s">
        <v>267</v>
      </c>
      <c r="C47" s="64" t="s">
        <v>30</v>
      </c>
      <c r="D47" s="12" t="s">
        <v>268</v>
      </c>
      <c r="E47" s="12" t="s">
        <v>379</v>
      </c>
      <c r="F47" s="45" t="s">
        <v>446</v>
      </c>
      <c r="G47" s="56">
        <f t="shared" si="0"/>
        <v>198000</v>
      </c>
      <c r="H47" s="56">
        <f>150000+43000+5000</f>
        <v>198000</v>
      </c>
      <c r="I47" s="56"/>
      <c r="J47" s="56"/>
      <c r="K47" s="86"/>
    </row>
    <row r="48" spans="1:11" ht="116.25" customHeight="1">
      <c r="A48" s="113" t="s">
        <v>349</v>
      </c>
      <c r="B48" s="97" t="s">
        <v>87</v>
      </c>
      <c r="C48" s="97" t="s">
        <v>29</v>
      </c>
      <c r="D48" s="109" t="s">
        <v>88</v>
      </c>
      <c r="E48" s="12" t="s">
        <v>385</v>
      </c>
      <c r="F48" s="26" t="s">
        <v>473</v>
      </c>
      <c r="G48" s="56">
        <f t="shared" si="0"/>
        <v>400000</v>
      </c>
      <c r="H48" s="56">
        <f>241000</f>
        <v>241000</v>
      </c>
      <c r="I48" s="56">
        <v>159000</v>
      </c>
      <c r="J48" s="56">
        <v>159000</v>
      </c>
      <c r="K48" s="86"/>
    </row>
    <row r="49" spans="1:11" ht="333" customHeight="1">
      <c r="A49" s="114"/>
      <c r="B49" s="112"/>
      <c r="C49" s="112"/>
      <c r="D49" s="110"/>
      <c r="E49" s="12" t="s">
        <v>460</v>
      </c>
      <c r="F49" s="45" t="s">
        <v>457</v>
      </c>
      <c r="G49" s="56">
        <f t="shared" si="0"/>
        <v>350000</v>
      </c>
      <c r="H49" s="56">
        <v>350000</v>
      </c>
      <c r="I49" s="56"/>
      <c r="J49" s="56"/>
      <c r="K49" s="86"/>
    </row>
    <row r="50" spans="1:11" ht="162" customHeight="1">
      <c r="A50" s="115"/>
      <c r="B50" s="98"/>
      <c r="C50" s="98"/>
      <c r="D50" s="111"/>
      <c r="E50" s="14" t="s">
        <v>476</v>
      </c>
      <c r="F50" s="45" t="s">
        <v>449</v>
      </c>
      <c r="G50" s="56">
        <f t="shared" si="0"/>
        <v>150000</v>
      </c>
      <c r="H50" s="56">
        <v>150000</v>
      </c>
      <c r="I50" s="56"/>
      <c r="J50" s="56"/>
      <c r="K50" s="86"/>
    </row>
    <row r="51" spans="1:11" ht="88.5">
      <c r="A51" s="117" t="s">
        <v>322</v>
      </c>
      <c r="B51" s="116" t="s">
        <v>323</v>
      </c>
      <c r="C51" s="116" t="s">
        <v>29</v>
      </c>
      <c r="D51" s="108" t="s">
        <v>324</v>
      </c>
      <c r="E51" s="12" t="s">
        <v>385</v>
      </c>
      <c r="F51" s="26" t="s">
        <v>473</v>
      </c>
      <c r="G51" s="56">
        <f t="shared" si="0"/>
        <v>538190</v>
      </c>
      <c r="H51" s="56">
        <f>238190+240008+50000</f>
        <v>528198</v>
      </c>
      <c r="I51" s="56">
        <f>9992</f>
        <v>9992</v>
      </c>
      <c r="J51" s="56">
        <f>9992</f>
        <v>9992</v>
      </c>
      <c r="K51" s="86"/>
    </row>
    <row r="52" spans="1:11" ht="318" customHeight="1">
      <c r="A52" s="117"/>
      <c r="B52" s="116"/>
      <c r="C52" s="116"/>
      <c r="D52" s="108"/>
      <c r="E52" s="12" t="s">
        <v>485</v>
      </c>
      <c r="F52" s="45" t="s">
        <v>457</v>
      </c>
      <c r="G52" s="56">
        <f t="shared" si="0"/>
        <v>511850</v>
      </c>
      <c r="H52" s="56">
        <f>316850+45000</f>
        <v>361850</v>
      </c>
      <c r="I52" s="56">
        <v>150000</v>
      </c>
      <c r="J52" s="56">
        <v>150000</v>
      </c>
      <c r="K52" s="86"/>
    </row>
    <row r="53" spans="1:11" ht="177">
      <c r="A53" s="117"/>
      <c r="B53" s="116"/>
      <c r="C53" s="116"/>
      <c r="D53" s="108"/>
      <c r="E53" s="14" t="s">
        <v>476</v>
      </c>
      <c r="F53" s="45" t="s">
        <v>449</v>
      </c>
      <c r="G53" s="56">
        <f t="shared" si="0"/>
        <v>1317000</v>
      </c>
      <c r="H53" s="56">
        <v>185000</v>
      </c>
      <c r="I53" s="56">
        <f>500000+632000</f>
        <v>1132000</v>
      </c>
      <c r="J53" s="56">
        <f>500000+632000</f>
        <v>1132000</v>
      </c>
      <c r="K53" s="86"/>
    </row>
    <row r="54" spans="1:11" s="2" customFormat="1" ht="101.25" customHeight="1">
      <c r="A54" s="18"/>
      <c r="B54" s="66"/>
      <c r="C54" s="66"/>
      <c r="D54" s="19" t="s">
        <v>155</v>
      </c>
      <c r="E54" s="19"/>
      <c r="F54" s="48"/>
      <c r="G54" s="55">
        <f>SUM(G55+G56+G57+G58+G59+G60+G61+G62+G63+G64+G65+G66+G67+G68+G69+G70+G71+G72+G73+G74+G75+G76+G77+G78+G79+G81+G80)</f>
        <v>942285870.6700001</v>
      </c>
      <c r="H54" s="55">
        <f>SUM(H55+H56+H57+H58+H59+H60+H61+H62+H63+H64+H65+H66+H67+H68+H69+H70+H71+H72+H73+H74+H75+H76+H77+H78+H79+H81+H80)</f>
        <v>852748789.5799999</v>
      </c>
      <c r="I54" s="55">
        <f>SUM(I55+I56+I57+I58+I59+I60+I61+I62+I63+I64+I65+I66+I67+I68+I69+I70+I71+I72+I73+I74+I75+I76+I77+I78+I79+I81+I80)</f>
        <v>89537081.09</v>
      </c>
      <c r="J54" s="55">
        <f>SUM(J55+J56+J57+J58+J59+J60+J61+J62+J63+J64+J65+J66+J67+J68+J69+J70+J71+J72+J73+J74+J75+J76+J77+J78+J79+J81+J80)</f>
        <v>46078242.09</v>
      </c>
      <c r="K54" s="86"/>
    </row>
    <row r="55" spans="1:11" s="2" customFormat="1" ht="134.25" customHeight="1">
      <c r="A55" s="25" t="s">
        <v>156</v>
      </c>
      <c r="B55" s="61" t="s">
        <v>80</v>
      </c>
      <c r="C55" s="61" t="s">
        <v>2</v>
      </c>
      <c r="D55" s="26" t="s">
        <v>81</v>
      </c>
      <c r="E55" s="12" t="s">
        <v>379</v>
      </c>
      <c r="F55" s="45" t="s">
        <v>446</v>
      </c>
      <c r="G55" s="56">
        <f t="shared" si="0"/>
        <v>30000</v>
      </c>
      <c r="H55" s="56">
        <v>30000</v>
      </c>
      <c r="I55" s="56"/>
      <c r="J55" s="56"/>
      <c r="K55" s="86"/>
    </row>
    <row r="56" spans="1:11" ht="133.5" customHeight="1">
      <c r="A56" s="113" t="s">
        <v>157</v>
      </c>
      <c r="B56" s="97" t="s">
        <v>40</v>
      </c>
      <c r="C56" s="97" t="s">
        <v>15</v>
      </c>
      <c r="D56" s="93" t="s">
        <v>97</v>
      </c>
      <c r="E56" s="26" t="s">
        <v>464</v>
      </c>
      <c r="F56" s="26" t="s">
        <v>461</v>
      </c>
      <c r="G56" s="56">
        <f t="shared" si="0"/>
        <v>234223102</v>
      </c>
      <c r="H56" s="56">
        <f>212905915-H57-H58</f>
        <v>211624085</v>
      </c>
      <c r="I56" s="56">
        <v>22599017</v>
      </c>
      <c r="J56" s="56">
        <f>6349706-J57-J58</f>
        <v>6349706</v>
      </c>
      <c r="K56" s="86"/>
    </row>
    <row r="57" spans="1:11" s="52" customFormat="1" ht="105" customHeight="1">
      <c r="A57" s="114"/>
      <c r="B57" s="112"/>
      <c r="C57" s="112"/>
      <c r="D57" s="96"/>
      <c r="E57" s="12" t="s">
        <v>468</v>
      </c>
      <c r="F57" s="12" t="s">
        <v>448</v>
      </c>
      <c r="G57" s="56">
        <f>H57+I57</f>
        <v>22830</v>
      </c>
      <c r="H57" s="56">
        <v>22830</v>
      </c>
      <c r="I57" s="58"/>
      <c r="J57" s="58"/>
      <c r="K57" s="86"/>
    </row>
    <row r="58" spans="1:11" s="52" customFormat="1" ht="144" customHeight="1">
      <c r="A58" s="115"/>
      <c r="B58" s="98"/>
      <c r="C58" s="98"/>
      <c r="D58" s="94"/>
      <c r="E58" s="12" t="s">
        <v>486</v>
      </c>
      <c r="F58" s="12" t="s">
        <v>398</v>
      </c>
      <c r="G58" s="56">
        <f>H58+I58</f>
        <v>1259000</v>
      </c>
      <c r="H58" s="56">
        <v>1259000</v>
      </c>
      <c r="I58" s="58"/>
      <c r="J58" s="58"/>
      <c r="K58" s="86"/>
    </row>
    <row r="59" spans="1:11" s="52" customFormat="1" ht="147" customHeight="1">
      <c r="A59" s="113" t="s">
        <v>158</v>
      </c>
      <c r="B59" s="97" t="s">
        <v>38</v>
      </c>
      <c r="C59" s="97" t="s">
        <v>16</v>
      </c>
      <c r="D59" s="93" t="s">
        <v>98</v>
      </c>
      <c r="E59" s="26" t="s">
        <v>464</v>
      </c>
      <c r="F59" s="26" t="s">
        <v>461</v>
      </c>
      <c r="G59" s="56">
        <f t="shared" si="0"/>
        <v>503517225.17</v>
      </c>
      <c r="H59" s="56">
        <f>474185493.31-H60-H61-H62</f>
        <v>469796253.31</v>
      </c>
      <c r="I59" s="56">
        <v>33720971.86</v>
      </c>
      <c r="J59" s="56">
        <f>14713949.86-J60-J61-J62</f>
        <v>14713949.86</v>
      </c>
      <c r="K59" s="86"/>
    </row>
    <row r="60" spans="1:11" s="52" customFormat="1" ht="111.75" customHeight="1">
      <c r="A60" s="114"/>
      <c r="B60" s="112"/>
      <c r="C60" s="112"/>
      <c r="D60" s="96"/>
      <c r="E60" s="12" t="s">
        <v>468</v>
      </c>
      <c r="F60" s="12" t="s">
        <v>448</v>
      </c>
      <c r="G60" s="56">
        <f t="shared" si="0"/>
        <v>86810</v>
      </c>
      <c r="H60" s="56">
        <v>86810</v>
      </c>
      <c r="I60" s="58"/>
      <c r="J60" s="58"/>
      <c r="K60" s="86"/>
    </row>
    <row r="61" spans="1:11" s="52" customFormat="1" ht="138.75" customHeight="1">
      <c r="A61" s="114"/>
      <c r="B61" s="112"/>
      <c r="C61" s="112"/>
      <c r="D61" s="96"/>
      <c r="E61" s="12" t="s">
        <v>486</v>
      </c>
      <c r="F61" s="45" t="s">
        <v>398</v>
      </c>
      <c r="G61" s="56">
        <f t="shared" si="0"/>
        <v>3121470</v>
      </c>
      <c r="H61" s="56">
        <v>3121470</v>
      </c>
      <c r="I61" s="58"/>
      <c r="J61" s="58"/>
      <c r="K61" s="86"/>
    </row>
    <row r="62" spans="1:11" s="52" customFormat="1" ht="138.75" customHeight="1">
      <c r="A62" s="114"/>
      <c r="B62" s="112"/>
      <c r="C62" s="112"/>
      <c r="D62" s="96"/>
      <c r="E62" s="12" t="s">
        <v>74</v>
      </c>
      <c r="F62" s="45" t="s">
        <v>393</v>
      </c>
      <c r="G62" s="56">
        <f t="shared" si="0"/>
        <v>1180960</v>
      </c>
      <c r="H62" s="56">
        <v>1180960</v>
      </c>
      <c r="I62" s="58"/>
      <c r="J62" s="58"/>
      <c r="K62" s="86"/>
    </row>
    <row r="63" spans="1:11" ht="108.75" customHeight="1">
      <c r="A63" s="11" t="s">
        <v>405</v>
      </c>
      <c r="B63" s="64" t="s">
        <v>24</v>
      </c>
      <c r="C63" s="64" t="s">
        <v>16</v>
      </c>
      <c r="D63" s="72" t="s">
        <v>406</v>
      </c>
      <c r="E63" s="26" t="s">
        <v>380</v>
      </c>
      <c r="F63" s="26" t="s">
        <v>461</v>
      </c>
      <c r="G63" s="56">
        <f t="shared" si="0"/>
        <v>1038650</v>
      </c>
      <c r="H63" s="56">
        <f>946850+91800</f>
        <v>1038650</v>
      </c>
      <c r="I63" s="56"/>
      <c r="J63" s="56"/>
      <c r="K63" s="86"/>
    </row>
    <row r="64" spans="1:11" ht="279.75" customHeight="1">
      <c r="A64" s="24" t="s">
        <v>159</v>
      </c>
      <c r="B64" s="67" t="s">
        <v>22</v>
      </c>
      <c r="C64" s="61" t="s">
        <v>37</v>
      </c>
      <c r="D64" s="46" t="s">
        <v>99</v>
      </c>
      <c r="E64" s="26" t="s">
        <v>380</v>
      </c>
      <c r="F64" s="26" t="s">
        <v>461</v>
      </c>
      <c r="G64" s="56">
        <f t="shared" si="0"/>
        <v>9215486.49</v>
      </c>
      <c r="H64" s="56">
        <f>8801450+80200+4000+8500+7450+32244+5150+40290</f>
        <v>8979284</v>
      </c>
      <c r="I64" s="56">
        <f>150000+33400+26500+15000+11302.49</f>
        <v>236202.49</v>
      </c>
      <c r="J64" s="56">
        <f>150000+33400+26500+15000+11302.49</f>
        <v>236202.49</v>
      </c>
      <c r="K64" s="86"/>
    </row>
    <row r="65" spans="1:11" ht="168.75" customHeight="1">
      <c r="A65" s="13" t="s">
        <v>160</v>
      </c>
      <c r="B65" s="68" t="s">
        <v>7</v>
      </c>
      <c r="C65" s="64" t="s">
        <v>36</v>
      </c>
      <c r="D65" s="12" t="s">
        <v>100</v>
      </c>
      <c r="E65" s="26" t="s">
        <v>464</v>
      </c>
      <c r="F65" s="26" t="s">
        <v>461</v>
      </c>
      <c r="G65" s="56">
        <f t="shared" si="0"/>
        <v>25446125</v>
      </c>
      <c r="H65" s="56">
        <f>24404580+10000+250882+175223+70000+40000+30000+12306-30000+183134</f>
        <v>25146125</v>
      </c>
      <c r="I65" s="56">
        <v>300000</v>
      </c>
      <c r="J65" s="56">
        <v>300000</v>
      </c>
      <c r="K65" s="86"/>
    </row>
    <row r="66" spans="1:11" ht="104.25" customHeight="1">
      <c r="A66" s="13" t="s">
        <v>401</v>
      </c>
      <c r="B66" s="68" t="s">
        <v>402</v>
      </c>
      <c r="C66" s="64" t="s">
        <v>403</v>
      </c>
      <c r="D66" s="12" t="s">
        <v>404</v>
      </c>
      <c r="E66" s="26" t="s">
        <v>380</v>
      </c>
      <c r="F66" s="26" t="s">
        <v>461</v>
      </c>
      <c r="G66" s="56">
        <f>H66+I66</f>
        <v>118303939.23000002</v>
      </c>
      <c r="H66" s="56">
        <f>103006500+220000+1801100+401940+40000+148325+35398.04+2500+27616.23+93321</f>
        <v>105776700.27000001</v>
      </c>
      <c r="I66" s="56">
        <f>7717506+3528000+288000+494060+535071-35398.04</f>
        <v>12527238.96</v>
      </c>
      <c r="J66" s="56">
        <f>3528000+288000+494060+535071-35398.04</f>
        <v>4809732.96</v>
      </c>
      <c r="K66" s="86"/>
    </row>
    <row r="67" spans="1:11" ht="104.25" customHeight="1">
      <c r="A67" s="24" t="s">
        <v>407</v>
      </c>
      <c r="B67" s="67" t="s">
        <v>408</v>
      </c>
      <c r="C67" s="61" t="s">
        <v>17</v>
      </c>
      <c r="D67" s="26" t="s">
        <v>409</v>
      </c>
      <c r="E67" s="26" t="s">
        <v>380</v>
      </c>
      <c r="F67" s="26" t="s">
        <v>461</v>
      </c>
      <c r="G67" s="56">
        <f t="shared" si="0"/>
        <v>2853770</v>
      </c>
      <c r="H67" s="56">
        <f>2838770+8500</f>
        <v>2847270</v>
      </c>
      <c r="I67" s="56">
        <v>6500</v>
      </c>
      <c r="J67" s="56">
        <v>6500</v>
      </c>
      <c r="K67" s="86"/>
    </row>
    <row r="68" spans="1:11" s="3" customFormat="1" ht="114" customHeight="1">
      <c r="A68" s="13" t="s">
        <v>299</v>
      </c>
      <c r="B68" s="68" t="s">
        <v>295</v>
      </c>
      <c r="C68" s="64" t="s">
        <v>17</v>
      </c>
      <c r="D68" s="26" t="s">
        <v>297</v>
      </c>
      <c r="E68" s="26" t="s">
        <v>380</v>
      </c>
      <c r="F68" s="26" t="s">
        <v>461</v>
      </c>
      <c r="G68" s="56">
        <f t="shared" si="0"/>
        <v>8364180</v>
      </c>
      <c r="H68" s="56">
        <f>9685900+44800-1583510+5000+3500+25000+8000-1810+29300</f>
        <v>8216180</v>
      </c>
      <c r="I68" s="56">
        <f>170000+8000-30000</f>
        <v>148000</v>
      </c>
      <c r="J68" s="56">
        <f>170000+8000-30000</f>
        <v>148000</v>
      </c>
      <c r="K68" s="86"/>
    </row>
    <row r="69" spans="1:11" s="3" customFormat="1" ht="111" customHeight="1">
      <c r="A69" s="13" t="s">
        <v>300</v>
      </c>
      <c r="B69" s="68" t="s">
        <v>296</v>
      </c>
      <c r="C69" s="64" t="s">
        <v>17</v>
      </c>
      <c r="D69" s="12" t="s">
        <v>298</v>
      </c>
      <c r="E69" s="26" t="s">
        <v>380</v>
      </c>
      <c r="F69" s="26" t="s">
        <v>461</v>
      </c>
      <c r="G69" s="56">
        <f t="shared" si="0"/>
        <v>90400</v>
      </c>
      <c r="H69" s="56">
        <v>90400</v>
      </c>
      <c r="I69" s="56"/>
      <c r="J69" s="56"/>
      <c r="K69" s="86"/>
    </row>
    <row r="70" spans="1:11" s="3" customFormat="1" ht="108" customHeight="1">
      <c r="A70" s="24" t="s">
        <v>436</v>
      </c>
      <c r="B70" s="67" t="s">
        <v>437</v>
      </c>
      <c r="C70" s="61" t="s">
        <v>17</v>
      </c>
      <c r="D70" s="26" t="s">
        <v>438</v>
      </c>
      <c r="E70" s="26" t="s">
        <v>380</v>
      </c>
      <c r="F70" s="26" t="s">
        <v>461</v>
      </c>
      <c r="G70" s="56">
        <f t="shared" si="0"/>
        <v>1481420</v>
      </c>
      <c r="H70" s="56">
        <f>1583510-40290-91800</f>
        <v>1451420</v>
      </c>
      <c r="I70" s="56">
        <v>30000</v>
      </c>
      <c r="J70" s="56">
        <v>30000</v>
      </c>
      <c r="K70" s="86"/>
    </row>
    <row r="71" spans="1:11" ht="94.5" customHeight="1">
      <c r="A71" s="99" t="s">
        <v>161</v>
      </c>
      <c r="B71" s="102" t="s">
        <v>42</v>
      </c>
      <c r="C71" s="97" t="s">
        <v>8</v>
      </c>
      <c r="D71" s="93" t="s">
        <v>46</v>
      </c>
      <c r="E71" s="12" t="s">
        <v>383</v>
      </c>
      <c r="F71" s="45" t="s">
        <v>463</v>
      </c>
      <c r="G71" s="56">
        <f t="shared" si="0"/>
        <v>3560420</v>
      </c>
      <c r="H71" s="56">
        <f>3746800-196780+10400</f>
        <v>3560420</v>
      </c>
      <c r="I71" s="56"/>
      <c r="J71" s="56"/>
      <c r="K71" s="86"/>
    </row>
    <row r="72" spans="1:11" ht="121.5" customHeight="1">
      <c r="A72" s="100"/>
      <c r="B72" s="107"/>
      <c r="C72" s="112"/>
      <c r="D72" s="96"/>
      <c r="E72" s="12" t="s">
        <v>468</v>
      </c>
      <c r="F72" s="45" t="s">
        <v>448</v>
      </c>
      <c r="G72" s="56">
        <f t="shared" si="0"/>
        <v>67130</v>
      </c>
      <c r="H72" s="56">
        <f>97600+900-31370</f>
        <v>67130</v>
      </c>
      <c r="I72" s="56"/>
      <c r="J72" s="56"/>
      <c r="K72" s="86"/>
    </row>
    <row r="73" spans="1:11" ht="142.5" customHeight="1">
      <c r="A73" s="101"/>
      <c r="B73" s="103"/>
      <c r="C73" s="98"/>
      <c r="D73" s="94"/>
      <c r="E73" s="12" t="s">
        <v>486</v>
      </c>
      <c r="F73" s="45" t="s">
        <v>398</v>
      </c>
      <c r="G73" s="56">
        <f t="shared" si="0"/>
        <v>3064630</v>
      </c>
      <c r="H73" s="56">
        <f>3456600-900-54512-326158-10400</f>
        <v>3064630</v>
      </c>
      <c r="I73" s="56"/>
      <c r="J73" s="56"/>
      <c r="K73" s="86"/>
    </row>
    <row r="74" spans="1:11" ht="142.5" customHeight="1">
      <c r="A74" s="54" t="s">
        <v>427</v>
      </c>
      <c r="B74" s="69" t="s">
        <v>273</v>
      </c>
      <c r="C74" s="62" t="s">
        <v>7</v>
      </c>
      <c r="D74" s="53" t="s">
        <v>274</v>
      </c>
      <c r="E74" s="12" t="s">
        <v>75</v>
      </c>
      <c r="F74" s="45" t="s">
        <v>471</v>
      </c>
      <c r="G74" s="56">
        <f t="shared" si="0"/>
        <v>57920</v>
      </c>
      <c r="H74" s="56">
        <f>56110+1810</f>
        <v>57920</v>
      </c>
      <c r="I74" s="56"/>
      <c r="J74" s="56"/>
      <c r="K74" s="86"/>
    </row>
    <row r="75" spans="1:11" s="3" customFormat="1" ht="147" customHeight="1">
      <c r="A75" s="11" t="s">
        <v>162</v>
      </c>
      <c r="B75" s="64" t="s">
        <v>69</v>
      </c>
      <c r="C75" s="64" t="s">
        <v>11</v>
      </c>
      <c r="D75" s="12" t="s">
        <v>48</v>
      </c>
      <c r="E75" s="12" t="s">
        <v>388</v>
      </c>
      <c r="F75" s="45" t="s">
        <v>472</v>
      </c>
      <c r="G75" s="56">
        <f t="shared" si="0"/>
        <v>4908100</v>
      </c>
      <c r="H75" s="56">
        <f>4846100+12000</f>
        <v>4858100</v>
      </c>
      <c r="I75" s="56">
        <v>50000</v>
      </c>
      <c r="J75" s="56">
        <v>50000</v>
      </c>
      <c r="K75" s="86"/>
    </row>
    <row r="76" spans="1:11" s="3" customFormat="1" ht="88.5">
      <c r="A76" s="113" t="s">
        <v>326</v>
      </c>
      <c r="B76" s="97" t="s">
        <v>327</v>
      </c>
      <c r="C76" s="97" t="s">
        <v>5</v>
      </c>
      <c r="D76" s="93" t="s">
        <v>328</v>
      </c>
      <c r="E76" s="26" t="s">
        <v>380</v>
      </c>
      <c r="F76" s="26" t="s">
        <v>461</v>
      </c>
      <c r="G76" s="56">
        <f t="shared" si="0"/>
        <v>3795785.37</v>
      </c>
      <c r="H76" s="56"/>
      <c r="I76" s="56">
        <f>3795785.37</f>
        <v>3795785.37</v>
      </c>
      <c r="J76" s="56">
        <v>3795785.37</v>
      </c>
      <c r="K76" s="86"/>
    </row>
    <row r="77" spans="1:11" s="3" customFormat="1" ht="105.75" customHeight="1">
      <c r="A77" s="115"/>
      <c r="B77" s="98"/>
      <c r="C77" s="98"/>
      <c r="D77" s="94"/>
      <c r="E77" s="12" t="s">
        <v>466</v>
      </c>
      <c r="F77" s="45" t="s">
        <v>396</v>
      </c>
      <c r="G77" s="56">
        <f>H77+I77</f>
        <v>10326651.06</v>
      </c>
      <c r="H77" s="56"/>
      <c r="I77" s="56">
        <v>10326651.06</v>
      </c>
      <c r="J77" s="56">
        <v>10326651.06</v>
      </c>
      <c r="K77" s="86"/>
    </row>
    <row r="78" spans="1:11" s="17" customFormat="1" ht="138" customHeight="1">
      <c r="A78" s="11" t="s">
        <v>163</v>
      </c>
      <c r="B78" s="64" t="s">
        <v>96</v>
      </c>
      <c r="C78" s="64" t="s">
        <v>28</v>
      </c>
      <c r="D78" s="12" t="s">
        <v>57</v>
      </c>
      <c r="E78" s="12" t="s">
        <v>466</v>
      </c>
      <c r="F78" s="45" t="s">
        <v>396</v>
      </c>
      <c r="G78" s="56">
        <f>H78+I78</f>
        <v>4878714.35</v>
      </c>
      <c r="H78" s="56">
        <v>427000</v>
      </c>
      <c r="I78" s="56">
        <f>4451714.35</f>
        <v>4451714.35</v>
      </c>
      <c r="J78" s="56">
        <f>4451714.35</f>
        <v>4451714.35</v>
      </c>
      <c r="K78" s="86"/>
    </row>
    <row r="79" spans="1:11" ht="132.75">
      <c r="A79" s="13" t="s">
        <v>164</v>
      </c>
      <c r="B79" s="68" t="s">
        <v>89</v>
      </c>
      <c r="C79" s="64" t="s">
        <v>13</v>
      </c>
      <c r="D79" s="12" t="s">
        <v>90</v>
      </c>
      <c r="E79" s="14" t="s">
        <v>387</v>
      </c>
      <c r="F79" s="26" t="s">
        <v>447</v>
      </c>
      <c r="G79" s="56">
        <f>H79+I79</f>
        <v>485000</v>
      </c>
      <c r="H79" s="56"/>
      <c r="I79" s="56">
        <v>485000</v>
      </c>
      <c r="J79" s="56"/>
      <c r="K79" s="86"/>
    </row>
    <row r="80" spans="1:11" ht="88.5">
      <c r="A80" s="24" t="s">
        <v>494</v>
      </c>
      <c r="B80" s="67">
        <v>9770</v>
      </c>
      <c r="C80" s="25" t="s">
        <v>29</v>
      </c>
      <c r="D80" s="26" t="s">
        <v>88</v>
      </c>
      <c r="E80" s="26" t="s">
        <v>380</v>
      </c>
      <c r="F80" s="26" t="s">
        <v>461</v>
      </c>
      <c r="G80" s="56">
        <f>H80+I80</f>
        <v>860000</v>
      </c>
      <c r="H80" s="56"/>
      <c r="I80" s="56">
        <v>860000</v>
      </c>
      <c r="J80" s="56">
        <v>860000</v>
      </c>
      <c r="K80" s="86"/>
    </row>
    <row r="81" spans="1:11" ht="198.75" customHeight="1">
      <c r="A81" s="25" t="s">
        <v>325</v>
      </c>
      <c r="B81" s="61" t="s">
        <v>323</v>
      </c>
      <c r="C81" s="61" t="s">
        <v>29</v>
      </c>
      <c r="D81" s="39" t="s">
        <v>324</v>
      </c>
      <c r="E81" s="12" t="s">
        <v>486</v>
      </c>
      <c r="F81" s="45" t="s">
        <v>398</v>
      </c>
      <c r="G81" s="56">
        <f aca="true" t="shared" si="1" ref="G81:G106">H81+I81</f>
        <v>46152</v>
      </c>
      <c r="H81" s="56">
        <v>46152</v>
      </c>
      <c r="I81" s="56"/>
      <c r="J81" s="56"/>
      <c r="K81" s="86"/>
    </row>
    <row r="82" spans="1:11" s="2" customFormat="1" ht="97.5" customHeight="1">
      <c r="A82" s="18"/>
      <c r="B82" s="66"/>
      <c r="C82" s="66"/>
      <c r="D82" s="19" t="s">
        <v>165</v>
      </c>
      <c r="E82" s="19"/>
      <c r="F82" s="19"/>
      <c r="G82" s="55">
        <f>H82+I82</f>
        <v>392291214.62</v>
      </c>
      <c r="H82" s="55">
        <f>SUM(H83+H84+H88+H90+H93+H96+H97+H98+H100+H102+H103+H104+H106+H86+H89+H91+H101)</f>
        <v>345896993.74</v>
      </c>
      <c r="I82" s="55">
        <f>SUM(I83+I84+I88+I90+I93+I96+I97+I98+I100+I102+I103+I104+I106+I86+I89+I91+I101)</f>
        <v>46394220.879999995</v>
      </c>
      <c r="J82" s="55">
        <f>SUM(J83+J84+J88+J90+J93+J96+J97+J98+J100+J102+J103+J104+J106+J86+J89+J91+J101)</f>
        <v>36801567.3</v>
      </c>
      <c r="K82" s="86"/>
    </row>
    <row r="83" spans="1:11" ht="144.75" customHeight="1">
      <c r="A83" s="11" t="s">
        <v>166</v>
      </c>
      <c r="B83" s="64" t="s">
        <v>80</v>
      </c>
      <c r="C83" s="64" t="s">
        <v>2</v>
      </c>
      <c r="D83" s="26" t="s">
        <v>81</v>
      </c>
      <c r="E83" s="12" t="s">
        <v>379</v>
      </c>
      <c r="F83" s="45" t="s">
        <v>446</v>
      </c>
      <c r="G83" s="56">
        <f>H83+I83</f>
        <v>5000</v>
      </c>
      <c r="H83" s="56">
        <v>5000</v>
      </c>
      <c r="I83" s="56"/>
      <c r="J83" s="56"/>
      <c r="K83" s="86"/>
    </row>
    <row r="84" spans="1:11" ht="123.75" customHeight="1">
      <c r="A84" s="118" t="s">
        <v>167</v>
      </c>
      <c r="B84" s="119" t="s">
        <v>41</v>
      </c>
      <c r="C84" s="116" t="s">
        <v>20</v>
      </c>
      <c r="D84" s="95" t="s">
        <v>52</v>
      </c>
      <c r="E84" s="14" t="s">
        <v>492</v>
      </c>
      <c r="F84" s="26" t="s">
        <v>459</v>
      </c>
      <c r="G84" s="56">
        <f>H84+I84</f>
        <v>283152619.96000004</v>
      </c>
      <c r="H84" s="56">
        <f>270066168.66-H86</f>
        <v>269934608.66</v>
      </c>
      <c r="I84" s="56">
        <f>13218011.3-I86</f>
        <v>13218011.3</v>
      </c>
      <c r="J84" s="56">
        <f>13218011.3-J86</f>
        <v>13218011.3</v>
      </c>
      <c r="K84" s="86"/>
    </row>
    <row r="85" spans="1:11" ht="165.75" customHeight="1" hidden="1">
      <c r="A85" s="118"/>
      <c r="B85" s="119"/>
      <c r="C85" s="116"/>
      <c r="D85" s="95"/>
      <c r="E85" s="12" t="s">
        <v>74</v>
      </c>
      <c r="F85" s="45" t="s">
        <v>393</v>
      </c>
      <c r="G85" s="56">
        <f t="shared" si="1"/>
        <v>0</v>
      </c>
      <c r="H85" s="56"/>
      <c r="I85" s="56"/>
      <c r="J85" s="56"/>
      <c r="K85" s="86"/>
    </row>
    <row r="86" spans="1:11" s="52" customFormat="1" ht="141.75" customHeight="1">
      <c r="A86" s="118"/>
      <c r="B86" s="119"/>
      <c r="C86" s="116"/>
      <c r="D86" s="95"/>
      <c r="E86" s="12" t="s">
        <v>486</v>
      </c>
      <c r="F86" s="45" t="s">
        <v>398</v>
      </c>
      <c r="G86" s="56">
        <f t="shared" si="1"/>
        <v>131560</v>
      </c>
      <c r="H86" s="56">
        <v>131560</v>
      </c>
      <c r="I86" s="58"/>
      <c r="J86" s="58"/>
      <c r="K86" s="86"/>
    </row>
    <row r="87" spans="1:11" s="52" customFormat="1" ht="153.75" customHeight="1" hidden="1">
      <c r="A87" s="99" t="s">
        <v>168</v>
      </c>
      <c r="B87" s="102" t="s">
        <v>410</v>
      </c>
      <c r="C87" s="97" t="s">
        <v>411</v>
      </c>
      <c r="D87" s="93" t="s">
        <v>91</v>
      </c>
      <c r="E87" s="50"/>
      <c r="F87" s="51"/>
      <c r="G87" s="58"/>
      <c r="H87" s="58"/>
      <c r="I87" s="58"/>
      <c r="J87" s="58"/>
      <c r="K87" s="86"/>
    </row>
    <row r="88" spans="1:11" ht="132.75" customHeight="1">
      <c r="A88" s="100"/>
      <c r="B88" s="107"/>
      <c r="C88" s="112"/>
      <c r="D88" s="96"/>
      <c r="E88" s="14" t="s">
        <v>492</v>
      </c>
      <c r="F88" s="26" t="s">
        <v>459</v>
      </c>
      <c r="G88" s="56">
        <f>H88+I88</f>
        <v>38140799</v>
      </c>
      <c r="H88" s="56">
        <f>37835381-H89</f>
        <v>37824291</v>
      </c>
      <c r="I88" s="56">
        <f>316508-I89</f>
        <v>316508</v>
      </c>
      <c r="J88" s="56">
        <f>316508-J89</f>
        <v>316508</v>
      </c>
      <c r="K88" s="86"/>
    </row>
    <row r="89" spans="1:11" ht="153.75" customHeight="1">
      <c r="A89" s="101"/>
      <c r="B89" s="103"/>
      <c r="C89" s="98"/>
      <c r="D89" s="94"/>
      <c r="E89" s="12" t="s">
        <v>486</v>
      </c>
      <c r="F89" s="45" t="s">
        <v>453</v>
      </c>
      <c r="G89" s="56">
        <f>H89+I89</f>
        <v>11090</v>
      </c>
      <c r="H89" s="56">
        <v>11090</v>
      </c>
      <c r="I89" s="56"/>
      <c r="J89" s="56"/>
      <c r="K89" s="86"/>
    </row>
    <row r="90" spans="1:11" ht="156.75" customHeight="1">
      <c r="A90" s="99" t="s">
        <v>169</v>
      </c>
      <c r="B90" s="102" t="s">
        <v>92</v>
      </c>
      <c r="C90" s="97" t="s">
        <v>21</v>
      </c>
      <c r="D90" s="93" t="s">
        <v>93</v>
      </c>
      <c r="E90" s="14" t="s">
        <v>492</v>
      </c>
      <c r="F90" s="26" t="s">
        <v>459</v>
      </c>
      <c r="G90" s="56">
        <f>H90+I90</f>
        <v>6672457</v>
      </c>
      <c r="H90" s="56">
        <f>6293457-H91</f>
        <v>6262457</v>
      </c>
      <c r="I90" s="56">
        <f>410000-I91</f>
        <v>410000</v>
      </c>
      <c r="J90" s="56">
        <f>410000-J91</f>
        <v>410000</v>
      </c>
      <c r="K90" s="86"/>
    </row>
    <row r="91" spans="1:11" s="52" customFormat="1" ht="135.75" customHeight="1">
      <c r="A91" s="101"/>
      <c r="B91" s="103"/>
      <c r="C91" s="98"/>
      <c r="D91" s="94"/>
      <c r="E91" s="12" t="s">
        <v>486</v>
      </c>
      <c r="F91" s="45" t="s">
        <v>453</v>
      </c>
      <c r="G91" s="56">
        <f t="shared" si="1"/>
        <v>31000</v>
      </c>
      <c r="H91" s="56">
        <f>9000+22000</f>
        <v>31000</v>
      </c>
      <c r="I91" s="58"/>
      <c r="J91" s="58"/>
      <c r="K91" s="86"/>
    </row>
    <row r="92" spans="1:11" s="3" customFormat="1" ht="159.75" customHeight="1" hidden="1">
      <c r="A92" s="99" t="s">
        <v>170</v>
      </c>
      <c r="B92" s="102" t="s">
        <v>94</v>
      </c>
      <c r="C92" s="97" t="s">
        <v>307</v>
      </c>
      <c r="D92" s="93" t="s">
        <v>95</v>
      </c>
      <c r="E92" s="12"/>
      <c r="F92" s="45"/>
      <c r="G92" s="56">
        <f t="shared" si="1"/>
        <v>0</v>
      </c>
      <c r="H92" s="56"/>
      <c r="I92" s="56"/>
      <c r="J92" s="56"/>
      <c r="K92" s="86"/>
    </row>
    <row r="93" spans="1:11" s="3" customFormat="1" ht="138.75" customHeight="1">
      <c r="A93" s="101"/>
      <c r="B93" s="103"/>
      <c r="C93" s="98"/>
      <c r="D93" s="94"/>
      <c r="E93" s="14" t="s">
        <v>492</v>
      </c>
      <c r="F93" s="26" t="s">
        <v>459</v>
      </c>
      <c r="G93" s="56">
        <f t="shared" si="1"/>
        <v>5362615</v>
      </c>
      <c r="H93" s="56">
        <f>2341800</f>
        <v>2341800</v>
      </c>
      <c r="I93" s="56">
        <f>3020815</f>
        <v>3020815</v>
      </c>
      <c r="J93" s="56">
        <f>3020815</f>
        <v>3020815</v>
      </c>
      <c r="K93" s="86"/>
    </row>
    <row r="94" spans="1:11" s="3" customFormat="1" ht="159.75" customHeight="1" hidden="1">
      <c r="A94" s="99" t="s">
        <v>318</v>
      </c>
      <c r="B94" s="102" t="s">
        <v>319</v>
      </c>
      <c r="C94" s="102" t="s">
        <v>320</v>
      </c>
      <c r="D94" s="104" t="s">
        <v>321</v>
      </c>
      <c r="E94" s="12" t="s">
        <v>78</v>
      </c>
      <c r="F94" s="45"/>
      <c r="G94" s="56">
        <f t="shared" si="1"/>
        <v>0</v>
      </c>
      <c r="H94" s="56"/>
      <c r="I94" s="56"/>
      <c r="J94" s="56"/>
      <c r="K94" s="86"/>
    </row>
    <row r="95" spans="1:11" s="3" customFormat="1" ht="133.5" customHeight="1" hidden="1">
      <c r="A95" s="101"/>
      <c r="B95" s="103"/>
      <c r="C95" s="103"/>
      <c r="D95" s="106"/>
      <c r="E95" s="14" t="s">
        <v>362</v>
      </c>
      <c r="F95" s="47"/>
      <c r="G95" s="56">
        <f t="shared" si="1"/>
        <v>0</v>
      </c>
      <c r="H95" s="56"/>
      <c r="I95" s="56"/>
      <c r="J95" s="56"/>
      <c r="K95" s="86"/>
    </row>
    <row r="96" spans="1:11" s="3" customFormat="1" ht="106.5" customHeight="1">
      <c r="A96" s="13" t="s">
        <v>418</v>
      </c>
      <c r="B96" s="68" t="s">
        <v>419</v>
      </c>
      <c r="C96" s="68" t="s">
        <v>310</v>
      </c>
      <c r="D96" s="12" t="s">
        <v>424</v>
      </c>
      <c r="E96" s="14" t="s">
        <v>492</v>
      </c>
      <c r="F96" s="26" t="s">
        <v>459</v>
      </c>
      <c r="G96" s="56">
        <f t="shared" si="1"/>
        <v>9985500</v>
      </c>
      <c r="H96" s="56">
        <f>9985500</f>
        <v>9985500</v>
      </c>
      <c r="I96" s="56"/>
      <c r="J96" s="56"/>
      <c r="K96" s="86"/>
    </row>
    <row r="97" spans="1:11" s="3" customFormat="1" ht="106.5" customHeight="1">
      <c r="A97" s="13" t="s">
        <v>420</v>
      </c>
      <c r="B97" s="68" t="s">
        <v>421</v>
      </c>
      <c r="C97" s="68" t="s">
        <v>310</v>
      </c>
      <c r="D97" s="12" t="s">
        <v>425</v>
      </c>
      <c r="E97" s="14" t="s">
        <v>492</v>
      </c>
      <c r="F97" s="26" t="s">
        <v>459</v>
      </c>
      <c r="G97" s="56">
        <f t="shared" si="1"/>
        <v>1456300</v>
      </c>
      <c r="H97" s="56">
        <f>1456300</f>
        <v>1456300</v>
      </c>
      <c r="I97" s="56"/>
      <c r="J97" s="56"/>
      <c r="K97" s="86"/>
    </row>
    <row r="98" spans="1:11" s="3" customFormat="1" ht="106.5" customHeight="1">
      <c r="A98" s="13" t="s">
        <v>422</v>
      </c>
      <c r="B98" s="68" t="s">
        <v>423</v>
      </c>
      <c r="C98" s="68" t="s">
        <v>310</v>
      </c>
      <c r="D98" s="12" t="s">
        <v>426</v>
      </c>
      <c r="E98" s="14" t="s">
        <v>492</v>
      </c>
      <c r="F98" s="26" t="s">
        <v>459</v>
      </c>
      <c r="G98" s="56">
        <f t="shared" si="1"/>
        <v>2602469</v>
      </c>
      <c r="H98" s="56">
        <f>2602469</f>
        <v>2602469</v>
      </c>
      <c r="I98" s="56"/>
      <c r="J98" s="56"/>
      <c r="K98" s="86"/>
    </row>
    <row r="99" spans="1:11" s="3" customFormat="1" ht="144.75" customHeight="1" hidden="1">
      <c r="A99" s="99" t="s">
        <v>312</v>
      </c>
      <c r="B99" s="102" t="s">
        <v>309</v>
      </c>
      <c r="C99" s="102" t="s">
        <v>310</v>
      </c>
      <c r="D99" s="104" t="s">
        <v>311</v>
      </c>
      <c r="E99" s="12" t="s">
        <v>78</v>
      </c>
      <c r="F99" s="45"/>
      <c r="G99" s="56">
        <f t="shared" si="1"/>
        <v>0</v>
      </c>
      <c r="H99" s="56"/>
      <c r="I99" s="56"/>
      <c r="J99" s="56"/>
      <c r="K99" s="86"/>
    </row>
    <row r="100" spans="1:11" s="3" customFormat="1" ht="135" customHeight="1">
      <c r="A100" s="100"/>
      <c r="B100" s="107"/>
      <c r="C100" s="107"/>
      <c r="D100" s="105"/>
      <c r="E100" s="14" t="s">
        <v>492</v>
      </c>
      <c r="F100" s="26" t="s">
        <v>459</v>
      </c>
      <c r="G100" s="56">
        <f t="shared" si="1"/>
        <v>17898600</v>
      </c>
      <c r="H100" s="56">
        <f>15286600-H101</f>
        <v>14898600</v>
      </c>
      <c r="I100" s="56">
        <f>3000000-I101</f>
        <v>3000000</v>
      </c>
      <c r="J100" s="56">
        <f>3000000-J101</f>
        <v>3000000</v>
      </c>
      <c r="K100" s="86"/>
    </row>
    <row r="101" spans="1:11" s="52" customFormat="1" ht="141" customHeight="1">
      <c r="A101" s="101"/>
      <c r="B101" s="103"/>
      <c r="C101" s="103"/>
      <c r="D101" s="106"/>
      <c r="E101" s="12" t="s">
        <v>486</v>
      </c>
      <c r="F101" s="45" t="s">
        <v>398</v>
      </c>
      <c r="G101" s="56">
        <f t="shared" si="1"/>
        <v>388000</v>
      </c>
      <c r="H101" s="56">
        <f>200000+88000+100000</f>
        <v>388000</v>
      </c>
      <c r="I101" s="58"/>
      <c r="J101" s="58"/>
      <c r="K101" s="86"/>
    </row>
    <row r="102" spans="1:11" s="3" customFormat="1" ht="156" customHeight="1">
      <c r="A102" s="11" t="s">
        <v>329</v>
      </c>
      <c r="B102" s="64" t="s">
        <v>327</v>
      </c>
      <c r="C102" s="64" t="s">
        <v>5</v>
      </c>
      <c r="D102" s="12" t="s">
        <v>328</v>
      </c>
      <c r="E102" s="14" t="s">
        <v>492</v>
      </c>
      <c r="F102" s="26" t="s">
        <v>459</v>
      </c>
      <c r="G102" s="56">
        <f t="shared" si="1"/>
        <v>4819135</v>
      </c>
      <c r="H102" s="56"/>
      <c r="I102" s="56">
        <f>4819135</f>
        <v>4819135</v>
      </c>
      <c r="J102" s="56">
        <f>4819135</f>
        <v>4819135</v>
      </c>
      <c r="K102" s="86"/>
    </row>
    <row r="103" spans="1:11" ht="102.75" customHeight="1">
      <c r="A103" s="11" t="s">
        <v>171</v>
      </c>
      <c r="B103" s="64" t="s">
        <v>96</v>
      </c>
      <c r="C103" s="64" t="s">
        <v>28</v>
      </c>
      <c r="D103" s="12" t="s">
        <v>57</v>
      </c>
      <c r="E103" s="12" t="s">
        <v>466</v>
      </c>
      <c r="F103" s="45" t="s">
        <v>396</v>
      </c>
      <c r="G103" s="56">
        <f t="shared" si="1"/>
        <v>12017098</v>
      </c>
      <c r="H103" s="56"/>
      <c r="I103" s="56">
        <f>12017098</f>
        <v>12017098</v>
      </c>
      <c r="J103" s="56">
        <f>12017098</f>
        <v>12017098</v>
      </c>
      <c r="K103" s="86"/>
    </row>
    <row r="104" spans="1:11" ht="195.75" customHeight="1">
      <c r="A104" s="11" t="s">
        <v>413</v>
      </c>
      <c r="B104" s="64" t="s">
        <v>414</v>
      </c>
      <c r="C104" s="64" t="s">
        <v>14</v>
      </c>
      <c r="D104" s="12" t="s">
        <v>415</v>
      </c>
      <c r="E104" s="12" t="s">
        <v>466</v>
      </c>
      <c r="F104" s="45" t="s">
        <v>396</v>
      </c>
      <c r="G104" s="56">
        <f t="shared" si="1"/>
        <v>9592653.58</v>
      </c>
      <c r="H104" s="56"/>
      <c r="I104" s="56">
        <f>9592653.58</f>
        <v>9592653.58</v>
      </c>
      <c r="J104" s="56"/>
      <c r="K104" s="86"/>
    </row>
    <row r="105" spans="1:11" ht="132.75" customHeight="1" hidden="1">
      <c r="A105" s="11" t="s">
        <v>361</v>
      </c>
      <c r="B105" s="64" t="s">
        <v>89</v>
      </c>
      <c r="C105" s="64" t="s">
        <v>13</v>
      </c>
      <c r="D105" s="12" t="s">
        <v>90</v>
      </c>
      <c r="E105" s="14" t="s">
        <v>387</v>
      </c>
      <c r="F105" s="26" t="s">
        <v>416</v>
      </c>
      <c r="G105" s="56">
        <f t="shared" si="1"/>
        <v>0</v>
      </c>
      <c r="H105" s="59"/>
      <c r="I105" s="59"/>
      <c r="J105" s="56"/>
      <c r="K105" s="86"/>
    </row>
    <row r="106" spans="1:11" ht="162" customHeight="1">
      <c r="A106" s="11" t="s">
        <v>354</v>
      </c>
      <c r="B106" s="64" t="s">
        <v>87</v>
      </c>
      <c r="C106" s="64" t="s">
        <v>355</v>
      </c>
      <c r="D106" s="73" t="s">
        <v>88</v>
      </c>
      <c r="E106" s="14" t="s">
        <v>476</v>
      </c>
      <c r="F106" s="45" t="s">
        <v>449</v>
      </c>
      <c r="G106" s="56">
        <f t="shared" si="1"/>
        <v>24318.08</v>
      </c>
      <c r="H106" s="56">
        <f>24318.08</f>
        <v>24318.08</v>
      </c>
      <c r="I106" s="56"/>
      <c r="J106" s="56"/>
      <c r="K106" s="86"/>
    </row>
    <row r="107" spans="1:11" s="2" customFormat="1" ht="114" customHeight="1">
      <c r="A107" s="18"/>
      <c r="B107" s="66"/>
      <c r="C107" s="66"/>
      <c r="D107" s="19" t="s">
        <v>172</v>
      </c>
      <c r="E107" s="19"/>
      <c r="F107" s="48"/>
      <c r="G107" s="55">
        <f>SUM(G108+G109+G110+G111+G113+G114+G115+G116+G117+G118+G119+G120+G121+G122+G123+G124+G125+G126+G127+G112)</f>
        <v>110905195</v>
      </c>
      <c r="H107" s="55">
        <f>SUM(H108+H109+H110+H111+H113+H114+H115+H116+H117+H118+H119+H120+H121+H122+H123+H124+H125+H126+H127+H112)</f>
        <v>110743406</v>
      </c>
      <c r="I107" s="55">
        <f>SUM(I108+I109+I110+I111+I113+I114+I115+I116+I117+I118+I119+I120+I121+I122+I123+I124+I125+I126+I127+I112)</f>
        <v>161789</v>
      </c>
      <c r="J107" s="55">
        <f>SUM(J108+J109+J110+J111+J113+J114+J115+J116+J117+J118+J119+J120+J121+J122+J123+J124+J125+J126+J127+J112)</f>
        <v>161789</v>
      </c>
      <c r="K107" s="86"/>
    </row>
    <row r="108" spans="1:11" ht="143.25" customHeight="1">
      <c r="A108" s="25" t="s">
        <v>173</v>
      </c>
      <c r="B108" s="61" t="s">
        <v>80</v>
      </c>
      <c r="C108" s="61" t="s">
        <v>2</v>
      </c>
      <c r="D108" s="26" t="s">
        <v>81</v>
      </c>
      <c r="E108" s="12" t="s">
        <v>379</v>
      </c>
      <c r="F108" s="45" t="s">
        <v>446</v>
      </c>
      <c r="G108" s="56">
        <f aca="true" t="shared" si="2" ref="G108:G127">H108+I108</f>
        <v>50000</v>
      </c>
      <c r="H108" s="56">
        <v>50000</v>
      </c>
      <c r="I108" s="56"/>
      <c r="J108" s="56"/>
      <c r="K108" s="86"/>
    </row>
    <row r="109" spans="1:11" s="40" customFormat="1" ht="115.5" customHeight="1">
      <c r="A109" s="25" t="s">
        <v>174</v>
      </c>
      <c r="B109" s="61" t="s">
        <v>43</v>
      </c>
      <c r="C109" s="70">
        <v>1030</v>
      </c>
      <c r="D109" s="26" t="s">
        <v>114</v>
      </c>
      <c r="E109" s="12" t="s">
        <v>468</v>
      </c>
      <c r="F109" s="45" t="s">
        <v>448</v>
      </c>
      <c r="G109" s="56">
        <f t="shared" si="2"/>
        <v>563976</v>
      </c>
      <c r="H109" s="57">
        <f>510136+53840</f>
        <v>563976</v>
      </c>
      <c r="I109" s="57">
        <f>232600-190600-42000</f>
        <v>0</v>
      </c>
      <c r="J109" s="57">
        <f>232600-190600-42000</f>
        <v>0</v>
      </c>
      <c r="K109" s="86"/>
    </row>
    <row r="110" spans="1:11" s="3" customFormat="1" ht="102.75" customHeight="1">
      <c r="A110" s="11" t="s">
        <v>175</v>
      </c>
      <c r="B110" s="64" t="s">
        <v>115</v>
      </c>
      <c r="C110" s="64">
        <v>1070</v>
      </c>
      <c r="D110" s="12" t="s">
        <v>53</v>
      </c>
      <c r="E110" s="12" t="s">
        <v>468</v>
      </c>
      <c r="F110" s="45" t="s">
        <v>448</v>
      </c>
      <c r="G110" s="56">
        <f t="shared" si="2"/>
        <v>1342557</v>
      </c>
      <c r="H110" s="57">
        <f>1436397-53840-40000</f>
        <v>1342557</v>
      </c>
      <c r="I110" s="57"/>
      <c r="J110" s="57"/>
      <c r="K110" s="86"/>
    </row>
    <row r="111" spans="1:11" s="3" customFormat="1" ht="147.75" customHeight="1">
      <c r="A111" s="11" t="s">
        <v>176</v>
      </c>
      <c r="B111" s="64" t="s">
        <v>44</v>
      </c>
      <c r="C111" s="64" t="s">
        <v>22</v>
      </c>
      <c r="D111" s="12" t="s">
        <v>39</v>
      </c>
      <c r="E111" s="12" t="s">
        <v>468</v>
      </c>
      <c r="F111" s="45" t="s">
        <v>448</v>
      </c>
      <c r="G111" s="56">
        <f t="shared" si="2"/>
        <v>22566202</v>
      </c>
      <c r="H111" s="56">
        <f>10000000+1000000+1115300+952460+1275150+1568000+2000000+2100000+3200000-644708</f>
        <v>22566202</v>
      </c>
      <c r="I111" s="56"/>
      <c r="J111" s="56"/>
      <c r="K111" s="86"/>
    </row>
    <row r="112" spans="1:11" s="3" customFormat="1" ht="132.75">
      <c r="A112" s="11" t="s">
        <v>177</v>
      </c>
      <c r="B112" s="64" t="s">
        <v>63</v>
      </c>
      <c r="C112" s="64" t="s">
        <v>22</v>
      </c>
      <c r="D112" s="12" t="s">
        <v>76</v>
      </c>
      <c r="E112" s="12" t="s">
        <v>468</v>
      </c>
      <c r="F112" s="45" t="s">
        <v>448</v>
      </c>
      <c r="G112" s="56">
        <f t="shared" si="2"/>
        <v>2000000</v>
      </c>
      <c r="H112" s="56">
        <f>1000000+400000+600000</f>
        <v>2000000</v>
      </c>
      <c r="I112" s="56"/>
      <c r="J112" s="56"/>
      <c r="K112" s="86"/>
    </row>
    <row r="113" spans="1:11" s="3" customFormat="1" ht="132.75">
      <c r="A113" s="11" t="s">
        <v>178</v>
      </c>
      <c r="B113" s="64" t="s">
        <v>82</v>
      </c>
      <c r="C113" s="64" t="s">
        <v>22</v>
      </c>
      <c r="D113" s="12" t="s">
        <v>25</v>
      </c>
      <c r="E113" s="12" t="s">
        <v>468</v>
      </c>
      <c r="F113" s="45" t="s">
        <v>448</v>
      </c>
      <c r="G113" s="56">
        <f t="shared" si="2"/>
        <v>38888948</v>
      </c>
      <c r="H113" s="56">
        <f>20255150+1500000+1884700+1047540+1724850+2432000+2000000+2900000+4500000+644708</f>
        <v>38888948</v>
      </c>
      <c r="I113" s="56"/>
      <c r="J113" s="56"/>
      <c r="K113" s="86"/>
    </row>
    <row r="114" spans="1:11" s="3" customFormat="1" ht="210.75" customHeight="1">
      <c r="A114" s="11" t="s">
        <v>179</v>
      </c>
      <c r="B114" s="64" t="s">
        <v>45</v>
      </c>
      <c r="C114" s="64" t="s">
        <v>38</v>
      </c>
      <c r="D114" s="12" t="s">
        <v>55</v>
      </c>
      <c r="E114" s="12" t="s">
        <v>468</v>
      </c>
      <c r="F114" s="45" t="s">
        <v>448</v>
      </c>
      <c r="G114" s="56">
        <f t="shared" si="2"/>
        <v>305300</v>
      </c>
      <c r="H114" s="56">
        <f>254600+50700</f>
        <v>305300</v>
      </c>
      <c r="I114" s="56"/>
      <c r="J114" s="56"/>
      <c r="K114" s="86"/>
    </row>
    <row r="115" spans="1:11" s="3" customFormat="1" ht="285" customHeight="1">
      <c r="A115" s="25" t="s">
        <v>377</v>
      </c>
      <c r="B115" s="61" t="s">
        <v>391</v>
      </c>
      <c r="C115" s="61" t="s">
        <v>40</v>
      </c>
      <c r="D115" s="26" t="s">
        <v>390</v>
      </c>
      <c r="E115" s="12" t="s">
        <v>468</v>
      </c>
      <c r="F115" s="45" t="s">
        <v>448</v>
      </c>
      <c r="G115" s="56">
        <f t="shared" si="2"/>
        <v>1743118</v>
      </c>
      <c r="H115" s="56">
        <f>1812956-69838</f>
        <v>1743118</v>
      </c>
      <c r="I115" s="56"/>
      <c r="J115" s="56"/>
      <c r="K115" s="86"/>
    </row>
    <row r="116" spans="1:11" ht="130.5" customHeight="1">
      <c r="A116" s="113" t="s">
        <v>180</v>
      </c>
      <c r="B116" s="97" t="s">
        <v>116</v>
      </c>
      <c r="C116" s="97" t="s">
        <v>4</v>
      </c>
      <c r="D116" s="93" t="s">
        <v>302</v>
      </c>
      <c r="E116" s="12" t="s">
        <v>468</v>
      </c>
      <c r="F116" s="45" t="s">
        <v>448</v>
      </c>
      <c r="G116" s="56">
        <f t="shared" si="2"/>
        <v>1704214</v>
      </c>
      <c r="H116" s="56">
        <f>1716099+1115-13000</f>
        <v>1704214</v>
      </c>
      <c r="I116" s="56"/>
      <c r="J116" s="56"/>
      <c r="K116" s="86"/>
    </row>
    <row r="117" spans="1:11" ht="142.5" customHeight="1">
      <c r="A117" s="115"/>
      <c r="B117" s="98"/>
      <c r="C117" s="98"/>
      <c r="D117" s="94"/>
      <c r="E117" s="12" t="s">
        <v>470</v>
      </c>
      <c r="F117" s="45" t="s">
        <v>398</v>
      </c>
      <c r="G117" s="56">
        <f t="shared" si="2"/>
        <v>162376</v>
      </c>
      <c r="H117" s="56">
        <f>150000+20200-7824</f>
        <v>162376</v>
      </c>
      <c r="I117" s="56"/>
      <c r="J117" s="56"/>
      <c r="K117" s="86"/>
    </row>
    <row r="118" spans="1:11" s="3" customFormat="1" ht="109.5" customHeight="1">
      <c r="A118" s="113" t="s">
        <v>282</v>
      </c>
      <c r="B118" s="97" t="s">
        <v>308</v>
      </c>
      <c r="C118" s="97" t="s">
        <v>24</v>
      </c>
      <c r="D118" s="93" t="s">
        <v>23</v>
      </c>
      <c r="E118" s="12" t="s">
        <v>468</v>
      </c>
      <c r="F118" s="45" t="s">
        <v>448</v>
      </c>
      <c r="G118" s="56">
        <f t="shared" si="2"/>
        <v>991969</v>
      </c>
      <c r="H118" s="56">
        <f>1123242+101632-78953-30000-58806-52685-12461</f>
        <v>991969</v>
      </c>
      <c r="I118" s="56"/>
      <c r="J118" s="56"/>
      <c r="K118" s="86"/>
    </row>
    <row r="119" spans="1:11" s="3" customFormat="1" ht="151.5" customHeight="1">
      <c r="A119" s="115"/>
      <c r="B119" s="98"/>
      <c r="C119" s="98"/>
      <c r="D119" s="94"/>
      <c r="E119" s="12" t="s">
        <v>486</v>
      </c>
      <c r="F119" s="45" t="s">
        <v>398</v>
      </c>
      <c r="G119" s="56">
        <f t="shared" si="2"/>
        <v>1174088</v>
      </c>
      <c r="H119" s="56">
        <f>1239698+24390-70000-20000</f>
        <v>1174088</v>
      </c>
      <c r="I119" s="56"/>
      <c r="J119" s="56"/>
      <c r="K119" s="86"/>
    </row>
    <row r="120" spans="1:11" s="3" customFormat="1" ht="151.5" customHeight="1">
      <c r="A120" s="11" t="s">
        <v>283</v>
      </c>
      <c r="B120" s="64" t="s">
        <v>285</v>
      </c>
      <c r="C120" s="64" t="s">
        <v>24</v>
      </c>
      <c r="D120" s="12" t="s">
        <v>284</v>
      </c>
      <c r="E120" s="12" t="s">
        <v>468</v>
      </c>
      <c r="F120" s="45" t="s">
        <v>448</v>
      </c>
      <c r="G120" s="56">
        <f t="shared" si="2"/>
        <v>1385920</v>
      </c>
      <c r="H120" s="56">
        <v>1385920</v>
      </c>
      <c r="I120" s="56"/>
      <c r="J120" s="56"/>
      <c r="K120" s="86"/>
    </row>
    <row r="121" spans="1:11" s="16" customFormat="1" ht="148.5" customHeight="1">
      <c r="A121" s="11" t="s">
        <v>181</v>
      </c>
      <c r="B121" s="64" t="s">
        <v>64</v>
      </c>
      <c r="C121" s="64" t="s">
        <v>7</v>
      </c>
      <c r="D121" s="12" t="s">
        <v>117</v>
      </c>
      <c r="E121" s="12" t="s">
        <v>468</v>
      </c>
      <c r="F121" s="45" t="s">
        <v>448</v>
      </c>
      <c r="G121" s="56">
        <f t="shared" si="2"/>
        <v>81525</v>
      </c>
      <c r="H121" s="56">
        <v>81525</v>
      </c>
      <c r="I121" s="56"/>
      <c r="J121" s="56"/>
      <c r="K121" s="86"/>
    </row>
    <row r="122" spans="1:11" s="16" customFormat="1" ht="121.5" customHeight="1">
      <c r="A122" s="11" t="s">
        <v>286</v>
      </c>
      <c r="B122" s="64" t="s">
        <v>287</v>
      </c>
      <c r="C122" s="64" t="s">
        <v>34</v>
      </c>
      <c r="D122" s="12" t="s">
        <v>54</v>
      </c>
      <c r="E122" s="12" t="s">
        <v>378</v>
      </c>
      <c r="F122" s="26" t="s">
        <v>433</v>
      </c>
      <c r="G122" s="56">
        <f t="shared" si="2"/>
        <v>300000</v>
      </c>
      <c r="H122" s="56">
        <v>300000</v>
      </c>
      <c r="I122" s="56"/>
      <c r="J122" s="56"/>
      <c r="K122" s="86"/>
    </row>
    <row r="123" spans="1:11" s="41" customFormat="1" ht="129.75" customHeight="1">
      <c r="A123" s="113" t="s">
        <v>288</v>
      </c>
      <c r="B123" s="102" t="s">
        <v>273</v>
      </c>
      <c r="C123" s="102" t="s">
        <v>7</v>
      </c>
      <c r="D123" s="93" t="s">
        <v>274</v>
      </c>
      <c r="E123" s="12" t="s">
        <v>468</v>
      </c>
      <c r="F123" s="45" t="s">
        <v>448</v>
      </c>
      <c r="G123" s="56">
        <f t="shared" si="2"/>
        <v>12719162</v>
      </c>
      <c r="H123" s="56">
        <f>5816125+123900+102440+78953+1884870+507500+500000+400000+240000+110000+403530+164800+100000+264700+95800+16000+53700+35000+25000+15500+200000+127000-20495+142000+25000+350000+90000+190600+246385+1000+26000+84520+30000+8052+23000+12485-98920+23770+80000+85167+88000+22000+2000+1780</f>
        <v>12677162</v>
      </c>
      <c r="I123" s="56">
        <v>42000</v>
      </c>
      <c r="J123" s="56">
        <v>42000</v>
      </c>
      <c r="K123" s="86"/>
    </row>
    <row r="124" spans="1:11" s="41" customFormat="1" ht="144.75" customHeight="1">
      <c r="A124" s="115"/>
      <c r="B124" s="103"/>
      <c r="C124" s="103"/>
      <c r="D124" s="94"/>
      <c r="E124" s="12" t="s">
        <v>486</v>
      </c>
      <c r="F124" s="45" t="s">
        <v>398</v>
      </c>
      <c r="G124" s="56">
        <f t="shared" si="2"/>
        <v>23992051</v>
      </c>
      <c r="H124" s="56">
        <f>24066946+20495-24390+50754-89872-31882</f>
        <v>23992051</v>
      </c>
      <c r="I124" s="56"/>
      <c r="J124" s="56"/>
      <c r="K124" s="86"/>
    </row>
    <row r="125" spans="1:11" s="16" customFormat="1" ht="162" customHeight="1">
      <c r="A125" s="11" t="s">
        <v>445</v>
      </c>
      <c r="B125" s="64" t="s">
        <v>327</v>
      </c>
      <c r="C125" s="64" t="s">
        <v>5</v>
      </c>
      <c r="D125" s="12" t="s">
        <v>328</v>
      </c>
      <c r="E125" s="14" t="s">
        <v>476</v>
      </c>
      <c r="F125" s="45" t="s">
        <v>449</v>
      </c>
      <c r="G125" s="56">
        <f t="shared" si="2"/>
        <v>119789</v>
      </c>
      <c r="H125" s="56"/>
      <c r="I125" s="56">
        <f>116300+3489+20000-20000</f>
        <v>119789</v>
      </c>
      <c r="J125" s="56">
        <f>116300+3489+20000-20000</f>
        <v>119789</v>
      </c>
      <c r="K125" s="86"/>
    </row>
    <row r="126" spans="1:11" s="3" customFormat="1" ht="90.75" customHeight="1">
      <c r="A126" s="113" t="s">
        <v>182</v>
      </c>
      <c r="B126" s="97" t="s">
        <v>87</v>
      </c>
      <c r="C126" s="97" t="s">
        <v>29</v>
      </c>
      <c r="D126" s="93" t="s">
        <v>88</v>
      </c>
      <c r="E126" s="12" t="s">
        <v>468</v>
      </c>
      <c r="F126" s="45" t="s">
        <v>448</v>
      </c>
      <c r="G126" s="56">
        <f t="shared" si="2"/>
        <v>70000</v>
      </c>
      <c r="H126" s="56">
        <v>70000</v>
      </c>
      <c r="I126" s="56"/>
      <c r="J126" s="56"/>
      <c r="K126" s="86"/>
    </row>
    <row r="127" spans="1:11" s="3" customFormat="1" ht="138.75" customHeight="1">
      <c r="A127" s="115"/>
      <c r="B127" s="98"/>
      <c r="C127" s="98"/>
      <c r="D127" s="94"/>
      <c r="E127" s="12" t="s">
        <v>486</v>
      </c>
      <c r="F127" s="45" t="s">
        <v>398</v>
      </c>
      <c r="G127" s="56">
        <f t="shared" si="2"/>
        <v>744000</v>
      </c>
      <c r="H127" s="56">
        <f>594000+150000</f>
        <v>744000</v>
      </c>
      <c r="I127" s="56"/>
      <c r="J127" s="56"/>
      <c r="K127" s="86"/>
    </row>
    <row r="128" spans="1:11" s="2" customFormat="1" ht="93" customHeight="1">
      <c r="A128" s="18"/>
      <c r="B128" s="66"/>
      <c r="C128" s="66"/>
      <c r="D128" s="19" t="s">
        <v>183</v>
      </c>
      <c r="E128" s="19"/>
      <c r="F128" s="48"/>
      <c r="G128" s="55">
        <f>SUM(G129+G130)</f>
        <v>223340</v>
      </c>
      <c r="H128" s="55">
        <f>SUM(H129+H130)</f>
        <v>183040</v>
      </c>
      <c r="I128" s="55">
        <f>SUM(I129+I130)</f>
        <v>40300</v>
      </c>
      <c r="J128" s="55">
        <f>SUM(J129+J130)</f>
        <v>40300</v>
      </c>
      <c r="K128" s="86"/>
    </row>
    <row r="129" spans="1:11" s="2" customFormat="1" ht="265.5">
      <c r="A129" s="11" t="s">
        <v>439</v>
      </c>
      <c r="B129" s="64" t="s">
        <v>440</v>
      </c>
      <c r="C129" s="64" t="s">
        <v>8</v>
      </c>
      <c r="D129" s="12" t="s">
        <v>441</v>
      </c>
      <c r="E129" s="12" t="s">
        <v>75</v>
      </c>
      <c r="F129" s="45" t="s">
        <v>471</v>
      </c>
      <c r="G129" s="56">
        <f>H129+I129</f>
        <v>128740</v>
      </c>
      <c r="H129" s="56">
        <v>88440</v>
      </c>
      <c r="I129" s="56">
        <v>40300</v>
      </c>
      <c r="J129" s="56">
        <v>40300</v>
      </c>
      <c r="K129" s="86"/>
    </row>
    <row r="130" spans="1:11" s="3" customFormat="1" ht="120" customHeight="1">
      <c r="A130" s="11" t="s">
        <v>184</v>
      </c>
      <c r="B130" s="64" t="s">
        <v>58</v>
      </c>
      <c r="C130" s="64" t="s">
        <v>8</v>
      </c>
      <c r="D130" s="12" t="s">
        <v>56</v>
      </c>
      <c r="E130" s="12" t="s">
        <v>75</v>
      </c>
      <c r="F130" s="45" t="s">
        <v>471</v>
      </c>
      <c r="G130" s="56">
        <f>H130+I130</f>
        <v>94600</v>
      </c>
      <c r="H130" s="56">
        <f>100000-5400</f>
        <v>94600</v>
      </c>
      <c r="I130" s="56"/>
      <c r="J130" s="56"/>
      <c r="K130" s="86"/>
    </row>
    <row r="131" spans="1:11" s="2" customFormat="1" ht="114.75" customHeight="1">
      <c r="A131" s="18"/>
      <c r="B131" s="66"/>
      <c r="C131" s="66"/>
      <c r="D131" s="19" t="s">
        <v>479</v>
      </c>
      <c r="E131" s="19"/>
      <c r="F131" s="48"/>
      <c r="G131" s="55">
        <f>SUM(G132+G133+G134+G135+G136+G138+G137)</f>
        <v>5015816</v>
      </c>
      <c r="H131" s="55">
        <f>SUM(H132+H133+H134+H135+H136+H138+H137)</f>
        <v>3207796</v>
      </c>
      <c r="I131" s="55">
        <f>SUM(I132+I133+I134+I135+I136+I138+I137)</f>
        <v>1808020</v>
      </c>
      <c r="J131" s="55">
        <f>SUM(J132+J133+J134+J135+J136+J138+J137)</f>
        <v>1808020</v>
      </c>
      <c r="K131" s="86"/>
    </row>
    <row r="132" spans="1:11" ht="168.75" customHeight="1">
      <c r="A132" s="25" t="s">
        <v>185</v>
      </c>
      <c r="B132" s="61" t="s">
        <v>80</v>
      </c>
      <c r="C132" s="61" t="s">
        <v>2</v>
      </c>
      <c r="D132" s="26" t="s">
        <v>81</v>
      </c>
      <c r="E132" s="12" t="s">
        <v>379</v>
      </c>
      <c r="F132" s="45" t="s">
        <v>446</v>
      </c>
      <c r="G132" s="56">
        <f aca="true" t="shared" si="3" ref="G132:G138">H132+I132</f>
        <v>30000</v>
      </c>
      <c r="H132" s="56">
        <v>30000</v>
      </c>
      <c r="I132" s="56"/>
      <c r="J132" s="56"/>
      <c r="K132" s="86"/>
    </row>
    <row r="133" spans="1:11" ht="180.75" customHeight="1">
      <c r="A133" s="11" t="s">
        <v>186</v>
      </c>
      <c r="B133" s="64" t="s">
        <v>102</v>
      </c>
      <c r="C133" s="64" t="s">
        <v>36</v>
      </c>
      <c r="D133" s="12" t="s">
        <v>103</v>
      </c>
      <c r="E133" s="12" t="s">
        <v>384</v>
      </c>
      <c r="F133" s="26" t="s">
        <v>465</v>
      </c>
      <c r="G133" s="56">
        <f t="shared" si="3"/>
        <v>406128</v>
      </c>
      <c r="H133" s="56">
        <f>402231+10000+10000+23000-119103</f>
        <v>326128</v>
      </c>
      <c r="I133" s="56">
        <f>100000+10000-30000</f>
        <v>80000</v>
      </c>
      <c r="J133" s="56">
        <f>100000+10000-30000</f>
        <v>80000</v>
      </c>
      <c r="K133" s="86"/>
    </row>
    <row r="134" spans="1:11" ht="150.75" customHeight="1">
      <c r="A134" s="11" t="s">
        <v>187</v>
      </c>
      <c r="B134" s="64" t="s">
        <v>59</v>
      </c>
      <c r="C134" s="64" t="s">
        <v>35</v>
      </c>
      <c r="D134" s="12" t="s">
        <v>101</v>
      </c>
      <c r="E134" s="12" t="s">
        <v>384</v>
      </c>
      <c r="F134" s="26" t="s">
        <v>465</v>
      </c>
      <c r="G134" s="56">
        <f t="shared" si="3"/>
        <v>697288</v>
      </c>
      <c r="H134" s="56">
        <f>387139+25000+12000+25000+4300+17000+11700+20000-162871</f>
        <v>339268</v>
      </c>
      <c r="I134" s="56">
        <f>300000+5000+43020+10000</f>
        <v>358020</v>
      </c>
      <c r="J134" s="56">
        <f>300000+5000+43020+10000</f>
        <v>358020</v>
      </c>
      <c r="K134" s="86"/>
    </row>
    <row r="135" spans="1:11" s="3" customFormat="1" ht="153" customHeight="1">
      <c r="A135" s="11" t="s">
        <v>350</v>
      </c>
      <c r="B135" s="64" t="s">
        <v>303</v>
      </c>
      <c r="C135" s="64" t="s">
        <v>10</v>
      </c>
      <c r="D135" s="12" t="s">
        <v>304</v>
      </c>
      <c r="E135" s="12" t="s">
        <v>384</v>
      </c>
      <c r="F135" s="26" t="s">
        <v>465</v>
      </c>
      <c r="G135" s="56">
        <f t="shared" si="3"/>
        <v>10000</v>
      </c>
      <c r="H135" s="56">
        <v>10000</v>
      </c>
      <c r="I135" s="56"/>
      <c r="J135" s="56"/>
      <c r="K135" s="86"/>
    </row>
    <row r="136" spans="1:11" s="3" customFormat="1" ht="162.75" customHeight="1">
      <c r="A136" s="11" t="s">
        <v>278</v>
      </c>
      <c r="B136" s="64" t="s">
        <v>275</v>
      </c>
      <c r="C136" s="64" t="s">
        <v>10</v>
      </c>
      <c r="D136" s="26" t="s">
        <v>276</v>
      </c>
      <c r="E136" s="12" t="s">
        <v>384</v>
      </c>
      <c r="F136" s="26" t="s">
        <v>465</v>
      </c>
      <c r="G136" s="56">
        <f t="shared" si="3"/>
        <v>2502400</v>
      </c>
      <c r="H136" s="56">
        <f>2039400+250000+86000+5000+5000+15000-10000+112000</f>
        <v>2502400</v>
      </c>
      <c r="I136" s="56"/>
      <c r="J136" s="56"/>
      <c r="K136" s="86"/>
    </row>
    <row r="137" spans="1:11" s="3" customFormat="1" ht="177">
      <c r="A137" s="34" t="s">
        <v>356</v>
      </c>
      <c r="B137" s="62" t="s">
        <v>327</v>
      </c>
      <c r="C137" s="62" t="s">
        <v>5</v>
      </c>
      <c r="D137" s="12" t="s">
        <v>328</v>
      </c>
      <c r="E137" s="12" t="s">
        <v>384</v>
      </c>
      <c r="F137" s="26" t="s">
        <v>465</v>
      </c>
      <c r="G137" s="56">
        <f t="shared" si="3"/>
        <v>500000</v>
      </c>
      <c r="H137" s="56"/>
      <c r="I137" s="56">
        <v>500000</v>
      </c>
      <c r="J137" s="56">
        <v>500000</v>
      </c>
      <c r="K137" s="86"/>
    </row>
    <row r="138" spans="1:11" ht="123.75" customHeight="1">
      <c r="A138" s="11" t="s">
        <v>188</v>
      </c>
      <c r="B138" s="64" t="s">
        <v>96</v>
      </c>
      <c r="C138" s="64" t="s">
        <v>28</v>
      </c>
      <c r="D138" s="12" t="s">
        <v>57</v>
      </c>
      <c r="E138" s="12" t="s">
        <v>466</v>
      </c>
      <c r="F138" s="45" t="s">
        <v>396</v>
      </c>
      <c r="G138" s="56">
        <f t="shared" si="3"/>
        <v>870000</v>
      </c>
      <c r="H138" s="56"/>
      <c r="I138" s="56">
        <f>1006000-136000</f>
        <v>870000</v>
      </c>
      <c r="J138" s="56">
        <f>1006000-136000</f>
        <v>870000</v>
      </c>
      <c r="K138" s="86"/>
    </row>
    <row r="139" spans="1:11" s="2" customFormat="1" ht="117" customHeight="1">
      <c r="A139" s="18"/>
      <c r="B139" s="66"/>
      <c r="C139" s="66"/>
      <c r="D139" s="19" t="s">
        <v>189</v>
      </c>
      <c r="E139" s="19"/>
      <c r="F139" s="48"/>
      <c r="G139" s="55">
        <f>SUM(G140+G141+G143+G144+G145+G146+G147+G148+G149+G151+G152+G153+G154+G155+G156+G157+G159+G160+G163+G164+G165+G167+G168+G169+G162+G158+G161)</f>
        <v>443948794.11</v>
      </c>
      <c r="H139" s="55">
        <f>SUM(H140+H141+H143+H144+H145+H146+H147+H148+H149+H151+H152+H153+H154+H155+H156+H157+H159+H160+H163+H164+H165+H167+H168+H169+H162+H158+H161)</f>
        <v>252381698.95000002</v>
      </c>
      <c r="I139" s="55">
        <f>SUM(I140+I141+I143+I144+I145+I146+I147+I148+I149+I151+I152+I153+I154+I155+I156+I157+I159+I160+I163+I164+I165+I167+I168+I169+I162+I158+I161)</f>
        <v>191567095.16</v>
      </c>
      <c r="J139" s="55">
        <f>SUM(J140+J141+J143+J144+J145+J146+J147+J148+J149+J151+J152+J153+J154+J155+J156+J157+J159+J160+J163+J164+J165+J167+J168+J169+J162+J158+J161)</f>
        <v>145302887.28</v>
      </c>
      <c r="K139" s="86"/>
    </row>
    <row r="140" spans="1:11" ht="138.75" customHeight="1">
      <c r="A140" s="25" t="s">
        <v>190</v>
      </c>
      <c r="B140" s="61" t="s">
        <v>80</v>
      </c>
      <c r="C140" s="61" t="s">
        <v>2</v>
      </c>
      <c r="D140" s="26" t="s">
        <v>81</v>
      </c>
      <c r="E140" s="12" t="s">
        <v>379</v>
      </c>
      <c r="F140" s="45" t="s">
        <v>446</v>
      </c>
      <c r="G140" s="56">
        <f aca="true" t="shared" si="4" ref="G140:G169">H140+I140</f>
        <v>40000</v>
      </c>
      <c r="H140" s="56">
        <v>40000</v>
      </c>
      <c r="I140" s="56"/>
      <c r="J140" s="56"/>
      <c r="K140" s="86"/>
    </row>
    <row r="141" spans="1:11" ht="144" customHeight="1">
      <c r="A141" s="113" t="s">
        <v>289</v>
      </c>
      <c r="B141" s="97" t="s">
        <v>287</v>
      </c>
      <c r="C141" s="97" t="s">
        <v>34</v>
      </c>
      <c r="D141" s="93" t="s">
        <v>54</v>
      </c>
      <c r="E141" s="12" t="s">
        <v>234</v>
      </c>
      <c r="F141" s="12" t="s">
        <v>395</v>
      </c>
      <c r="G141" s="56">
        <f t="shared" si="4"/>
        <v>380000</v>
      </c>
      <c r="H141" s="56">
        <v>380000</v>
      </c>
      <c r="I141" s="56"/>
      <c r="J141" s="56"/>
      <c r="K141" s="86"/>
    </row>
    <row r="142" spans="1:11" ht="111" customHeight="1" hidden="1">
      <c r="A142" s="115"/>
      <c r="B142" s="98"/>
      <c r="C142" s="98"/>
      <c r="D142" s="94"/>
      <c r="E142" s="12" t="s">
        <v>378</v>
      </c>
      <c r="F142" s="26" t="s">
        <v>416</v>
      </c>
      <c r="G142" s="56">
        <f t="shared" si="4"/>
        <v>0</v>
      </c>
      <c r="H142" s="56"/>
      <c r="I142" s="56"/>
      <c r="J142" s="56"/>
      <c r="K142" s="86"/>
    </row>
    <row r="143" spans="1:11" s="3" customFormat="1" ht="159" customHeight="1">
      <c r="A143" s="25" t="s">
        <v>191</v>
      </c>
      <c r="B143" s="61" t="s">
        <v>127</v>
      </c>
      <c r="C143" s="61" t="s">
        <v>26</v>
      </c>
      <c r="D143" s="26" t="s">
        <v>128</v>
      </c>
      <c r="E143" s="12" t="s">
        <v>234</v>
      </c>
      <c r="F143" s="12" t="s">
        <v>395</v>
      </c>
      <c r="G143" s="56">
        <f t="shared" si="4"/>
        <v>29229250</v>
      </c>
      <c r="H143" s="56"/>
      <c r="I143" s="56">
        <f>26800000+72700-23250+20000+82300+122000+20000+1250000+950000-150000+165500-170000+90000</f>
        <v>29229250</v>
      </c>
      <c r="J143" s="56">
        <f>26800000+72700-23250+20000+82300+122000+20000+950000-150000+1250000+165500-170000+90000</f>
        <v>29229250</v>
      </c>
      <c r="K143" s="86"/>
    </row>
    <row r="144" spans="1:11" s="3" customFormat="1" ht="159" customHeight="1">
      <c r="A144" s="13" t="s">
        <v>192</v>
      </c>
      <c r="B144" s="68" t="s">
        <v>131</v>
      </c>
      <c r="C144" s="64" t="s">
        <v>9</v>
      </c>
      <c r="D144" s="12" t="s">
        <v>132</v>
      </c>
      <c r="E144" s="12" t="s">
        <v>234</v>
      </c>
      <c r="F144" s="12" t="s">
        <v>395</v>
      </c>
      <c r="G144" s="56">
        <f t="shared" si="4"/>
        <v>52092357.6</v>
      </c>
      <c r="H144" s="56">
        <f>14082357+9000000+1000000+2000000+140000+3000000+3000000+3200000+4000000.6+1000000+120000+3500000+5000000+3000000</f>
        <v>52042357.6</v>
      </c>
      <c r="I144" s="56">
        <v>50000</v>
      </c>
      <c r="J144" s="56">
        <v>50000</v>
      </c>
      <c r="K144" s="86"/>
    </row>
    <row r="145" spans="1:11" s="3" customFormat="1" ht="159" customHeight="1">
      <c r="A145" s="13" t="s">
        <v>235</v>
      </c>
      <c r="B145" s="68" t="s">
        <v>236</v>
      </c>
      <c r="C145" s="64" t="s">
        <v>9</v>
      </c>
      <c r="D145" s="12" t="s">
        <v>237</v>
      </c>
      <c r="E145" s="14" t="s">
        <v>77</v>
      </c>
      <c r="F145" s="47" t="s">
        <v>397</v>
      </c>
      <c r="G145" s="56">
        <f t="shared" si="4"/>
        <v>20310300</v>
      </c>
      <c r="H145" s="56">
        <f>520000+15300</f>
        <v>535300</v>
      </c>
      <c r="I145" s="56">
        <f>19865000-90000</f>
        <v>19775000</v>
      </c>
      <c r="J145" s="56">
        <f>19865000-90000</f>
        <v>19775000</v>
      </c>
      <c r="K145" s="86"/>
    </row>
    <row r="146" spans="1:11" s="3" customFormat="1" ht="159" customHeight="1">
      <c r="A146" s="24" t="s">
        <v>330</v>
      </c>
      <c r="B146" s="67" t="s">
        <v>331</v>
      </c>
      <c r="C146" s="64" t="s">
        <v>9</v>
      </c>
      <c r="D146" s="12" t="s">
        <v>332</v>
      </c>
      <c r="E146" s="12" t="s">
        <v>234</v>
      </c>
      <c r="F146" s="12" t="s">
        <v>395</v>
      </c>
      <c r="G146" s="56">
        <f t="shared" si="4"/>
        <v>1166130</v>
      </c>
      <c r="H146" s="56"/>
      <c r="I146" s="56">
        <f>1108600+27530+30000</f>
        <v>1166130</v>
      </c>
      <c r="J146" s="56">
        <f>1108600+27530+30000</f>
        <v>1166130</v>
      </c>
      <c r="K146" s="86"/>
    </row>
    <row r="147" spans="1:11" s="3" customFormat="1" ht="153" customHeight="1">
      <c r="A147" s="25" t="s">
        <v>193</v>
      </c>
      <c r="B147" s="61" t="s">
        <v>129</v>
      </c>
      <c r="C147" s="61" t="s">
        <v>9</v>
      </c>
      <c r="D147" s="26" t="s">
        <v>130</v>
      </c>
      <c r="E147" s="12" t="s">
        <v>234</v>
      </c>
      <c r="F147" s="12" t="s">
        <v>395</v>
      </c>
      <c r="G147" s="56">
        <f t="shared" si="4"/>
        <v>50000</v>
      </c>
      <c r="H147" s="56">
        <f>500000-450000</f>
        <v>50000</v>
      </c>
      <c r="I147" s="56"/>
      <c r="J147" s="56"/>
      <c r="K147" s="86"/>
    </row>
    <row r="148" spans="1:11" s="16" customFormat="1" ht="186" customHeight="1">
      <c r="A148" s="13" t="s">
        <v>194</v>
      </c>
      <c r="B148" s="68" t="s">
        <v>60</v>
      </c>
      <c r="C148" s="64" t="s">
        <v>9</v>
      </c>
      <c r="D148" s="27" t="s">
        <v>133</v>
      </c>
      <c r="E148" s="12" t="s">
        <v>234</v>
      </c>
      <c r="F148" s="12" t="s">
        <v>395</v>
      </c>
      <c r="G148" s="56">
        <f t="shared" si="4"/>
        <v>4721226.95</v>
      </c>
      <c r="H148" s="56">
        <f>350000+557000+200000-63000+2209000+427000+232000+108168+384588+316470.95</f>
        <v>4721226.95</v>
      </c>
      <c r="I148" s="56"/>
      <c r="J148" s="56"/>
      <c r="K148" s="86"/>
    </row>
    <row r="149" spans="1:11" ht="145.5" customHeight="1">
      <c r="A149" s="99" t="s">
        <v>195</v>
      </c>
      <c r="B149" s="102" t="s">
        <v>120</v>
      </c>
      <c r="C149" s="97" t="s">
        <v>9</v>
      </c>
      <c r="D149" s="104" t="s">
        <v>121</v>
      </c>
      <c r="E149" s="12" t="s">
        <v>234</v>
      </c>
      <c r="F149" s="12" t="s">
        <v>395</v>
      </c>
      <c r="G149" s="56">
        <f t="shared" si="4"/>
        <v>224094574.63</v>
      </c>
      <c r="H149" s="56">
        <f>68545300+4500000+109000000+500000-300000-3528000-23000+208000-19950-18600+3600+15000-200000+40000+87000+39000+180000+4450000-2775000+50000+307345+225000-18321+98000-733500+4000+45300-200000+319700+9000-84554+1500000-56000+176500+1164000+28000-80000-80000+65000+100000+3100000+200000+195000-84000</f>
        <v>186953820</v>
      </c>
      <c r="I149" s="56">
        <f>36285000-4500000+200000+300000+3528000+859910-29177.17-307365.2+2775000+420000+40000-108168-290000-154330-96000-3050486+1508000-950000+300000+31500-142322-350000+300000+1059514-93321-200000-195000</f>
        <v>37140754.629999995</v>
      </c>
      <c r="J149" s="56">
        <v>37140754.63</v>
      </c>
      <c r="K149" s="86"/>
    </row>
    <row r="150" spans="1:11" ht="130.5" customHeight="1" hidden="1">
      <c r="A150" s="101"/>
      <c r="B150" s="103"/>
      <c r="C150" s="98"/>
      <c r="D150" s="106"/>
      <c r="E150" s="14" t="s">
        <v>387</v>
      </c>
      <c r="F150" s="26" t="s">
        <v>416</v>
      </c>
      <c r="G150" s="56">
        <f t="shared" si="4"/>
        <v>0</v>
      </c>
      <c r="H150" s="56"/>
      <c r="I150" s="56"/>
      <c r="J150" s="56"/>
      <c r="K150" s="86"/>
    </row>
    <row r="151" spans="1:11" ht="163.5" customHeight="1">
      <c r="A151" s="99" t="s">
        <v>217</v>
      </c>
      <c r="B151" s="102" t="s">
        <v>218</v>
      </c>
      <c r="C151" s="97" t="s">
        <v>239</v>
      </c>
      <c r="D151" s="104" t="s">
        <v>238</v>
      </c>
      <c r="E151" s="12" t="s">
        <v>234</v>
      </c>
      <c r="F151" s="12" t="s">
        <v>395</v>
      </c>
      <c r="G151" s="56">
        <f t="shared" si="4"/>
        <v>3333266.4</v>
      </c>
      <c r="H151" s="56">
        <f>2480102+200000+620-8836.6-2110+20431+13500+109030+56000+96000+4530+200000+80000+84000</f>
        <v>3333266.4</v>
      </c>
      <c r="I151" s="56"/>
      <c r="J151" s="56"/>
      <c r="K151" s="86"/>
    </row>
    <row r="152" spans="1:11" ht="133.5" customHeight="1">
      <c r="A152" s="100"/>
      <c r="B152" s="107"/>
      <c r="C152" s="112"/>
      <c r="D152" s="105"/>
      <c r="E152" s="14" t="s">
        <v>476</v>
      </c>
      <c r="F152" s="45" t="s">
        <v>449</v>
      </c>
      <c r="G152" s="56">
        <f t="shared" si="4"/>
        <v>90230.40000000037</v>
      </c>
      <c r="H152" s="56">
        <f>781980.4-529545-20000-232435.4</f>
        <v>0</v>
      </c>
      <c r="I152" s="56">
        <f>15234190-420620-40000-217970-7500-92300-135000-245500-409564.6-30000-10000-420260-264100-30000-105800-1152085+30000-348000-20000-251500-9500-112520-90194-1508000-10000-350000-35800-141015-4103461-138645-31500-3916845-265500-185000-22000-2000-1780-50000</f>
        <v>90230.40000000037</v>
      </c>
      <c r="J152" s="56">
        <f>15234190-420620-40000-217970-7500-92300-135000-245500-409564.6-30000-10000-420260-264100-30000-105800-1152085+30000-348000-20000-251500-9500-112520-90194-1508000-10000-350000-35800-141015-4103461-138645-31500-3916845-265500-185000-22000-2000-1780-50000</f>
        <v>90230.40000000037</v>
      </c>
      <c r="K152" s="86"/>
    </row>
    <row r="153" spans="1:11" ht="325.5" customHeight="1">
      <c r="A153" s="101"/>
      <c r="B153" s="103"/>
      <c r="C153" s="98"/>
      <c r="D153" s="106"/>
      <c r="E153" s="12" t="s">
        <v>428</v>
      </c>
      <c r="F153" s="12" t="s">
        <v>429</v>
      </c>
      <c r="G153" s="56">
        <f t="shared" si="4"/>
        <v>545728</v>
      </c>
      <c r="H153" s="56">
        <f>546348-620</f>
        <v>545728</v>
      </c>
      <c r="I153" s="56"/>
      <c r="J153" s="56"/>
      <c r="K153" s="86"/>
    </row>
    <row r="154" spans="1:11" ht="163.5" customHeight="1">
      <c r="A154" s="113" t="s">
        <v>240</v>
      </c>
      <c r="B154" s="97" t="s">
        <v>241</v>
      </c>
      <c r="C154" s="97" t="s">
        <v>67</v>
      </c>
      <c r="D154" s="93" t="s">
        <v>242</v>
      </c>
      <c r="E154" s="12" t="s">
        <v>234</v>
      </c>
      <c r="F154" s="12" t="s">
        <v>395</v>
      </c>
      <c r="G154" s="56">
        <f t="shared" si="4"/>
        <v>3345083.6</v>
      </c>
      <c r="H154" s="56"/>
      <c r="I154" s="56">
        <f>1990851+8836.6+1500000-1500000-140000+140000+300000+40000+900000+316486-200000-11090</f>
        <v>3345083.6</v>
      </c>
      <c r="J154" s="56">
        <f>1990851+8836.6+1500000-1500000-140000+140000+300000+40000+900000+316486-200000-11090</f>
        <v>3345083.6</v>
      </c>
      <c r="K154" s="86"/>
    </row>
    <row r="155" spans="1:11" ht="115.5" customHeight="1">
      <c r="A155" s="115"/>
      <c r="B155" s="98"/>
      <c r="C155" s="98"/>
      <c r="D155" s="94"/>
      <c r="E155" s="14" t="s">
        <v>387</v>
      </c>
      <c r="F155" s="26" t="s">
        <v>447</v>
      </c>
      <c r="G155" s="56">
        <f t="shared" si="4"/>
        <v>1341172.4000000004</v>
      </c>
      <c r="H155" s="56"/>
      <c r="I155" s="56">
        <f>24524763.43-300000-140000-12569763.43-65000-7954239.6-384588-950000-900000+80000</f>
        <v>1341172.4000000004</v>
      </c>
      <c r="J155" s="56">
        <f>24524763.43-300000-140000-12569763.43-65000-7954239.6-384588-950000-900000+80000</f>
        <v>1341172.4000000004</v>
      </c>
      <c r="K155" s="86"/>
    </row>
    <row r="156" spans="1:11" ht="163.5" customHeight="1">
      <c r="A156" s="11" t="s">
        <v>243</v>
      </c>
      <c r="B156" s="64" t="s">
        <v>244</v>
      </c>
      <c r="C156" s="64" t="s">
        <v>67</v>
      </c>
      <c r="D156" s="12" t="s">
        <v>434</v>
      </c>
      <c r="E156" s="12" t="s">
        <v>234</v>
      </c>
      <c r="F156" s="12" t="s">
        <v>395</v>
      </c>
      <c r="G156" s="56">
        <f t="shared" si="4"/>
        <v>3855530</v>
      </c>
      <c r="H156" s="56"/>
      <c r="I156" s="56">
        <f>5765753-4000000+200000+65000+1450000+50000-65000-200000-100000+689777</f>
        <v>3855530</v>
      </c>
      <c r="J156" s="56">
        <f>5765753-4000000+200000+65000+1450000+50000-65000-200000-100000+689777</f>
        <v>3855530</v>
      </c>
      <c r="K156" s="86"/>
    </row>
    <row r="157" spans="1:11" ht="163.5" customHeight="1">
      <c r="A157" s="11" t="s">
        <v>196</v>
      </c>
      <c r="B157" s="64" t="s">
        <v>122</v>
      </c>
      <c r="C157" s="64" t="s">
        <v>67</v>
      </c>
      <c r="D157" s="12" t="s">
        <v>123</v>
      </c>
      <c r="E157" s="12" t="s">
        <v>234</v>
      </c>
      <c r="F157" s="12" t="s">
        <v>395</v>
      </c>
      <c r="G157" s="56">
        <f t="shared" si="4"/>
        <v>100709</v>
      </c>
      <c r="H157" s="56"/>
      <c r="I157" s="56">
        <f>3100000+3700000-3700000-1250000-1749291</f>
        <v>100709</v>
      </c>
      <c r="J157" s="56">
        <f>3100000+3700000-3700000-1250000-1749291</f>
        <v>100709</v>
      </c>
      <c r="K157" s="86"/>
    </row>
    <row r="158" spans="1:11" s="3" customFormat="1" ht="177">
      <c r="A158" s="11" t="s">
        <v>343</v>
      </c>
      <c r="B158" s="64" t="s">
        <v>344</v>
      </c>
      <c r="C158" s="64" t="s">
        <v>5</v>
      </c>
      <c r="D158" s="12" t="s">
        <v>345</v>
      </c>
      <c r="E158" s="14" t="s">
        <v>387</v>
      </c>
      <c r="F158" s="12" t="s">
        <v>395</v>
      </c>
      <c r="G158" s="56">
        <f t="shared" si="4"/>
        <v>12489763.43</v>
      </c>
      <c r="H158" s="56"/>
      <c r="I158" s="56">
        <f>12569763.43-80000</f>
        <v>12489763.43</v>
      </c>
      <c r="J158" s="56">
        <f>12569763.43-80000</f>
        <v>12489763.43</v>
      </c>
      <c r="K158" s="86"/>
    </row>
    <row r="159" spans="1:11" s="3" customFormat="1" ht="177">
      <c r="A159" s="113" t="s">
        <v>333</v>
      </c>
      <c r="B159" s="97" t="s">
        <v>327</v>
      </c>
      <c r="C159" s="113" t="s">
        <v>5</v>
      </c>
      <c r="D159" s="93" t="s">
        <v>328</v>
      </c>
      <c r="E159" s="12" t="s">
        <v>234</v>
      </c>
      <c r="F159" s="12" t="s">
        <v>395</v>
      </c>
      <c r="G159" s="56">
        <f t="shared" si="4"/>
        <v>26957560.25</v>
      </c>
      <c r="H159" s="56"/>
      <c r="I159" s="56">
        <f>23448258.25+3123000+1660000-1273698</f>
        <v>26957560.25</v>
      </c>
      <c r="J159" s="56">
        <f>23448258.25+3123000+1660000-1273698</f>
        <v>26957560.25</v>
      </c>
      <c r="K159" s="86"/>
    </row>
    <row r="160" spans="1:11" s="3" customFormat="1" ht="132.75">
      <c r="A160" s="115"/>
      <c r="B160" s="98"/>
      <c r="C160" s="115"/>
      <c r="D160" s="94"/>
      <c r="E160" s="14" t="s">
        <v>387</v>
      </c>
      <c r="F160" s="26" t="s">
        <v>447</v>
      </c>
      <c r="G160" s="56">
        <f t="shared" si="4"/>
        <v>5320295.57</v>
      </c>
      <c r="H160" s="56"/>
      <c r="I160" s="56">
        <f>3320295.57+2000000</f>
        <v>5320295.57</v>
      </c>
      <c r="J160" s="56">
        <f>3320295.57+2000000</f>
        <v>5320295.57</v>
      </c>
      <c r="K160" s="86"/>
    </row>
    <row r="161" spans="1:11" s="3" customFormat="1" ht="177">
      <c r="A161" s="34" t="s">
        <v>489</v>
      </c>
      <c r="B161" s="62">
        <v>7461</v>
      </c>
      <c r="C161" s="34" t="s">
        <v>293</v>
      </c>
      <c r="D161" s="90" t="s">
        <v>490</v>
      </c>
      <c r="E161" s="12" t="s">
        <v>234</v>
      </c>
      <c r="F161" s="12" t="s">
        <v>395</v>
      </c>
      <c r="G161" s="56">
        <f t="shared" si="4"/>
        <v>70472.47</v>
      </c>
      <c r="H161" s="56"/>
      <c r="I161" s="56">
        <v>70472.47</v>
      </c>
      <c r="J161" s="56"/>
      <c r="K161" s="86"/>
    </row>
    <row r="162" spans="1:11" s="3" customFormat="1" ht="138" customHeight="1">
      <c r="A162" s="34" t="s">
        <v>480</v>
      </c>
      <c r="B162" s="62">
        <v>7462</v>
      </c>
      <c r="C162" s="34" t="s">
        <v>293</v>
      </c>
      <c r="D162" s="53" t="s">
        <v>353</v>
      </c>
      <c r="E162" s="12" t="s">
        <v>234</v>
      </c>
      <c r="F162" s="12" t="s">
        <v>395</v>
      </c>
      <c r="G162" s="56">
        <f t="shared" si="4"/>
        <v>41000000</v>
      </c>
      <c r="H162" s="56"/>
      <c r="I162" s="56">
        <v>41000000</v>
      </c>
      <c r="J162" s="56"/>
      <c r="K162" s="86"/>
    </row>
    <row r="163" spans="1:11" s="16" customFormat="1" ht="165" customHeight="1">
      <c r="A163" s="11" t="s">
        <v>197</v>
      </c>
      <c r="B163" s="64" t="s">
        <v>96</v>
      </c>
      <c r="C163" s="64" t="s">
        <v>28</v>
      </c>
      <c r="D163" s="12" t="s">
        <v>57</v>
      </c>
      <c r="E163" s="12" t="s">
        <v>234</v>
      </c>
      <c r="F163" s="12" t="s">
        <v>395</v>
      </c>
      <c r="G163" s="56">
        <f t="shared" si="4"/>
        <v>1820000</v>
      </c>
      <c r="H163" s="56">
        <f>1500000+150000+170000-130000+130000</f>
        <v>1820000</v>
      </c>
      <c r="I163" s="56"/>
      <c r="J163" s="56"/>
      <c r="K163" s="86"/>
    </row>
    <row r="164" spans="1:11" s="16" customFormat="1" ht="165" customHeight="1">
      <c r="A164" s="11" t="s">
        <v>451</v>
      </c>
      <c r="B164" s="64">
        <v>7670</v>
      </c>
      <c r="C164" s="64" t="s">
        <v>5</v>
      </c>
      <c r="D164" s="12" t="s">
        <v>51</v>
      </c>
      <c r="E164" s="12" t="s">
        <v>234</v>
      </c>
      <c r="F164" s="12" t="s">
        <v>395</v>
      </c>
      <c r="G164" s="56">
        <f t="shared" si="4"/>
        <v>463000</v>
      </c>
      <c r="H164" s="56"/>
      <c r="I164" s="56">
        <f>63000+300000+1000000-1000000+100000</f>
        <v>463000</v>
      </c>
      <c r="J164" s="56">
        <f>63000+300000+1000000-1000000+100000</f>
        <v>463000</v>
      </c>
      <c r="K164" s="86"/>
    </row>
    <row r="165" spans="1:11" s="3" customFormat="1" ht="405" customHeight="1">
      <c r="A165" s="11" t="s">
        <v>279</v>
      </c>
      <c r="B165" s="64" t="s">
        <v>280</v>
      </c>
      <c r="C165" s="64" t="s">
        <v>5</v>
      </c>
      <c r="D165" s="12" t="s">
        <v>301</v>
      </c>
      <c r="E165" s="12" t="s">
        <v>234</v>
      </c>
      <c r="F165" s="12" t="s">
        <v>395</v>
      </c>
      <c r="G165" s="56">
        <f t="shared" si="4"/>
        <v>287835.41</v>
      </c>
      <c r="H165" s="56"/>
      <c r="I165" s="56">
        <v>287835.41</v>
      </c>
      <c r="J165" s="56"/>
      <c r="K165" s="86"/>
    </row>
    <row r="166" spans="1:11" ht="163.5" customHeight="1" hidden="1">
      <c r="A166" s="11" t="s">
        <v>198</v>
      </c>
      <c r="B166" s="64" t="s">
        <v>134</v>
      </c>
      <c r="C166" s="64" t="s">
        <v>19</v>
      </c>
      <c r="D166" s="12" t="s">
        <v>18</v>
      </c>
      <c r="E166" s="14" t="s">
        <v>387</v>
      </c>
      <c r="F166" s="26" t="s">
        <v>416</v>
      </c>
      <c r="G166" s="56">
        <f t="shared" si="4"/>
        <v>0</v>
      </c>
      <c r="H166" s="56"/>
      <c r="I166" s="56"/>
      <c r="J166" s="56"/>
      <c r="K166" s="86"/>
    </row>
    <row r="167" spans="1:11" ht="141" customHeight="1">
      <c r="A167" s="11" t="s">
        <v>200</v>
      </c>
      <c r="B167" s="64" t="s">
        <v>89</v>
      </c>
      <c r="C167" s="64" t="s">
        <v>13</v>
      </c>
      <c r="D167" s="12" t="s">
        <v>90</v>
      </c>
      <c r="E167" s="14" t="s">
        <v>387</v>
      </c>
      <c r="F167" s="26" t="s">
        <v>447</v>
      </c>
      <c r="G167" s="56">
        <f t="shared" si="4"/>
        <v>4905900</v>
      </c>
      <c r="H167" s="56"/>
      <c r="I167" s="56">
        <v>4905900</v>
      </c>
      <c r="J167" s="56"/>
      <c r="K167" s="86"/>
    </row>
    <row r="168" spans="1:11" s="3" customFormat="1" ht="159" customHeight="1">
      <c r="A168" s="11" t="s">
        <v>201</v>
      </c>
      <c r="B168" s="64" t="s">
        <v>124</v>
      </c>
      <c r="C168" s="64" t="s">
        <v>5</v>
      </c>
      <c r="D168" s="35" t="s">
        <v>135</v>
      </c>
      <c r="E168" s="12" t="s">
        <v>234</v>
      </c>
      <c r="F168" s="12" t="s">
        <v>395</v>
      </c>
      <c r="G168" s="56">
        <f t="shared" si="4"/>
        <v>-2054092</v>
      </c>
      <c r="H168" s="56"/>
      <c r="I168" s="56">
        <v>-2054092</v>
      </c>
      <c r="J168" s="56">
        <v>-2054092</v>
      </c>
      <c r="K168" s="86"/>
    </row>
    <row r="169" spans="1:11" s="16" customFormat="1" ht="153" customHeight="1">
      <c r="A169" s="13" t="s">
        <v>199</v>
      </c>
      <c r="B169" s="68" t="s">
        <v>87</v>
      </c>
      <c r="C169" s="64" t="s">
        <v>29</v>
      </c>
      <c r="D169" s="12" t="s">
        <v>88</v>
      </c>
      <c r="E169" s="12" t="s">
        <v>234</v>
      </c>
      <c r="F169" s="12" t="s">
        <v>395</v>
      </c>
      <c r="G169" s="56">
        <f t="shared" si="4"/>
        <v>7992500</v>
      </c>
      <c r="H169" s="56">
        <v>1960000</v>
      </c>
      <c r="I169" s="56">
        <f>7000000+992500-1960000</f>
        <v>6032500</v>
      </c>
      <c r="J169" s="56">
        <f>7000000+992500-1960000</f>
        <v>6032500</v>
      </c>
      <c r="K169" s="86"/>
    </row>
    <row r="170" spans="1:11" s="2" customFormat="1" ht="156.75" customHeight="1">
      <c r="A170" s="18"/>
      <c r="B170" s="66"/>
      <c r="C170" s="66"/>
      <c r="D170" s="19" t="s">
        <v>205</v>
      </c>
      <c r="E170" s="19"/>
      <c r="F170" s="48"/>
      <c r="G170" s="55">
        <f>SUM(G171+G172+G174+G175+G176+G177+G178+G180+G181+G182+G183+G184+G185+G186+G187+G189+G192+G193+G190)</f>
        <v>228942361.06999996</v>
      </c>
      <c r="H170" s="55">
        <f>SUM(H171+H172+H174+H175+H176+H177+H178+H180+H181+H182+H183+H184+H185+H186+H187+H189+H192+H193+H190)</f>
        <v>2556034.2</v>
      </c>
      <c r="I170" s="55">
        <f>SUM(I171+I172+I174+I175+I176+I177+I178+I180+I181+I182+I183+I184+I185+I186+I187+I189+I192+I193+I190)</f>
        <v>226386326.87000003</v>
      </c>
      <c r="J170" s="55">
        <f>SUM(J171+J172+J174+J175+J176+J177+J178+J180+J181+J182+J183+J184+J185+J186+J187+J189+J192+J193+J190)</f>
        <v>195257494.85000002</v>
      </c>
      <c r="K170" s="86"/>
    </row>
    <row r="171" spans="1:11" ht="156" customHeight="1">
      <c r="A171" s="24" t="s">
        <v>206</v>
      </c>
      <c r="B171" s="67" t="s">
        <v>80</v>
      </c>
      <c r="C171" s="61" t="s">
        <v>2</v>
      </c>
      <c r="D171" s="26" t="s">
        <v>81</v>
      </c>
      <c r="E171" s="12" t="s">
        <v>379</v>
      </c>
      <c r="F171" s="45" t="s">
        <v>446</v>
      </c>
      <c r="G171" s="56">
        <f aca="true" t="shared" si="5" ref="G171:G178">H171+I171</f>
        <v>10000</v>
      </c>
      <c r="H171" s="56"/>
      <c r="I171" s="56">
        <v>10000</v>
      </c>
      <c r="J171" s="56"/>
      <c r="K171" s="86"/>
    </row>
    <row r="172" spans="1:11" ht="156" customHeight="1">
      <c r="A172" s="11" t="s">
        <v>207</v>
      </c>
      <c r="B172" s="64" t="s">
        <v>120</v>
      </c>
      <c r="C172" s="64" t="s">
        <v>9</v>
      </c>
      <c r="D172" s="12" t="s">
        <v>121</v>
      </c>
      <c r="E172" s="12" t="s">
        <v>234</v>
      </c>
      <c r="F172" s="12" t="s">
        <v>395</v>
      </c>
      <c r="G172" s="56">
        <f t="shared" si="5"/>
        <v>84635111</v>
      </c>
      <c r="H172" s="56"/>
      <c r="I172" s="56">
        <f>80000000+40000+700000+1100000+635000+2160111</f>
        <v>84635111</v>
      </c>
      <c r="J172" s="56">
        <f>80000000+40000+700000+1100000+635000+2160111</f>
        <v>84635111</v>
      </c>
      <c r="K172" s="86"/>
    </row>
    <row r="173" spans="1:11" s="3" customFormat="1" ht="144" customHeight="1" hidden="1">
      <c r="A173" s="11" t="s">
        <v>346</v>
      </c>
      <c r="B173" s="64" t="s">
        <v>347</v>
      </c>
      <c r="C173" s="64" t="s">
        <v>26</v>
      </c>
      <c r="D173" s="12" t="s">
        <v>348</v>
      </c>
      <c r="E173" s="14" t="s">
        <v>382</v>
      </c>
      <c r="F173" s="26" t="s">
        <v>416</v>
      </c>
      <c r="G173" s="56">
        <f t="shared" si="5"/>
        <v>0</v>
      </c>
      <c r="H173" s="56"/>
      <c r="I173" s="56"/>
      <c r="J173" s="56"/>
      <c r="K173" s="86"/>
    </row>
    <row r="174" spans="1:11" s="3" customFormat="1" ht="247.5" customHeight="1">
      <c r="A174" s="11" t="s">
        <v>357</v>
      </c>
      <c r="B174" s="64" t="s">
        <v>358</v>
      </c>
      <c r="C174" s="64" t="s">
        <v>26</v>
      </c>
      <c r="D174" s="71" t="s">
        <v>359</v>
      </c>
      <c r="E174" s="12" t="s">
        <v>75</v>
      </c>
      <c r="F174" s="45" t="s">
        <v>471</v>
      </c>
      <c r="G174" s="56">
        <f t="shared" si="5"/>
        <v>291150</v>
      </c>
      <c r="H174" s="56"/>
      <c r="I174" s="56">
        <f>300000-818-8032</f>
        <v>291150</v>
      </c>
      <c r="J174" s="56">
        <f>300000-818-8032</f>
        <v>291150</v>
      </c>
      <c r="K174" s="86"/>
    </row>
    <row r="175" spans="1:11" s="3" customFormat="1" ht="235.5" customHeight="1">
      <c r="A175" s="11" t="s">
        <v>208</v>
      </c>
      <c r="B175" s="64" t="s">
        <v>125</v>
      </c>
      <c r="C175" s="64" t="s">
        <v>26</v>
      </c>
      <c r="D175" s="12" t="s">
        <v>126</v>
      </c>
      <c r="E175" s="14" t="s">
        <v>245</v>
      </c>
      <c r="F175" s="14" t="s">
        <v>392</v>
      </c>
      <c r="G175" s="56">
        <f t="shared" si="5"/>
        <v>135589.81</v>
      </c>
      <c r="H175" s="56">
        <v>84906</v>
      </c>
      <c r="I175" s="56">
        <f>42126+8557.81</f>
        <v>50683.81</v>
      </c>
      <c r="J175" s="56"/>
      <c r="K175" s="86"/>
    </row>
    <row r="176" spans="1:11" s="3" customFormat="1" ht="175.5" customHeight="1">
      <c r="A176" s="11" t="s">
        <v>450</v>
      </c>
      <c r="B176" s="64">
        <v>6090</v>
      </c>
      <c r="C176" s="11" t="s">
        <v>239</v>
      </c>
      <c r="D176" s="12" t="s">
        <v>454</v>
      </c>
      <c r="E176" s="14" t="s">
        <v>476</v>
      </c>
      <c r="F176" s="45" t="s">
        <v>449</v>
      </c>
      <c r="G176" s="56">
        <f t="shared" si="5"/>
        <v>404689.6</v>
      </c>
      <c r="H176" s="56">
        <v>404689.6</v>
      </c>
      <c r="I176" s="56"/>
      <c r="J176" s="56"/>
      <c r="K176" s="86"/>
    </row>
    <row r="177" spans="1:11" ht="174" customHeight="1">
      <c r="A177" s="11" t="s">
        <v>246</v>
      </c>
      <c r="B177" s="64" t="s">
        <v>241</v>
      </c>
      <c r="C177" s="64" t="s">
        <v>67</v>
      </c>
      <c r="D177" s="12" t="s">
        <v>242</v>
      </c>
      <c r="E177" s="14" t="s">
        <v>476</v>
      </c>
      <c r="F177" s="45" t="s">
        <v>449</v>
      </c>
      <c r="G177" s="56">
        <f t="shared" si="5"/>
        <v>5958955.8</v>
      </c>
      <c r="H177" s="56"/>
      <c r="I177" s="56">
        <f>7800000-489034.2+1000000-2507000-180000-1000000+1464000-200000+200000-369-128641</f>
        <v>5958955.8</v>
      </c>
      <c r="J177" s="56">
        <f>7800000-489034.2+1000000-2507000-180000-1000000+1464000-200000+200000-369-128641</f>
        <v>5958955.8</v>
      </c>
      <c r="K177" s="86"/>
    </row>
    <row r="178" spans="1:11" s="3" customFormat="1" ht="153" customHeight="1">
      <c r="A178" s="113" t="s">
        <v>247</v>
      </c>
      <c r="B178" s="97" t="s">
        <v>248</v>
      </c>
      <c r="C178" s="97" t="s">
        <v>67</v>
      </c>
      <c r="D178" s="93" t="s">
        <v>249</v>
      </c>
      <c r="E178" s="14" t="s">
        <v>476</v>
      </c>
      <c r="F178" s="45" t="s">
        <v>449</v>
      </c>
      <c r="G178" s="56">
        <f t="shared" si="5"/>
        <v>4649908</v>
      </c>
      <c r="H178" s="56"/>
      <c r="I178" s="56">
        <f>10600000+100000+1500000+100000-390-599610-864060+150000+500000-44680-3457-1000000-100000-4500000-1100000-50000-37895</f>
        <v>4649908</v>
      </c>
      <c r="J178" s="56">
        <f>10600000+100000+1500000+100000-390-599610-864060+150000+500000-44680-3457-1000000-100000-4500000-1100000-50000-37895</f>
        <v>4649908</v>
      </c>
      <c r="K178" s="86"/>
    </row>
    <row r="179" spans="1:11" s="3" customFormat="1" ht="147" customHeight="1" hidden="1">
      <c r="A179" s="115"/>
      <c r="B179" s="98"/>
      <c r="C179" s="98"/>
      <c r="D179" s="94"/>
      <c r="E179" s="12" t="s">
        <v>79</v>
      </c>
      <c r="F179" s="26" t="s">
        <v>416</v>
      </c>
      <c r="G179" s="56">
        <f aca="true" t="shared" si="6" ref="G179:G207">H179+I179</f>
        <v>0</v>
      </c>
      <c r="H179" s="56"/>
      <c r="I179" s="56"/>
      <c r="J179" s="56"/>
      <c r="K179" s="86"/>
    </row>
    <row r="180" spans="1:11" s="3" customFormat="1" ht="132" customHeight="1">
      <c r="A180" s="11" t="s">
        <v>250</v>
      </c>
      <c r="B180" s="64" t="s">
        <v>251</v>
      </c>
      <c r="C180" s="64" t="s">
        <v>67</v>
      </c>
      <c r="D180" s="12" t="s">
        <v>252</v>
      </c>
      <c r="E180" s="14" t="s">
        <v>476</v>
      </c>
      <c r="F180" s="45" t="s">
        <v>449</v>
      </c>
      <c r="G180" s="56">
        <f t="shared" si="6"/>
        <v>7316671</v>
      </c>
      <c r="H180" s="56"/>
      <c r="I180" s="56">
        <f>4000000+100000+100000+3300000+900000+764000+700000-700000+400000-1464000-500000-215000+35000-103329</f>
        <v>7316671</v>
      </c>
      <c r="J180" s="56">
        <f>4000000+100000+100000+3300000+900000+764000+700000-700000+400000-1464000-500000-215000+35000-103329</f>
        <v>7316671</v>
      </c>
      <c r="K180" s="86"/>
    </row>
    <row r="181" spans="1:11" s="3" customFormat="1" ht="135" customHeight="1" hidden="1">
      <c r="A181" s="11" t="s">
        <v>253</v>
      </c>
      <c r="B181" s="64" t="s">
        <v>254</v>
      </c>
      <c r="C181" s="64" t="s">
        <v>67</v>
      </c>
      <c r="D181" s="12" t="s">
        <v>255</v>
      </c>
      <c r="E181" s="14" t="s">
        <v>477</v>
      </c>
      <c r="F181" s="45" t="s">
        <v>449</v>
      </c>
      <c r="G181" s="56">
        <f t="shared" si="6"/>
        <v>0</v>
      </c>
      <c r="H181" s="56"/>
      <c r="I181" s="56">
        <f>10000000-2000000+1181651-1000-150000-7000000-2000000-30651</f>
        <v>0</v>
      </c>
      <c r="J181" s="56">
        <f>10000000-2000000+1181651-1000-150000-7000000-2000000-30651</f>
        <v>0</v>
      </c>
      <c r="K181" s="86"/>
    </row>
    <row r="182" spans="1:11" ht="147" customHeight="1">
      <c r="A182" s="11" t="s">
        <v>256</v>
      </c>
      <c r="B182" s="64" t="s">
        <v>244</v>
      </c>
      <c r="C182" s="64" t="s">
        <v>67</v>
      </c>
      <c r="D182" s="12" t="s">
        <v>434</v>
      </c>
      <c r="E182" s="14" t="s">
        <v>476</v>
      </c>
      <c r="F182" s="45" t="s">
        <v>449</v>
      </c>
      <c r="G182" s="56">
        <f t="shared" si="6"/>
        <v>36319262</v>
      </c>
      <c r="H182" s="56"/>
      <c r="I182" s="56">
        <f>44100000-6900000-3000000-8562214+3761733-1000000-2000000+175500+1058000-50000-896543+80000+30000-2300000+1000000+1100000-1850000+7000000+1850000+180000+500000+4680000-300000-35000-300000+50000-170000-1882214</f>
        <v>36319262</v>
      </c>
      <c r="J182" s="56">
        <f>44100000-6900000-3000000-8562214+3761733-1000000-2000000+175500+1058000-50000-896543+80000+30000-2300000+1000000+1100000-1850000+7000000+1850000+180000+500000+4680000-300000-35000-300000+50000-170000-1882214</f>
        <v>36319262</v>
      </c>
      <c r="K182" s="86"/>
    </row>
    <row r="183" spans="1:11" ht="138" customHeight="1" hidden="1">
      <c r="A183" s="11" t="s">
        <v>313</v>
      </c>
      <c r="B183" s="64" t="s">
        <v>122</v>
      </c>
      <c r="C183" s="64" t="s">
        <v>67</v>
      </c>
      <c r="D183" s="12" t="s">
        <v>123</v>
      </c>
      <c r="E183" s="14" t="s">
        <v>478</v>
      </c>
      <c r="F183" s="45" t="s">
        <v>449</v>
      </c>
      <c r="G183" s="56">
        <f t="shared" si="6"/>
        <v>0</v>
      </c>
      <c r="H183" s="56"/>
      <c r="I183" s="56">
        <f>500000-500000</f>
        <v>0</v>
      </c>
      <c r="J183" s="56">
        <f>500000-500000</f>
        <v>0</v>
      </c>
      <c r="K183" s="86"/>
    </row>
    <row r="184" spans="1:11" s="3" customFormat="1" ht="162" customHeight="1">
      <c r="A184" s="11" t="s">
        <v>360</v>
      </c>
      <c r="B184" s="64" t="s">
        <v>344</v>
      </c>
      <c r="C184" s="64" t="s">
        <v>5</v>
      </c>
      <c r="D184" s="12" t="s">
        <v>345</v>
      </c>
      <c r="E184" s="14" t="s">
        <v>476</v>
      </c>
      <c r="F184" s="45" t="s">
        <v>449</v>
      </c>
      <c r="G184" s="56">
        <f t="shared" si="6"/>
        <v>28000</v>
      </c>
      <c r="H184" s="56"/>
      <c r="I184" s="56">
        <v>28000</v>
      </c>
      <c r="J184" s="56">
        <v>28000</v>
      </c>
      <c r="K184" s="86"/>
    </row>
    <row r="185" spans="1:11" s="3" customFormat="1" ht="153" customHeight="1">
      <c r="A185" s="11" t="s">
        <v>342</v>
      </c>
      <c r="B185" s="64" t="s">
        <v>327</v>
      </c>
      <c r="C185" s="64" t="s">
        <v>5</v>
      </c>
      <c r="D185" s="12" t="s">
        <v>328</v>
      </c>
      <c r="E185" s="14" t="s">
        <v>476</v>
      </c>
      <c r="F185" s="45" t="s">
        <v>449</v>
      </c>
      <c r="G185" s="56">
        <f t="shared" si="6"/>
        <v>310390</v>
      </c>
      <c r="H185" s="56"/>
      <c r="I185" s="56">
        <f>35000+390+13000+250000+12000</f>
        <v>310390</v>
      </c>
      <c r="J185" s="56">
        <f>35000+390+13000+250000+12000</f>
        <v>310390</v>
      </c>
      <c r="K185" s="86"/>
    </row>
    <row r="186" spans="1:11" s="3" customFormat="1" ht="168" customHeight="1">
      <c r="A186" s="11" t="s">
        <v>475</v>
      </c>
      <c r="B186" s="64">
        <v>7370</v>
      </c>
      <c r="C186" s="11" t="s">
        <v>5</v>
      </c>
      <c r="D186" s="12" t="s">
        <v>365</v>
      </c>
      <c r="E186" s="14" t="s">
        <v>476</v>
      </c>
      <c r="F186" s="45" t="s">
        <v>449</v>
      </c>
      <c r="G186" s="56">
        <f t="shared" si="6"/>
        <v>84344.6</v>
      </c>
      <c r="H186" s="56">
        <v>84344.6</v>
      </c>
      <c r="I186" s="56"/>
      <c r="J186" s="56"/>
      <c r="K186" s="86"/>
    </row>
    <row r="187" spans="1:11" s="3" customFormat="1" ht="144" customHeight="1" hidden="1">
      <c r="A187" s="11" t="s">
        <v>335</v>
      </c>
      <c r="B187" s="64" t="s">
        <v>336</v>
      </c>
      <c r="C187" s="64" t="s">
        <v>293</v>
      </c>
      <c r="D187" s="12" t="s">
        <v>337</v>
      </c>
      <c r="E187" s="12" t="s">
        <v>234</v>
      </c>
      <c r="F187" s="12" t="s">
        <v>395</v>
      </c>
      <c r="G187" s="56">
        <f t="shared" si="6"/>
        <v>0</v>
      </c>
      <c r="H187" s="56"/>
      <c r="I187" s="56">
        <f>70472.47-70472.47</f>
        <v>0</v>
      </c>
      <c r="J187" s="56"/>
      <c r="K187" s="86"/>
    </row>
    <row r="188" spans="1:11" s="3" customFormat="1" ht="183" customHeight="1" hidden="1">
      <c r="A188" s="11" t="s">
        <v>351</v>
      </c>
      <c r="B188" s="64" t="s">
        <v>352</v>
      </c>
      <c r="C188" s="64" t="s">
        <v>293</v>
      </c>
      <c r="D188" s="74" t="s">
        <v>353</v>
      </c>
      <c r="E188" s="14" t="s">
        <v>382</v>
      </c>
      <c r="F188" s="26" t="s">
        <v>416</v>
      </c>
      <c r="G188" s="56">
        <f t="shared" si="6"/>
        <v>0</v>
      </c>
      <c r="H188" s="56"/>
      <c r="I188" s="56"/>
      <c r="J188" s="56"/>
      <c r="K188" s="86"/>
    </row>
    <row r="189" spans="1:11" ht="121.5" customHeight="1">
      <c r="A189" s="11" t="s">
        <v>209</v>
      </c>
      <c r="B189" s="64" t="s">
        <v>96</v>
      </c>
      <c r="C189" s="64" t="s">
        <v>28</v>
      </c>
      <c r="D189" s="12" t="s">
        <v>57</v>
      </c>
      <c r="E189" s="12" t="s">
        <v>466</v>
      </c>
      <c r="F189" s="45" t="s">
        <v>396</v>
      </c>
      <c r="G189" s="56">
        <f t="shared" si="6"/>
        <v>87108500.05</v>
      </c>
      <c r="H189" s="56">
        <f>520000+100000-174000-29000</f>
        <v>417000</v>
      </c>
      <c r="I189" s="56">
        <f>6550020+22810180+48093527+30943453-2000000+154500-3232000+500000-7800000+2000000+2000000-9106470.95-500000-500000-1000000-512229-1349480-360000</f>
        <v>86691500.05</v>
      </c>
      <c r="J189" s="56">
        <f>6550020+22810180+48093527-2000000+154500-3232000+500000-7800000+2000000+2000000-9106470.95-500000-500000-1000000-512229-1349480-360000</f>
        <v>55748047.05</v>
      </c>
      <c r="K189" s="86"/>
    </row>
    <row r="190" spans="1:11" s="3" customFormat="1" ht="177">
      <c r="A190" s="11" t="s">
        <v>366</v>
      </c>
      <c r="B190" s="64" t="s">
        <v>232</v>
      </c>
      <c r="C190" s="64" t="s">
        <v>5</v>
      </c>
      <c r="D190" s="12" t="s">
        <v>233</v>
      </c>
      <c r="E190" s="14" t="s">
        <v>476</v>
      </c>
      <c r="F190" s="45" t="s">
        <v>449</v>
      </c>
      <c r="G190" s="56">
        <f t="shared" si="6"/>
        <v>150000</v>
      </c>
      <c r="H190" s="56">
        <v>150000</v>
      </c>
      <c r="I190" s="56"/>
      <c r="J190" s="56"/>
      <c r="K190" s="86"/>
    </row>
    <row r="191" spans="1:11" s="3" customFormat="1" ht="398.25" customHeight="1" hidden="1">
      <c r="A191" s="11" t="s">
        <v>442</v>
      </c>
      <c r="B191" s="64" t="s">
        <v>280</v>
      </c>
      <c r="C191" s="64" t="s">
        <v>5</v>
      </c>
      <c r="D191" s="12" t="s">
        <v>301</v>
      </c>
      <c r="E191" s="14"/>
      <c r="F191" s="26"/>
      <c r="G191" s="56">
        <f t="shared" si="6"/>
        <v>0</v>
      </c>
      <c r="H191" s="56"/>
      <c r="I191" s="56"/>
      <c r="J191" s="56"/>
      <c r="K191" s="86"/>
    </row>
    <row r="192" spans="1:11" s="3" customFormat="1" ht="167.25" customHeight="1">
      <c r="A192" s="11" t="s">
        <v>340</v>
      </c>
      <c r="B192" s="64" t="s">
        <v>338</v>
      </c>
      <c r="C192" s="64" t="s">
        <v>4</v>
      </c>
      <c r="D192" s="12" t="s">
        <v>443</v>
      </c>
      <c r="E192" s="14" t="s">
        <v>245</v>
      </c>
      <c r="F192" s="14" t="s">
        <v>392</v>
      </c>
      <c r="G192" s="56">
        <f t="shared" si="6"/>
        <v>2259789.21</v>
      </c>
      <c r="H192" s="56">
        <v>1415094</v>
      </c>
      <c r="I192" s="56">
        <v>844695.21</v>
      </c>
      <c r="J192" s="56"/>
      <c r="K192" s="86"/>
    </row>
    <row r="193" spans="1:11" s="3" customFormat="1" ht="209.25" customHeight="1">
      <c r="A193" s="11" t="s">
        <v>341</v>
      </c>
      <c r="B193" s="64" t="s">
        <v>339</v>
      </c>
      <c r="C193" s="64" t="s">
        <v>4</v>
      </c>
      <c r="D193" s="12" t="s">
        <v>444</v>
      </c>
      <c r="E193" s="14" t="s">
        <v>245</v>
      </c>
      <c r="F193" s="14" t="s">
        <v>392</v>
      </c>
      <c r="G193" s="56">
        <f t="shared" si="6"/>
        <v>-720000</v>
      </c>
      <c r="H193" s="56"/>
      <c r="I193" s="56">
        <v>-720000</v>
      </c>
      <c r="J193" s="56"/>
      <c r="K193" s="86"/>
    </row>
    <row r="194" spans="1:11" s="2" customFormat="1" ht="108" customHeight="1">
      <c r="A194" s="18"/>
      <c r="B194" s="66"/>
      <c r="C194" s="66"/>
      <c r="D194" s="19" t="s">
        <v>210</v>
      </c>
      <c r="E194" s="49"/>
      <c r="F194" s="49"/>
      <c r="G194" s="55">
        <f>SUM(G195+G196+G197+G198+G199)</f>
        <v>2191620</v>
      </c>
      <c r="H194" s="55">
        <f>SUM(H195+H196+H197+H198+H199)</f>
        <v>1133615</v>
      </c>
      <c r="I194" s="55">
        <f>SUM(I195+I196+I197+I198+I199)</f>
        <v>1058005</v>
      </c>
      <c r="J194" s="55">
        <f>SUM(J195+J196+J197+J198+J199)</f>
        <v>0</v>
      </c>
      <c r="K194" s="86"/>
    </row>
    <row r="195" spans="1:11" ht="144" customHeight="1">
      <c r="A195" s="11" t="s">
        <v>211</v>
      </c>
      <c r="B195" s="64" t="s">
        <v>80</v>
      </c>
      <c r="C195" s="64" t="s">
        <v>2</v>
      </c>
      <c r="D195" s="12" t="s">
        <v>81</v>
      </c>
      <c r="E195" s="12" t="s">
        <v>379</v>
      </c>
      <c r="F195" s="45" t="s">
        <v>446</v>
      </c>
      <c r="G195" s="56">
        <f>H195+I195</f>
        <v>50000</v>
      </c>
      <c r="H195" s="56">
        <v>50000</v>
      </c>
      <c r="I195" s="56"/>
      <c r="J195" s="56"/>
      <c r="K195" s="86"/>
    </row>
    <row r="196" spans="1:11" ht="177" customHeight="1">
      <c r="A196" s="11" t="s">
        <v>294</v>
      </c>
      <c r="B196" s="64" t="s">
        <v>218</v>
      </c>
      <c r="C196" s="64" t="s">
        <v>239</v>
      </c>
      <c r="D196" s="30" t="s">
        <v>238</v>
      </c>
      <c r="E196" s="12" t="s">
        <v>234</v>
      </c>
      <c r="F196" s="12" t="s">
        <v>395</v>
      </c>
      <c r="G196" s="56">
        <f>H196+I196</f>
        <v>180000</v>
      </c>
      <c r="H196" s="56">
        <v>180000</v>
      </c>
      <c r="I196" s="56"/>
      <c r="J196" s="56"/>
      <c r="K196" s="86"/>
    </row>
    <row r="197" spans="1:11" ht="139.5" customHeight="1">
      <c r="A197" s="25" t="s">
        <v>363</v>
      </c>
      <c r="B197" s="61" t="s">
        <v>364</v>
      </c>
      <c r="C197" s="61" t="s">
        <v>5</v>
      </c>
      <c r="D197" s="26" t="s">
        <v>365</v>
      </c>
      <c r="E197" s="12" t="s">
        <v>412</v>
      </c>
      <c r="F197" s="12" t="s">
        <v>452</v>
      </c>
      <c r="G197" s="56">
        <f>H197+I197</f>
        <v>903615</v>
      </c>
      <c r="H197" s="56">
        <f>935200-31585</f>
        <v>903615</v>
      </c>
      <c r="I197" s="56"/>
      <c r="J197" s="56"/>
      <c r="K197" s="86"/>
    </row>
    <row r="198" spans="1:11" s="3" customFormat="1" ht="237" customHeight="1">
      <c r="A198" s="113" t="s">
        <v>281</v>
      </c>
      <c r="B198" s="97" t="s">
        <v>280</v>
      </c>
      <c r="C198" s="97" t="s">
        <v>5</v>
      </c>
      <c r="D198" s="93" t="s">
        <v>301</v>
      </c>
      <c r="E198" s="12" t="s">
        <v>234</v>
      </c>
      <c r="F198" s="12" t="s">
        <v>395</v>
      </c>
      <c r="G198" s="56">
        <f>H198+I198</f>
        <v>250005</v>
      </c>
      <c r="H198" s="56"/>
      <c r="I198" s="56">
        <v>250005</v>
      </c>
      <c r="J198" s="56"/>
      <c r="K198" s="86"/>
    </row>
    <row r="199" spans="1:11" s="3" customFormat="1" ht="180" customHeight="1">
      <c r="A199" s="115"/>
      <c r="B199" s="98"/>
      <c r="C199" s="98"/>
      <c r="D199" s="94"/>
      <c r="E199" s="12" t="s">
        <v>412</v>
      </c>
      <c r="F199" s="12" t="s">
        <v>452</v>
      </c>
      <c r="G199" s="56">
        <f>H199+I199</f>
        <v>808000</v>
      </c>
      <c r="H199" s="56"/>
      <c r="I199" s="56">
        <v>808000</v>
      </c>
      <c r="J199" s="56"/>
      <c r="K199" s="86"/>
    </row>
    <row r="200" spans="1:11" s="2" customFormat="1" ht="97.5" customHeight="1">
      <c r="A200" s="18"/>
      <c r="B200" s="66"/>
      <c r="C200" s="66"/>
      <c r="D200" s="19" t="s">
        <v>202</v>
      </c>
      <c r="E200" s="19"/>
      <c r="F200" s="48"/>
      <c r="G200" s="55">
        <f>SUM(G201+G202+G203+G204+G205+G206)</f>
        <v>14902103.33</v>
      </c>
      <c r="H200" s="55">
        <f>SUM(H201+H202+H203+H204+H205+H206)</f>
        <v>1888000</v>
      </c>
      <c r="I200" s="55">
        <f>SUM(I201+I202+I203+I204+I205+I206)</f>
        <v>13014103.33</v>
      </c>
      <c r="J200" s="55">
        <f>SUM(J201+J202+J203+J204+J205+J206)</f>
        <v>12963400</v>
      </c>
      <c r="K200" s="86"/>
    </row>
    <row r="201" spans="1:11" ht="205.5" customHeight="1">
      <c r="A201" s="11" t="s">
        <v>203</v>
      </c>
      <c r="B201" s="64" t="s">
        <v>118</v>
      </c>
      <c r="C201" s="64" t="s">
        <v>27</v>
      </c>
      <c r="D201" s="12" t="s">
        <v>119</v>
      </c>
      <c r="E201" s="14" t="s">
        <v>493</v>
      </c>
      <c r="F201" s="47" t="s">
        <v>417</v>
      </c>
      <c r="G201" s="56">
        <f aca="true" t="shared" si="7" ref="G201:G206">H201+I201</f>
        <v>986703.33</v>
      </c>
      <c r="H201" s="56">
        <f>1351000-15000-400000</f>
        <v>936000</v>
      </c>
      <c r="I201" s="56">
        <f>14343.33+36360</f>
        <v>50703.33</v>
      </c>
      <c r="J201" s="56"/>
      <c r="K201" s="86"/>
    </row>
    <row r="202" spans="1:11" ht="151.5" customHeight="1">
      <c r="A202" s="11" t="s">
        <v>367</v>
      </c>
      <c r="B202" s="64" t="s">
        <v>364</v>
      </c>
      <c r="C202" s="64" t="s">
        <v>5</v>
      </c>
      <c r="D202" s="12" t="s">
        <v>365</v>
      </c>
      <c r="E202" s="14" t="s">
        <v>476</v>
      </c>
      <c r="F202" s="45" t="s">
        <v>449</v>
      </c>
      <c r="G202" s="56">
        <f t="shared" si="7"/>
        <v>12888400</v>
      </c>
      <c r="H202" s="56"/>
      <c r="I202" s="56">
        <v>12888400</v>
      </c>
      <c r="J202" s="56">
        <v>12888400</v>
      </c>
      <c r="K202" s="86"/>
    </row>
    <row r="203" spans="1:11" ht="163.5" customHeight="1">
      <c r="A203" s="11" t="s">
        <v>204</v>
      </c>
      <c r="B203" s="64" t="s">
        <v>109</v>
      </c>
      <c r="C203" s="64" t="s">
        <v>6</v>
      </c>
      <c r="D203" s="12" t="s">
        <v>50</v>
      </c>
      <c r="E203" s="12" t="s">
        <v>467</v>
      </c>
      <c r="F203" s="45" t="s">
        <v>394</v>
      </c>
      <c r="G203" s="56">
        <f t="shared" si="7"/>
        <v>307000</v>
      </c>
      <c r="H203" s="56">
        <f>322000-15000</f>
        <v>307000</v>
      </c>
      <c r="I203" s="56"/>
      <c r="J203" s="56"/>
      <c r="K203" s="86"/>
    </row>
    <row r="204" spans="1:11" ht="196.5" customHeight="1">
      <c r="A204" s="11" t="s">
        <v>258</v>
      </c>
      <c r="B204" s="64" t="s">
        <v>257</v>
      </c>
      <c r="C204" s="64" t="s">
        <v>5</v>
      </c>
      <c r="D204" s="12" t="s">
        <v>259</v>
      </c>
      <c r="E204" s="14" t="s">
        <v>493</v>
      </c>
      <c r="F204" s="47" t="s">
        <v>417</v>
      </c>
      <c r="G204" s="56">
        <f t="shared" si="7"/>
        <v>50000</v>
      </c>
      <c r="H204" s="56"/>
      <c r="I204" s="56">
        <v>50000</v>
      </c>
      <c r="J204" s="56">
        <v>50000</v>
      </c>
      <c r="K204" s="86"/>
    </row>
    <row r="205" spans="1:11" ht="247.5" customHeight="1">
      <c r="A205" s="11" t="s">
        <v>261</v>
      </c>
      <c r="B205" s="64" t="s">
        <v>262</v>
      </c>
      <c r="C205" s="64" t="s">
        <v>5</v>
      </c>
      <c r="D205" s="12" t="s">
        <v>263</v>
      </c>
      <c r="E205" s="14" t="s">
        <v>493</v>
      </c>
      <c r="F205" s="47" t="s">
        <v>417</v>
      </c>
      <c r="G205" s="56">
        <f t="shared" si="7"/>
        <v>25000</v>
      </c>
      <c r="H205" s="56"/>
      <c r="I205" s="56">
        <v>25000</v>
      </c>
      <c r="J205" s="56">
        <v>25000</v>
      </c>
      <c r="K205" s="86"/>
    </row>
    <row r="206" spans="1:11" s="3" customFormat="1" ht="235.5" customHeight="1">
      <c r="A206" s="11" t="s">
        <v>260</v>
      </c>
      <c r="B206" s="64" t="s">
        <v>232</v>
      </c>
      <c r="C206" s="64">
        <v>490</v>
      </c>
      <c r="D206" s="12" t="s">
        <v>233</v>
      </c>
      <c r="E206" s="14" t="s">
        <v>493</v>
      </c>
      <c r="F206" s="47" t="s">
        <v>417</v>
      </c>
      <c r="G206" s="56">
        <f t="shared" si="7"/>
        <v>645000</v>
      </c>
      <c r="H206" s="56">
        <f>630000+15000</f>
        <v>645000</v>
      </c>
      <c r="I206" s="56"/>
      <c r="J206" s="56"/>
      <c r="K206" s="86"/>
    </row>
    <row r="207" spans="1:11" ht="160.5" customHeight="1" hidden="1">
      <c r="A207" s="11" t="s">
        <v>334</v>
      </c>
      <c r="B207" s="64" t="s">
        <v>323</v>
      </c>
      <c r="C207" s="64" t="s">
        <v>29</v>
      </c>
      <c r="D207" s="27" t="s">
        <v>324</v>
      </c>
      <c r="E207" s="12" t="s">
        <v>65</v>
      </c>
      <c r="F207" s="45" t="s">
        <v>394</v>
      </c>
      <c r="G207" s="56">
        <f t="shared" si="6"/>
        <v>0</v>
      </c>
      <c r="H207" s="56"/>
      <c r="I207" s="56"/>
      <c r="J207" s="56"/>
      <c r="K207" s="86"/>
    </row>
    <row r="208" spans="1:11" s="2" customFormat="1" ht="141.75" customHeight="1">
      <c r="A208" s="18"/>
      <c r="B208" s="66"/>
      <c r="C208" s="66"/>
      <c r="D208" s="19" t="s">
        <v>212</v>
      </c>
      <c r="E208" s="49"/>
      <c r="F208" s="49"/>
      <c r="G208" s="55">
        <f>SUM(G209+G210+G211+G212+G214+G213)</f>
        <v>8864510</v>
      </c>
      <c r="H208" s="55">
        <f>SUM(H209+H210+H211+H212+H214+H213)</f>
        <v>324510</v>
      </c>
      <c r="I208" s="55">
        <f>SUM(I209+I210+I211+I212+I214+I213)</f>
        <v>8540000</v>
      </c>
      <c r="J208" s="55">
        <f>SUM(J209+J210+J211+J212+J214+J213)</f>
        <v>500000</v>
      </c>
      <c r="K208" s="86"/>
    </row>
    <row r="209" spans="1:11" s="2" customFormat="1" ht="177" hidden="1">
      <c r="A209" s="11" t="s">
        <v>456</v>
      </c>
      <c r="B209" s="64">
        <v>7370</v>
      </c>
      <c r="C209" s="11" t="s">
        <v>5</v>
      </c>
      <c r="D209" s="12" t="s">
        <v>365</v>
      </c>
      <c r="E209" s="14" t="s">
        <v>476</v>
      </c>
      <c r="F209" s="45" t="s">
        <v>449</v>
      </c>
      <c r="G209" s="56">
        <f aca="true" t="shared" si="8" ref="G209:G214">H209+I209</f>
        <v>0</v>
      </c>
      <c r="H209" s="56">
        <f>50000-50000</f>
        <v>0</v>
      </c>
      <c r="I209" s="55"/>
      <c r="J209" s="55"/>
      <c r="K209" s="86"/>
    </row>
    <row r="210" spans="1:11" s="2" customFormat="1" ht="129.75" customHeight="1">
      <c r="A210" s="11" t="s">
        <v>264</v>
      </c>
      <c r="B210" s="64" t="s">
        <v>96</v>
      </c>
      <c r="C210" s="64" t="s">
        <v>28</v>
      </c>
      <c r="D210" s="12" t="s">
        <v>57</v>
      </c>
      <c r="E210" s="12" t="s">
        <v>466</v>
      </c>
      <c r="F210" s="45" t="s">
        <v>396</v>
      </c>
      <c r="G210" s="56">
        <f t="shared" si="8"/>
        <v>318700</v>
      </c>
      <c r="H210" s="56">
        <f>245000+40000+21000-13300+26000</f>
        <v>318700</v>
      </c>
      <c r="I210" s="56"/>
      <c r="J210" s="56"/>
      <c r="K210" s="86"/>
    </row>
    <row r="211" spans="1:11" s="2" customFormat="1" ht="186" customHeight="1">
      <c r="A211" s="11" t="s">
        <v>400</v>
      </c>
      <c r="B211" s="64" t="s">
        <v>232</v>
      </c>
      <c r="C211" s="64" t="s">
        <v>5</v>
      </c>
      <c r="D211" s="12" t="s">
        <v>233</v>
      </c>
      <c r="E211" s="14" t="s">
        <v>476</v>
      </c>
      <c r="F211" s="45" t="s">
        <v>449</v>
      </c>
      <c r="G211" s="56">
        <f t="shared" si="8"/>
        <v>5810</v>
      </c>
      <c r="H211" s="56">
        <f>70000-64190</f>
        <v>5810</v>
      </c>
      <c r="I211" s="56"/>
      <c r="J211" s="56"/>
      <c r="K211" s="86"/>
    </row>
    <row r="212" spans="1:11" ht="138.75" customHeight="1">
      <c r="A212" s="11" t="s">
        <v>213</v>
      </c>
      <c r="B212" s="64" t="s">
        <v>89</v>
      </c>
      <c r="C212" s="64" t="s">
        <v>13</v>
      </c>
      <c r="D212" s="12" t="s">
        <v>90</v>
      </c>
      <c r="E212" s="14" t="s">
        <v>387</v>
      </c>
      <c r="F212" s="26" t="s">
        <v>447</v>
      </c>
      <c r="G212" s="56">
        <f t="shared" si="8"/>
        <v>40000</v>
      </c>
      <c r="H212" s="56"/>
      <c r="I212" s="56">
        <v>40000</v>
      </c>
      <c r="J212" s="56"/>
      <c r="K212" s="86"/>
    </row>
    <row r="213" spans="1:11" ht="381.75" customHeight="1">
      <c r="A213" s="11" t="s">
        <v>481</v>
      </c>
      <c r="B213" s="81" t="s">
        <v>483</v>
      </c>
      <c r="C213" s="81" t="s">
        <v>29</v>
      </c>
      <c r="D213" s="80" t="s">
        <v>482</v>
      </c>
      <c r="E213" s="14" t="s">
        <v>476</v>
      </c>
      <c r="F213" s="45" t="s">
        <v>449</v>
      </c>
      <c r="G213" s="56">
        <f t="shared" si="8"/>
        <v>8000000</v>
      </c>
      <c r="H213" s="56"/>
      <c r="I213" s="56">
        <v>8000000</v>
      </c>
      <c r="J213" s="56"/>
      <c r="K213" s="87"/>
    </row>
    <row r="214" spans="1:11" ht="174.75" customHeight="1">
      <c r="A214" s="11" t="s">
        <v>306</v>
      </c>
      <c r="B214" s="64" t="s">
        <v>87</v>
      </c>
      <c r="C214" s="64" t="s">
        <v>29</v>
      </c>
      <c r="D214" s="12" t="s">
        <v>88</v>
      </c>
      <c r="E214" s="14" t="s">
        <v>476</v>
      </c>
      <c r="F214" s="45" t="s">
        <v>449</v>
      </c>
      <c r="G214" s="56">
        <f t="shared" si="8"/>
        <v>500000</v>
      </c>
      <c r="H214" s="56"/>
      <c r="I214" s="56">
        <v>500000</v>
      </c>
      <c r="J214" s="56">
        <v>500000</v>
      </c>
      <c r="K214" s="87"/>
    </row>
    <row r="215" spans="1:11" s="38" customFormat="1" ht="54.75" customHeight="1">
      <c r="A215" s="37"/>
      <c r="B215" s="131" t="s">
        <v>3</v>
      </c>
      <c r="C215" s="132"/>
      <c r="D215" s="132"/>
      <c r="E215" s="133"/>
      <c r="F215" s="42"/>
      <c r="G215" s="60">
        <f>G11+G54+G82+G107+G131+G128+G139+G170+G194+G200+G208</f>
        <v>2253194634.8</v>
      </c>
      <c r="H215" s="60">
        <f>H11+H54+H82+H107+H131+H128+H139+H170+H194+H200+H208</f>
        <v>1638712413.47</v>
      </c>
      <c r="I215" s="60">
        <f>I11+I54+I82+I107+I131+I128+I139+I170+I194+I200+I208</f>
        <v>614482221.33</v>
      </c>
      <c r="J215" s="60">
        <f>J11+J54+J82+J107+J131+J128+J139+J170+J194+J200+J208</f>
        <v>474328591.52000004</v>
      </c>
      <c r="K215" s="87"/>
    </row>
    <row r="216" spans="1:11" ht="62.25" customHeight="1">
      <c r="A216" s="8"/>
      <c r="B216" s="7"/>
      <c r="C216" s="8"/>
      <c r="D216" s="21"/>
      <c r="E216" s="22"/>
      <c r="F216" s="22"/>
      <c r="G216" s="91"/>
      <c r="H216" s="23"/>
      <c r="I216" s="23"/>
      <c r="J216" s="23"/>
      <c r="K216" s="87"/>
    </row>
    <row r="217" spans="1:11" ht="62.25" customHeight="1">
      <c r="A217" s="8"/>
      <c r="B217" s="7"/>
      <c r="C217" s="8"/>
      <c r="D217" s="21"/>
      <c r="E217" s="22"/>
      <c r="F217" s="22"/>
      <c r="G217" s="91"/>
      <c r="H217" s="23"/>
      <c r="I217" s="23"/>
      <c r="J217" s="23"/>
      <c r="K217" s="87"/>
    </row>
    <row r="218" spans="1:11" ht="62.25" customHeight="1">
      <c r="A218" s="8"/>
      <c r="B218" s="7"/>
      <c r="C218" s="8"/>
      <c r="D218" s="21"/>
      <c r="E218" s="22"/>
      <c r="F218" s="22"/>
      <c r="G218" s="91"/>
      <c r="H218" s="23"/>
      <c r="I218" s="23"/>
      <c r="J218" s="23"/>
      <c r="K218" s="87"/>
    </row>
    <row r="219" spans="1:11" ht="80.25" customHeight="1">
      <c r="A219" s="8"/>
      <c r="B219" s="7"/>
      <c r="C219" s="8"/>
      <c r="D219" s="21"/>
      <c r="E219" s="22"/>
      <c r="F219" s="22"/>
      <c r="G219" s="91"/>
      <c r="H219" s="23"/>
      <c r="I219" s="23"/>
      <c r="J219" s="23"/>
      <c r="K219" s="87"/>
    </row>
    <row r="220" spans="1:11" s="78" customFormat="1" ht="102.75" customHeight="1">
      <c r="A220" s="128" t="s">
        <v>497</v>
      </c>
      <c r="B220" s="128"/>
      <c r="C220" s="128"/>
      <c r="D220" s="128"/>
      <c r="E220" s="88"/>
      <c r="F220" s="75"/>
      <c r="G220" s="92"/>
      <c r="H220" s="76"/>
      <c r="I220" s="77" t="s">
        <v>496</v>
      </c>
      <c r="J220" s="76"/>
      <c r="K220" s="87"/>
    </row>
    <row r="221" spans="1:11" s="78" customFormat="1" ht="72.75" customHeight="1">
      <c r="A221" s="88"/>
      <c r="B221" s="88"/>
      <c r="C221" s="88"/>
      <c r="D221" s="88"/>
      <c r="E221" s="88"/>
      <c r="F221" s="75"/>
      <c r="G221" s="92"/>
      <c r="H221" s="76"/>
      <c r="I221" s="77"/>
      <c r="J221" s="76"/>
      <c r="K221" s="87"/>
    </row>
    <row r="222" spans="1:3" ht="66.75">
      <c r="A222" s="89" t="s">
        <v>487</v>
      </c>
      <c r="B222" s="89"/>
      <c r="C222" s="89"/>
    </row>
    <row r="223" spans="1:3" ht="60.75" customHeight="1">
      <c r="A223" s="89" t="s">
        <v>484</v>
      </c>
      <c r="B223" s="89"/>
      <c r="C223" s="89"/>
    </row>
    <row r="224" spans="1:3" ht="66.75">
      <c r="A224" s="89"/>
      <c r="B224" s="89"/>
      <c r="C224" s="89"/>
    </row>
  </sheetData>
  <sheetProtection/>
  <mergeCells count="123">
    <mergeCell ref="A220:D220"/>
    <mergeCell ref="C178:C179"/>
    <mergeCell ref="B178:B179"/>
    <mergeCell ref="D178:D179"/>
    <mergeCell ref="I9:J9"/>
    <mergeCell ref="G9:G10"/>
    <mergeCell ref="B215:E215"/>
    <mergeCell ref="A159:A160"/>
    <mergeCell ref="B141:B142"/>
    <mergeCell ref="B149:B150"/>
    <mergeCell ref="H2:J2"/>
    <mergeCell ref="H3:J3"/>
    <mergeCell ref="H5:J5"/>
    <mergeCell ref="D16:D17"/>
    <mergeCell ref="D198:D199"/>
    <mergeCell ref="D159:D160"/>
    <mergeCell ref="A7:J7"/>
    <mergeCell ref="A198:A199"/>
    <mergeCell ref="B198:B199"/>
    <mergeCell ref="C198:C199"/>
    <mergeCell ref="C149:C150"/>
    <mergeCell ref="B71:B73"/>
    <mergeCell ref="B151:B153"/>
    <mergeCell ref="B9:B10"/>
    <mergeCell ref="C22:C23"/>
    <mergeCell ref="F9:F10"/>
    <mergeCell ref="D9:D10"/>
    <mergeCell ref="B16:B17"/>
    <mergeCell ref="D22:D23"/>
    <mergeCell ref="C9:C10"/>
    <mergeCell ref="C159:C160"/>
    <mergeCell ref="C123:C124"/>
    <mergeCell ref="D151:D153"/>
    <mergeCell ref="D149:D150"/>
    <mergeCell ref="C154:C155"/>
    <mergeCell ref="B159:B160"/>
    <mergeCell ref="C126:C127"/>
    <mergeCell ref="D154:D155"/>
    <mergeCell ref="C141:C142"/>
    <mergeCell ref="C151:C153"/>
    <mergeCell ref="A22:A23"/>
    <mergeCell ref="A9:A10"/>
    <mergeCell ref="B22:B23"/>
    <mergeCell ref="C16:C17"/>
    <mergeCell ref="E9:E10"/>
    <mergeCell ref="H9:H10"/>
    <mergeCell ref="A13:A14"/>
    <mergeCell ref="B13:B14"/>
    <mergeCell ref="C13:C14"/>
    <mergeCell ref="D13:D14"/>
    <mergeCell ref="A154:A155"/>
    <mergeCell ref="B154:B155"/>
    <mergeCell ref="A178:A179"/>
    <mergeCell ref="A16:A17"/>
    <mergeCell ref="A151:A153"/>
    <mergeCell ref="A141:A142"/>
    <mergeCell ref="A149:A150"/>
    <mergeCell ref="B123:B124"/>
    <mergeCell ref="B126:B127"/>
    <mergeCell ref="A126:A127"/>
    <mergeCell ref="A123:A124"/>
    <mergeCell ref="B76:B77"/>
    <mergeCell ref="B84:B86"/>
    <mergeCell ref="B99:B101"/>
    <mergeCell ref="A90:A91"/>
    <mergeCell ref="B87:B89"/>
    <mergeCell ref="B118:B119"/>
    <mergeCell ref="B116:B117"/>
    <mergeCell ref="A118:A119"/>
    <mergeCell ref="A116:A117"/>
    <mergeCell ref="A51:A53"/>
    <mergeCell ref="C71:C73"/>
    <mergeCell ref="B51:B53"/>
    <mergeCell ref="A84:A86"/>
    <mergeCell ref="A41:A42"/>
    <mergeCell ref="A71:A73"/>
    <mergeCell ref="A76:A77"/>
    <mergeCell ref="C76:C77"/>
    <mergeCell ref="C84:C86"/>
    <mergeCell ref="D56:D58"/>
    <mergeCell ref="A59:A62"/>
    <mergeCell ref="B56:B58"/>
    <mergeCell ref="A56:A58"/>
    <mergeCell ref="B59:B62"/>
    <mergeCell ref="B41:B42"/>
    <mergeCell ref="C41:C42"/>
    <mergeCell ref="D41:D42"/>
    <mergeCell ref="A48:A50"/>
    <mergeCell ref="C51:C53"/>
    <mergeCell ref="A87:A89"/>
    <mergeCell ref="D51:D53"/>
    <mergeCell ref="D48:D50"/>
    <mergeCell ref="B48:B50"/>
    <mergeCell ref="C48:C50"/>
    <mergeCell ref="C87:C89"/>
    <mergeCell ref="C56:C58"/>
    <mergeCell ref="C59:C62"/>
    <mergeCell ref="D59:D62"/>
    <mergeCell ref="D71:D73"/>
    <mergeCell ref="C94:C95"/>
    <mergeCell ref="C99:C101"/>
    <mergeCell ref="A94:A95"/>
    <mergeCell ref="A92:A93"/>
    <mergeCell ref="B90:B91"/>
    <mergeCell ref="C90:C91"/>
    <mergeCell ref="C92:C93"/>
    <mergeCell ref="C116:C117"/>
    <mergeCell ref="C118:C119"/>
    <mergeCell ref="D141:D142"/>
    <mergeCell ref="D126:D127"/>
    <mergeCell ref="A99:A101"/>
    <mergeCell ref="B92:B93"/>
    <mergeCell ref="D99:D101"/>
    <mergeCell ref="D94:D95"/>
    <mergeCell ref="D92:D93"/>
    <mergeCell ref="B94:B95"/>
    <mergeCell ref="D76:D77"/>
    <mergeCell ref="D84:D86"/>
    <mergeCell ref="D123:D124"/>
    <mergeCell ref="D118:D119"/>
    <mergeCell ref="D116:D117"/>
    <mergeCell ref="D87:D89"/>
    <mergeCell ref="D90:D91"/>
  </mergeCells>
  <printOptions horizontalCentered="1"/>
  <pageMargins left="0.1968503937007874" right="0.11811023622047245" top="0.9055118110236221" bottom="0.5905511811023623" header="0.4330708661417323" footer="0"/>
  <pageSetup firstPageNumber="1" useFirstPageNumber="1" fitToHeight="11" horizontalDpi="600" verticalDpi="600" orientation="landscape" paperSize="9" scale="17" r:id="rId1"/>
  <headerFooter scaleWithDoc="0" alignWithMargins="0">
    <oddHeader>&amp;R
</oddHeader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Пасиленко Ганна Михайлівна</cp:lastModifiedBy>
  <cp:lastPrinted>2019-12-27T07:09:37Z</cp:lastPrinted>
  <dcterms:created xsi:type="dcterms:W3CDTF">2014-01-17T10:52:16Z</dcterms:created>
  <dcterms:modified xsi:type="dcterms:W3CDTF">2019-12-28T10:24:58Z</dcterms:modified>
  <cp:category/>
  <cp:version/>
  <cp:contentType/>
  <cp:contentStatus/>
</cp:coreProperties>
</file>