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Квітень- СМР 13.05\СМР 13.05.20\СМР перенесено на 13.05.20\Доопрацьовано\"/>
    </mc:Choice>
  </mc:AlternateContent>
  <bookViews>
    <workbookView xWindow="0" yWindow="0" windowWidth="19200" windowHeight="11460" tabRatio="495"/>
  </bookViews>
  <sheets>
    <sheet name="дод 3" sheetId="1" r:id="rId1"/>
    <sheet name="дод 4" sheetId="3" r:id="rId2"/>
  </sheets>
  <definedNames>
    <definedName name="_xlnm.Print_Titles" localSheetId="0">'дод 3'!$15:$17</definedName>
    <definedName name="_xlnm.Print_Titles" localSheetId="1">'дод 4'!$16:$18</definedName>
    <definedName name="_xlnm.Print_Area" localSheetId="0">'дод 3'!$A$1:$P$215</definedName>
    <definedName name="_xlnm.Print_Area" localSheetId="1">'дод 4'!$A$1:$O$165</definedName>
  </definedNames>
  <calcPr calcId="162913"/>
</workbook>
</file>

<file path=xl/calcChain.xml><?xml version="1.0" encoding="utf-8"?>
<calcChain xmlns="http://schemas.openxmlformats.org/spreadsheetml/2006/main">
  <c r="P136" i="1" l="1"/>
  <c r="O136" i="1"/>
  <c r="N136" i="1"/>
  <c r="M136" i="1"/>
  <c r="L136" i="1"/>
  <c r="K136" i="1"/>
  <c r="J136" i="1"/>
  <c r="I136" i="1"/>
  <c r="H136" i="1"/>
  <c r="G136" i="1"/>
  <c r="E136" i="1"/>
  <c r="F136" i="1"/>
  <c r="O109" i="3"/>
  <c r="N109" i="3"/>
  <c r="M109" i="3"/>
  <c r="L109" i="3"/>
  <c r="K109" i="3"/>
  <c r="J109" i="3"/>
  <c r="I109" i="3"/>
  <c r="H109" i="3"/>
  <c r="G109" i="3"/>
  <c r="F109" i="3"/>
  <c r="E109" i="3"/>
  <c r="D109" i="3"/>
  <c r="J149" i="1"/>
  <c r="E149" i="1"/>
  <c r="P149" i="1" s="1"/>
  <c r="D149" i="1"/>
  <c r="C149" i="1"/>
  <c r="B149" i="1"/>
  <c r="F118" i="1" l="1"/>
  <c r="F146" i="1"/>
  <c r="K83" i="1" l="1"/>
  <c r="F145" i="1"/>
  <c r="O145" i="1"/>
  <c r="K145" i="1"/>
  <c r="O144" i="1"/>
  <c r="K144" i="1"/>
  <c r="I144" i="1"/>
  <c r="O142" i="1"/>
  <c r="K142" i="1"/>
  <c r="G100" i="1"/>
  <c r="F100" i="1"/>
  <c r="F89" i="1" l="1"/>
  <c r="G82" i="1"/>
  <c r="F82" i="1"/>
  <c r="F58" i="1"/>
  <c r="O58" i="1"/>
  <c r="K58" i="1"/>
  <c r="E204" i="1" l="1"/>
  <c r="G198" i="1"/>
  <c r="F198" i="1"/>
  <c r="G190" i="1"/>
  <c r="F190" i="1"/>
  <c r="G187" i="1"/>
  <c r="F187" i="1"/>
  <c r="G182" i="1"/>
  <c r="F182" i="1"/>
  <c r="O174" i="1"/>
  <c r="K174" i="1"/>
  <c r="G165" i="1"/>
  <c r="F165" i="1"/>
  <c r="F159" i="1"/>
  <c r="H145" i="1"/>
  <c r="O140" i="1"/>
  <c r="K140" i="1"/>
  <c r="G138" i="1"/>
  <c r="F138" i="1"/>
  <c r="F130" i="1"/>
  <c r="F129" i="1"/>
  <c r="O128" i="1"/>
  <c r="K128" i="1"/>
  <c r="F128" i="1"/>
  <c r="G127" i="1"/>
  <c r="F127" i="1"/>
  <c r="G122" i="1"/>
  <c r="F122" i="1"/>
  <c r="F117" i="1"/>
  <c r="H117" i="1"/>
  <c r="F109" i="1"/>
  <c r="F102" i="1"/>
  <c r="F92" i="1"/>
  <c r="F91" i="1"/>
  <c r="O81" i="1"/>
  <c r="N81" i="1"/>
  <c r="M81" i="1"/>
  <c r="L81" i="1"/>
  <c r="K81" i="1"/>
  <c r="I81" i="1"/>
  <c r="H81" i="1"/>
  <c r="G81" i="1"/>
  <c r="N48" i="3"/>
  <c r="M48" i="3"/>
  <c r="L48" i="3"/>
  <c r="K48" i="3"/>
  <c r="J48" i="3"/>
  <c r="H48" i="3"/>
  <c r="G48" i="3"/>
  <c r="F48" i="3"/>
  <c r="E48" i="3"/>
  <c r="D90" i="1"/>
  <c r="J90" i="1"/>
  <c r="I48" i="3" s="1"/>
  <c r="E90" i="1"/>
  <c r="P90" i="1" s="1"/>
  <c r="O48" i="3" s="1"/>
  <c r="F94" i="1"/>
  <c r="F83" i="1"/>
  <c r="O83" i="1"/>
  <c r="M105" i="3"/>
  <c r="L105" i="3"/>
  <c r="K105" i="3"/>
  <c r="H105" i="3"/>
  <c r="G105" i="3"/>
  <c r="F105" i="3"/>
  <c r="E105" i="3"/>
  <c r="N53" i="1"/>
  <c r="M53" i="1"/>
  <c r="I53" i="1"/>
  <c r="J73" i="1"/>
  <c r="P73" i="1" s="1"/>
  <c r="E73" i="1"/>
  <c r="D73" i="1"/>
  <c r="C73" i="1"/>
  <c r="F72" i="1"/>
  <c r="F66" i="1"/>
  <c r="F62" i="1"/>
  <c r="F61" i="1"/>
  <c r="O60" i="1"/>
  <c r="K60" i="1"/>
  <c r="F60" i="1"/>
  <c r="O59" i="1"/>
  <c r="K59" i="1"/>
  <c r="F59" i="1"/>
  <c r="H58" i="1"/>
  <c r="F56" i="1"/>
  <c r="G55" i="1"/>
  <c r="F55" i="1"/>
  <c r="F37" i="1"/>
  <c r="G20" i="1"/>
  <c r="F20" i="1"/>
  <c r="D48" i="3" l="1"/>
  <c r="F47" i="1"/>
  <c r="O47" i="1"/>
  <c r="K47" i="1"/>
  <c r="F160" i="1"/>
  <c r="F143" i="1"/>
  <c r="E136" i="3" l="1"/>
  <c r="F136" i="3"/>
  <c r="G136" i="3"/>
  <c r="H136" i="3"/>
  <c r="J136" i="3"/>
  <c r="K136" i="3"/>
  <c r="L136" i="3"/>
  <c r="M136" i="3"/>
  <c r="N136" i="3"/>
  <c r="J159" i="1"/>
  <c r="E159" i="1"/>
  <c r="C159" i="1"/>
  <c r="D159" i="1"/>
  <c r="B159" i="1"/>
  <c r="P159" i="1" l="1"/>
  <c r="F105" i="1"/>
  <c r="F103" i="1"/>
  <c r="O147" i="1" l="1"/>
  <c r="K147" i="1"/>
  <c r="F46" i="1"/>
  <c r="F44" i="1"/>
  <c r="E139" i="3" l="1"/>
  <c r="F139" i="3"/>
  <c r="G139" i="3"/>
  <c r="H139" i="3"/>
  <c r="J139" i="3"/>
  <c r="K139" i="3"/>
  <c r="L139" i="3"/>
  <c r="M139" i="3"/>
  <c r="N139" i="3"/>
  <c r="J160" i="1"/>
  <c r="E160" i="1"/>
  <c r="C160" i="1"/>
  <c r="D160" i="1"/>
  <c r="B160" i="1"/>
  <c r="P160" i="1" l="1"/>
  <c r="E117" i="3" l="1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G19" i="1"/>
  <c r="H19" i="1"/>
  <c r="I19" i="1"/>
  <c r="M19" i="1"/>
  <c r="N19" i="1"/>
  <c r="E39" i="1"/>
  <c r="E40" i="1"/>
  <c r="D118" i="3" s="1"/>
  <c r="J38" i="1"/>
  <c r="J39" i="1"/>
  <c r="I117" i="3" s="1"/>
  <c r="J40" i="1"/>
  <c r="I118" i="3" s="1"/>
  <c r="C39" i="1"/>
  <c r="D39" i="1"/>
  <c r="C40" i="1"/>
  <c r="D40" i="1"/>
  <c r="B40" i="1"/>
  <c r="B39" i="1"/>
  <c r="P40" i="1" l="1"/>
  <c r="O118" i="3" s="1"/>
  <c r="P39" i="1"/>
  <c r="O117" i="3" s="1"/>
  <c r="D117" i="3"/>
  <c r="O173" i="1" l="1"/>
  <c r="K173" i="1"/>
  <c r="O175" i="1" l="1"/>
  <c r="K175" i="1"/>
  <c r="O169" i="1"/>
  <c r="K169" i="1"/>
  <c r="O148" i="1"/>
  <c r="K148" i="1"/>
  <c r="O146" i="1"/>
  <c r="K146" i="1"/>
  <c r="G59" i="1" l="1"/>
  <c r="G58" i="1"/>
  <c r="O57" i="1"/>
  <c r="O56" i="1"/>
  <c r="K57" i="1"/>
  <c r="K56" i="1"/>
  <c r="F57" i="1"/>
  <c r="G57" i="1"/>
  <c r="G56" i="1"/>
  <c r="G53" i="1" l="1"/>
  <c r="F85" i="1"/>
  <c r="O184" i="1"/>
  <c r="L184" i="1"/>
  <c r="O96" i="1" l="1"/>
  <c r="F132" i="1"/>
  <c r="O108" i="1"/>
  <c r="K108" i="1"/>
  <c r="O66" i="1"/>
  <c r="K66" i="1"/>
  <c r="F63" i="1"/>
  <c r="F53" i="1" s="1"/>
  <c r="F35" i="1"/>
  <c r="K35" i="1"/>
  <c r="O35" i="1"/>
  <c r="O34" i="1"/>
  <c r="K34" i="1"/>
  <c r="F34" i="1"/>
  <c r="F32" i="1"/>
  <c r="F33" i="1"/>
  <c r="F30" i="1"/>
  <c r="O117" i="1"/>
  <c r="K117" i="1"/>
  <c r="K96" i="1"/>
  <c r="F108" i="1"/>
  <c r="F137" i="1" l="1"/>
  <c r="G137" i="1"/>
  <c r="H137" i="1"/>
  <c r="I137" i="1"/>
  <c r="K137" i="1"/>
  <c r="L137" i="1"/>
  <c r="M137" i="1"/>
  <c r="N137" i="1"/>
  <c r="O137" i="1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J155" i="1"/>
  <c r="I120" i="3" s="1"/>
  <c r="I115" i="3" s="1"/>
  <c r="E155" i="1"/>
  <c r="D120" i="3" s="1"/>
  <c r="D115" i="3" s="1"/>
  <c r="J154" i="1"/>
  <c r="I119" i="3" s="1"/>
  <c r="E154" i="1"/>
  <c r="C154" i="1"/>
  <c r="D154" i="1"/>
  <c r="B154" i="1"/>
  <c r="E115" i="3"/>
  <c r="F115" i="3"/>
  <c r="G115" i="3"/>
  <c r="H115" i="3"/>
  <c r="J115" i="3"/>
  <c r="K115" i="3"/>
  <c r="L115" i="3"/>
  <c r="M115" i="3"/>
  <c r="N115" i="3"/>
  <c r="P154" i="1" l="1"/>
  <c r="O119" i="3" s="1"/>
  <c r="P155" i="1"/>
  <c r="O120" i="3" s="1"/>
  <c r="O115" i="3" s="1"/>
  <c r="D119" i="3"/>
  <c r="N110" i="3"/>
  <c r="M110" i="3"/>
  <c r="L110" i="3"/>
  <c r="K110" i="3"/>
  <c r="J110" i="3"/>
  <c r="H110" i="3"/>
  <c r="G110" i="3"/>
  <c r="F110" i="3"/>
  <c r="E110" i="3"/>
  <c r="N80" i="1"/>
  <c r="M80" i="1"/>
  <c r="L80" i="1"/>
  <c r="I80" i="1"/>
  <c r="H80" i="1"/>
  <c r="J95" i="1"/>
  <c r="E95" i="1"/>
  <c r="D95" i="1"/>
  <c r="C95" i="1"/>
  <c r="B95" i="1"/>
  <c r="D176" i="1"/>
  <c r="C176" i="1"/>
  <c r="B176" i="1"/>
  <c r="D150" i="1"/>
  <c r="C150" i="1"/>
  <c r="B150" i="1"/>
  <c r="P95" i="1" l="1"/>
  <c r="N167" i="1"/>
  <c r="M167" i="1"/>
  <c r="L167" i="1"/>
  <c r="I167" i="1"/>
  <c r="H167" i="1"/>
  <c r="J176" i="1"/>
  <c r="E176" i="1"/>
  <c r="O172" i="1"/>
  <c r="N105" i="3" s="1"/>
  <c r="K172" i="1"/>
  <c r="J105" i="3" s="1"/>
  <c r="J150" i="1"/>
  <c r="E150" i="1"/>
  <c r="D110" i="3" s="1"/>
  <c r="F142" i="1"/>
  <c r="P176" i="1" l="1"/>
  <c r="I110" i="3"/>
  <c r="P150" i="1"/>
  <c r="O110" i="3" s="1"/>
  <c r="O170" i="1" l="1"/>
  <c r="L45" i="1" l="1"/>
  <c r="L19" i="1" s="1"/>
  <c r="N130" i="3" l="1"/>
  <c r="M130" i="3"/>
  <c r="L130" i="3"/>
  <c r="J130" i="3"/>
  <c r="H130" i="3"/>
  <c r="G130" i="3"/>
  <c r="F130" i="3"/>
  <c r="E130" i="3"/>
  <c r="N152" i="3"/>
  <c r="M152" i="3"/>
  <c r="L152" i="3"/>
  <c r="K152" i="3"/>
  <c r="J152" i="3"/>
  <c r="H152" i="3"/>
  <c r="G152" i="3"/>
  <c r="F152" i="3"/>
  <c r="E152" i="3"/>
  <c r="N113" i="3" l="1"/>
  <c r="N103" i="3" s="1"/>
  <c r="N99" i="3" s="1"/>
  <c r="M113" i="3"/>
  <c r="M103" i="3" s="1"/>
  <c r="M99" i="3" s="1"/>
  <c r="L113" i="3"/>
  <c r="L103" i="3" s="1"/>
  <c r="L99" i="3" s="1"/>
  <c r="K113" i="3"/>
  <c r="K103" i="3" s="1"/>
  <c r="K99" i="3" s="1"/>
  <c r="J113" i="3"/>
  <c r="H113" i="3"/>
  <c r="H103" i="3" s="1"/>
  <c r="H99" i="3" s="1"/>
  <c r="G113" i="3"/>
  <c r="G103" i="3" s="1"/>
  <c r="G99" i="3" s="1"/>
  <c r="F113" i="3"/>
  <c r="F103" i="3" s="1"/>
  <c r="F99" i="3" s="1"/>
  <c r="E113" i="3"/>
  <c r="E103" i="3" s="1"/>
  <c r="E99" i="3" s="1"/>
  <c r="M112" i="3"/>
  <c r="L112" i="3"/>
  <c r="K112" i="3"/>
  <c r="H112" i="3"/>
  <c r="G112" i="3"/>
  <c r="F112" i="3"/>
  <c r="E112" i="3"/>
  <c r="K189" i="1" l="1"/>
  <c r="L181" i="1"/>
  <c r="L202" i="1" l="1"/>
  <c r="J179" i="1"/>
  <c r="E179" i="1"/>
  <c r="O161" i="1"/>
  <c r="L158" i="1"/>
  <c r="O152" i="1"/>
  <c r="J152" i="1" s="1"/>
  <c r="K152" i="1"/>
  <c r="E153" i="1"/>
  <c r="E137" i="1" s="1"/>
  <c r="E152" i="1"/>
  <c r="J153" i="1"/>
  <c r="J137" i="1" s="1"/>
  <c r="O129" i="1"/>
  <c r="K129" i="1"/>
  <c r="K126" i="1" s="1"/>
  <c r="F84" i="1"/>
  <c r="F81" i="1" s="1"/>
  <c r="F80" i="1"/>
  <c r="P179" i="1" l="1"/>
  <c r="P152" i="1"/>
  <c r="K130" i="3"/>
  <c r="P153" i="1"/>
  <c r="P137" i="1" s="1"/>
  <c r="O54" i="1"/>
  <c r="N54" i="1"/>
  <c r="M54" i="1"/>
  <c r="L54" i="1"/>
  <c r="I54" i="1"/>
  <c r="H54" i="1"/>
  <c r="G54" i="1"/>
  <c r="E78" i="1"/>
  <c r="J78" i="1"/>
  <c r="I152" i="3" s="1"/>
  <c r="L77" i="1"/>
  <c r="L53" i="1" s="1"/>
  <c r="O72" i="1"/>
  <c r="K72" i="1"/>
  <c r="P78" i="1" l="1"/>
  <c r="O152" i="3" s="1"/>
  <c r="D152" i="3"/>
  <c r="J75" i="1"/>
  <c r="E75" i="1"/>
  <c r="D113" i="3" s="1"/>
  <c r="D103" i="3" s="1"/>
  <c r="D99" i="3" s="1"/>
  <c r="P75" i="1" l="1"/>
  <c r="O113" i="3" s="1"/>
  <c r="O103" i="3" s="1"/>
  <c r="O99" i="3" s="1"/>
  <c r="I113" i="3"/>
  <c r="I103" i="3" s="1"/>
  <c r="I99" i="3" s="1"/>
  <c r="J103" i="3"/>
  <c r="J99" i="3" s="1"/>
  <c r="O74" i="1"/>
  <c r="K74" i="1"/>
  <c r="E74" i="1"/>
  <c r="F54" i="1"/>
  <c r="F48" i="1"/>
  <c r="F36" i="1"/>
  <c r="F29" i="1"/>
  <c r="F24" i="1"/>
  <c r="N112" i="3" l="1"/>
  <c r="O53" i="1"/>
  <c r="J112" i="3"/>
  <c r="K53" i="1"/>
  <c r="J74" i="1"/>
  <c r="P74" i="1" s="1"/>
  <c r="O141" i="1"/>
  <c r="K141" i="1"/>
  <c r="J177" i="1" l="1"/>
  <c r="I112" i="3" s="1"/>
  <c r="E177" i="1"/>
  <c r="D112" i="3" s="1"/>
  <c r="O171" i="1"/>
  <c r="K171" i="1"/>
  <c r="P177" i="1" l="1"/>
  <c r="O112" i="3" s="1"/>
  <c r="O41" i="1" l="1"/>
  <c r="K41" i="1"/>
  <c r="F41" i="1"/>
  <c r="F114" i="1" l="1"/>
  <c r="K167" i="1"/>
  <c r="G168" i="1"/>
  <c r="G167" i="1" s="1"/>
  <c r="F168" i="1"/>
  <c r="F167" i="1" s="1"/>
  <c r="I156" i="1"/>
  <c r="F156" i="1"/>
  <c r="G80" i="1"/>
  <c r="N133" i="3" l="1"/>
  <c r="N132" i="3" s="1"/>
  <c r="M133" i="3"/>
  <c r="M132" i="3" s="1"/>
  <c r="L133" i="3"/>
  <c r="L132" i="3" s="1"/>
  <c r="K133" i="3"/>
  <c r="K132" i="3" s="1"/>
  <c r="J133" i="3"/>
  <c r="J132" i="3" s="1"/>
  <c r="H133" i="3"/>
  <c r="H132" i="3" s="1"/>
  <c r="G133" i="3"/>
  <c r="G132" i="3" s="1"/>
  <c r="F133" i="3"/>
  <c r="F132" i="3" s="1"/>
  <c r="E133" i="3"/>
  <c r="E132" i="3" s="1"/>
  <c r="J97" i="1"/>
  <c r="I133" i="3" s="1"/>
  <c r="I132" i="3" s="1"/>
  <c r="E97" i="1"/>
  <c r="D133" i="3" s="1"/>
  <c r="D132" i="3" s="1"/>
  <c r="P97" i="1" l="1"/>
  <c r="D102" i="1"/>
  <c r="O133" i="3" l="1"/>
  <c r="O132" i="3" s="1"/>
  <c r="C174" i="1" l="1"/>
  <c r="D174" i="1"/>
  <c r="B174" i="1"/>
  <c r="E107" i="3"/>
  <c r="F107" i="3"/>
  <c r="G107" i="3"/>
  <c r="H107" i="3"/>
  <c r="J107" i="3"/>
  <c r="K107" i="3"/>
  <c r="L107" i="3"/>
  <c r="M107" i="3"/>
  <c r="N107" i="3"/>
  <c r="D107" i="3"/>
  <c r="J174" i="1"/>
  <c r="I107" i="3" s="1"/>
  <c r="P174" i="1" l="1"/>
  <c r="O107" i="3" s="1"/>
  <c r="E38" i="3"/>
  <c r="F38" i="3"/>
  <c r="G38" i="3"/>
  <c r="H38" i="3"/>
  <c r="I38" i="3"/>
  <c r="J38" i="3"/>
  <c r="K38" i="3"/>
  <c r="L38" i="3"/>
  <c r="M38" i="3"/>
  <c r="N38" i="3"/>
  <c r="E69" i="1"/>
  <c r="P69" i="1" s="1"/>
  <c r="O38" i="3" s="1"/>
  <c r="K54" i="1"/>
  <c r="J57" i="1"/>
  <c r="I25" i="3" s="1"/>
  <c r="E25" i="3"/>
  <c r="F25" i="3"/>
  <c r="G25" i="3"/>
  <c r="H25" i="3"/>
  <c r="J25" i="3"/>
  <c r="K25" i="3"/>
  <c r="L25" i="3"/>
  <c r="M25" i="3"/>
  <c r="N25" i="3"/>
  <c r="E57" i="1"/>
  <c r="D25" i="3" s="1"/>
  <c r="P57" i="1" l="1"/>
  <c r="O25" i="3" s="1"/>
  <c r="D38" i="3"/>
  <c r="O43" i="1"/>
  <c r="O19" i="1" s="1"/>
  <c r="K43" i="1"/>
  <c r="K19" i="1" s="1"/>
  <c r="F141" i="1" l="1"/>
  <c r="I141" i="1"/>
  <c r="D119" i="1" l="1"/>
  <c r="E151" i="3"/>
  <c r="F151" i="3"/>
  <c r="G151" i="3"/>
  <c r="H151" i="3"/>
  <c r="K151" i="3"/>
  <c r="L151" i="3"/>
  <c r="M151" i="3"/>
  <c r="F131" i="3"/>
  <c r="G131" i="3"/>
  <c r="H131" i="3"/>
  <c r="J131" i="3"/>
  <c r="K131" i="3"/>
  <c r="L131" i="3"/>
  <c r="M131" i="3"/>
  <c r="N131" i="3"/>
  <c r="F97" i="3"/>
  <c r="G97" i="3"/>
  <c r="H97" i="3"/>
  <c r="J97" i="3"/>
  <c r="K97" i="3"/>
  <c r="L97" i="3"/>
  <c r="M97" i="3"/>
  <c r="N97" i="3"/>
  <c r="F20" i="3"/>
  <c r="G20" i="3"/>
  <c r="H20" i="3"/>
  <c r="J20" i="3"/>
  <c r="K20" i="3"/>
  <c r="L20" i="3"/>
  <c r="M20" i="3"/>
  <c r="N20" i="3"/>
  <c r="G99" i="1"/>
  <c r="H99" i="1"/>
  <c r="I99" i="1"/>
  <c r="L99" i="1"/>
  <c r="M99" i="1"/>
  <c r="N99" i="1"/>
  <c r="G197" i="1"/>
  <c r="H197" i="1"/>
  <c r="I197" i="1"/>
  <c r="K197" i="1"/>
  <c r="L197" i="1"/>
  <c r="M197" i="1"/>
  <c r="N197" i="1"/>
  <c r="O197" i="1"/>
  <c r="G189" i="1"/>
  <c r="H189" i="1"/>
  <c r="L189" i="1"/>
  <c r="M189" i="1"/>
  <c r="N189" i="1"/>
  <c r="O189" i="1"/>
  <c r="G181" i="1"/>
  <c r="H181" i="1"/>
  <c r="I181" i="1"/>
  <c r="K181" i="1"/>
  <c r="M181" i="1"/>
  <c r="N181" i="1"/>
  <c r="O181" i="1"/>
  <c r="G126" i="1"/>
  <c r="H126" i="1"/>
  <c r="I126" i="1"/>
  <c r="L126" i="1"/>
  <c r="M126" i="1"/>
  <c r="N126" i="1"/>
  <c r="G121" i="1"/>
  <c r="H121" i="1"/>
  <c r="I121" i="1"/>
  <c r="K121" i="1"/>
  <c r="L121" i="1"/>
  <c r="M121" i="1"/>
  <c r="N121" i="1"/>
  <c r="O121" i="1"/>
  <c r="G79" i="1"/>
  <c r="H79" i="1"/>
  <c r="I79" i="1"/>
  <c r="L79" i="1"/>
  <c r="M79" i="1"/>
  <c r="N79" i="1"/>
  <c r="G207" i="1"/>
  <c r="H207" i="1"/>
  <c r="I207" i="1"/>
  <c r="K207" i="1"/>
  <c r="L207" i="1"/>
  <c r="M207" i="1"/>
  <c r="N207" i="1"/>
  <c r="O207" i="1"/>
  <c r="F207" i="1" l="1"/>
  <c r="H63" i="1" l="1"/>
  <c r="H53" i="1" s="1"/>
  <c r="O162" i="1"/>
  <c r="N151" i="3" s="1"/>
  <c r="K162" i="1"/>
  <c r="J151" i="3" s="1"/>
  <c r="F192" i="1" l="1"/>
  <c r="I192" i="1"/>
  <c r="I189" i="1" s="1"/>
  <c r="F195" i="1" l="1"/>
  <c r="E131" i="3" s="1"/>
  <c r="O157" i="1"/>
  <c r="K157" i="1"/>
  <c r="F189" i="1" l="1"/>
  <c r="F181" i="1"/>
  <c r="F121" i="1"/>
  <c r="F79" i="1"/>
  <c r="E20" i="3" l="1"/>
  <c r="O126" i="1"/>
  <c r="D162" i="1" l="1"/>
  <c r="F42" i="1" l="1"/>
  <c r="F19" i="1" s="1"/>
  <c r="F203" i="1" l="1"/>
  <c r="F197" i="1" s="1"/>
  <c r="F126" i="1" l="1"/>
  <c r="O87" i="1" l="1"/>
  <c r="O80" i="1" s="1"/>
  <c r="K87" i="1"/>
  <c r="K80" i="1" s="1"/>
  <c r="O79" i="1" l="1"/>
  <c r="K79" i="1"/>
  <c r="E142" i="3"/>
  <c r="F142" i="3"/>
  <c r="G142" i="3"/>
  <c r="H142" i="3"/>
  <c r="J142" i="3"/>
  <c r="K142" i="3"/>
  <c r="L142" i="3"/>
  <c r="M142" i="3"/>
  <c r="N142" i="3"/>
  <c r="J134" i="1"/>
  <c r="E134" i="1"/>
  <c r="C134" i="1"/>
  <c r="D134" i="1"/>
  <c r="B134" i="1"/>
  <c r="P134" i="1" l="1"/>
  <c r="E21" i="3"/>
  <c r="F21" i="3"/>
  <c r="G21" i="3"/>
  <c r="H21" i="3"/>
  <c r="J21" i="3"/>
  <c r="K21" i="3"/>
  <c r="L21" i="3"/>
  <c r="M21" i="3"/>
  <c r="N21" i="3"/>
  <c r="E24" i="3"/>
  <c r="F24" i="3"/>
  <c r="G24" i="3"/>
  <c r="H24" i="3"/>
  <c r="K24" i="3"/>
  <c r="L24" i="3"/>
  <c r="M24" i="3"/>
  <c r="N24" i="3"/>
  <c r="E26" i="3"/>
  <c r="F26" i="3"/>
  <c r="G26" i="3"/>
  <c r="H26" i="3"/>
  <c r="K26" i="3"/>
  <c r="L26" i="3"/>
  <c r="M26" i="3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9" i="3"/>
  <c r="F29" i="3"/>
  <c r="G29" i="3"/>
  <c r="H29" i="3"/>
  <c r="J29" i="3"/>
  <c r="K29" i="3"/>
  <c r="L29" i="3"/>
  <c r="M29" i="3"/>
  <c r="N29" i="3"/>
  <c r="E30" i="3"/>
  <c r="F30" i="3"/>
  <c r="G30" i="3"/>
  <c r="H30" i="3"/>
  <c r="J30" i="3"/>
  <c r="K30" i="3"/>
  <c r="L30" i="3"/>
  <c r="M30" i="3"/>
  <c r="N30" i="3"/>
  <c r="E31" i="3"/>
  <c r="F31" i="3"/>
  <c r="G31" i="3"/>
  <c r="H31" i="3"/>
  <c r="J31" i="3"/>
  <c r="K31" i="3"/>
  <c r="L31" i="3"/>
  <c r="M31" i="3"/>
  <c r="E32" i="3"/>
  <c r="F32" i="3"/>
  <c r="G32" i="3"/>
  <c r="H32" i="3"/>
  <c r="J32" i="3"/>
  <c r="K32" i="3"/>
  <c r="L32" i="3"/>
  <c r="M32" i="3"/>
  <c r="N32" i="3"/>
  <c r="E33" i="3"/>
  <c r="F33" i="3"/>
  <c r="G33" i="3"/>
  <c r="H33" i="3"/>
  <c r="J33" i="3"/>
  <c r="K33" i="3"/>
  <c r="L33" i="3"/>
  <c r="M33" i="3"/>
  <c r="N33" i="3"/>
  <c r="E34" i="3"/>
  <c r="F34" i="3"/>
  <c r="G34" i="3"/>
  <c r="H34" i="3"/>
  <c r="J34" i="3"/>
  <c r="K34" i="3"/>
  <c r="L34" i="3"/>
  <c r="M34" i="3"/>
  <c r="N34" i="3"/>
  <c r="E35" i="3"/>
  <c r="F35" i="3"/>
  <c r="G35" i="3"/>
  <c r="H35" i="3"/>
  <c r="J35" i="3"/>
  <c r="K35" i="3"/>
  <c r="L35" i="3"/>
  <c r="M35" i="3"/>
  <c r="N35" i="3"/>
  <c r="E36" i="3"/>
  <c r="F36" i="3"/>
  <c r="G36" i="3"/>
  <c r="H36" i="3"/>
  <c r="J36" i="3"/>
  <c r="K36" i="3"/>
  <c r="L36" i="3"/>
  <c r="M36" i="3"/>
  <c r="N36" i="3"/>
  <c r="E37" i="3"/>
  <c r="F37" i="3"/>
  <c r="G37" i="3"/>
  <c r="H37" i="3"/>
  <c r="J37" i="3"/>
  <c r="K37" i="3"/>
  <c r="L37" i="3"/>
  <c r="M37" i="3"/>
  <c r="N37" i="3"/>
  <c r="E41" i="3"/>
  <c r="F41" i="3"/>
  <c r="G41" i="3"/>
  <c r="H41" i="3"/>
  <c r="J41" i="3"/>
  <c r="K41" i="3"/>
  <c r="L41" i="3"/>
  <c r="M41" i="3"/>
  <c r="N41" i="3"/>
  <c r="E42" i="3"/>
  <c r="F42" i="3"/>
  <c r="G42" i="3"/>
  <c r="H42" i="3"/>
  <c r="J42" i="3"/>
  <c r="K42" i="3"/>
  <c r="L42" i="3"/>
  <c r="M42" i="3"/>
  <c r="N42" i="3"/>
  <c r="E43" i="3"/>
  <c r="F43" i="3"/>
  <c r="G43" i="3"/>
  <c r="H43" i="3"/>
  <c r="J43" i="3"/>
  <c r="K43" i="3"/>
  <c r="L43" i="3"/>
  <c r="M43" i="3"/>
  <c r="N43" i="3"/>
  <c r="E44" i="3"/>
  <c r="F44" i="3"/>
  <c r="G44" i="3"/>
  <c r="H44" i="3"/>
  <c r="J44" i="3"/>
  <c r="K44" i="3"/>
  <c r="L44" i="3"/>
  <c r="M44" i="3"/>
  <c r="N44" i="3"/>
  <c r="E45" i="3"/>
  <c r="F45" i="3"/>
  <c r="G45" i="3"/>
  <c r="H45" i="3"/>
  <c r="J45" i="3"/>
  <c r="K45" i="3"/>
  <c r="L45" i="3"/>
  <c r="M45" i="3"/>
  <c r="N45" i="3"/>
  <c r="E46" i="3"/>
  <c r="F46" i="3"/>
  <c r="G46" i="3"/>
  <c r="H46" i="3"/>
  <c r="J46" i="3"/>
  <c r="K46" i="3"/>
  <c r="L46" i="3"/>
  <c r="M46" i="3"/>
  <c r="N46" i="3"/>
  <c r="E47" i="3"/>
  <c r="F47" i="3"/>
  <c r="G47" i="3"/>
  <c r="H47" i="3"/>
  <c r="J47" i="3"/>
  <c r="K47" i="3"/>
  <c r="L47" i="3"/>
  <c r="M47" i="3"/>
  <c r="N47" i="3"/>
  <c r="E49" i="3"/>
  <c r="F49" i="3"/>
  <c r="G49" i="3"/>
  <c r="H49" i="3"/>
  <c r="J49" i="3"/>
  <c r="K49" i="3"/>
  <c r="L49" i="3"/>
  <c r="M49" i="3"/>
  <c r="N49" i="3"/>
  <c r="E50" i="3"/>
  <c r="E40" i="3" s="1"/>
  <c r="F50" i="3"/>
  <c r="G50" i="3"/>
  <c r="H50" i="3"/>
  <c r="J50" i="3"/>
  <c r="K50" i="3"/>
  <c r="L50" i="3"/>
  <c r="M50" i="3"/>
  <c r="N50" i="3"/>
  <c r="E51" i="3"/>
  <c r="F51" i="3"/>
  <c r="G51" i="3"/>
  <c r="H51" i="3"/>
  <c r="J51" i="3"/>
  <c r="K51" i="3"/>
  <c r="L51" i="3"/>
  <c r="M51" i="3"/>
  <c r="N51" i="3"/>
  <c r="E52" i="3"/>
  <c r="F52" i="3"/>
  <c r="G52" i="3"/>
  <c r="H52" i="3"/>
  <c r="J52" i="3"/>
  <c r="K52" i="3"/>
  <c r="L52" i="3"/>
  <c r="M52" i="3"/>
  <c r="N52" i="3"/>
  <c r="E54" i="3"/>
  <c r="F54" i="3"/>
  <c r="G54" i="3"/>
  <c r="H54" i="3"/>
  <c r="K54" i="3"/>
  <c r="L54" i="3"/>
  <c r="M54" i="3"/>
  <c r="E55" i="3"/>
  <c r="F55" i="3"/>
  <c r="G55" i="3"/>
  <c r="H55" i="3"/>
  <c r="J55" i="3"/>
  <c r="K55" i="3"/>
  <c r="L55" i="3"/>
  <c r="M55" i="3"/>
  <c r="N55" i="3"/>
  <c r="E56" i="3"/>
  <c r="F56" i="3"/>
  <c r="G56" i="3"/>
  <c r="H56" i="3"/>
  <c r="J56" i="3"/>
  <c r="K56" i="3"/>
  <c r="L56" i="3"/>
  <c r="M56" i="3"/>
  <c r="N56" i="3"/>
  <c r="E57" i="3"/>
  <c r="F57" i="3"/>
  <c r="G57" i="3"/>
  <c r="H57" i="3"/>
  <c r="J57" i="3"/>
  <c r="K57" i="3"/>
  <c r="L57" i="3"/>
  <c r="M57" i="3"/>
  <c r="N57" i="3"/>
  <c r="E58" i="3"/>
  <c r="F58" i="3"/>
  <c r="G58" i="3"/>
  <c r="H58" i="3"/>
  <c r="J58" i="3"/>
  <c r="K58" i="3"/>
  <c r="L58" i="3"/>
  <c r="M58" i="3"/>
  <c r="N58" i="3"/>
  <c r="E59" i="3"/>
  <c r="F59" i="3"/>
  <c r="G59" i="3"/>
  <c r="H59" i="3"/>
  <c r="J59" i="3"/>
  <c r="K59" i="3"/>
  <c r="L59" i="3"/>
  <c r="M59" i="3"/>
  <c r="N59" i="3"/>
  <c r="E60" i="3"/>
  <c r="F60" i="3"/>
  <c r="G60" i="3"/>
  <c r="H60" i="3"/>
  <c r="J60" i="3"/>
  <c r="K60" i="3"/>
  <c r="L60" i="3"/>
  <c r="M60" i="3"/>
  <c r="N60" i="3"/>
  <c r="E61" i="3"/>
  <c r="F61" i="3"/>
  <c r="G61" i="3"/>
  <c r="H61" i="3"/>
  <c r="J61" i="3"/>
  <c r="K61" i="3"/>
  <c r="L61" i="3"/>
  <c r="M61" i="3"/>
  <c r="N61" i="3"/>
  <c r="E62" i="3"/>
  <c r="F62" i="3"/>
  <c r="G62" i="3"/>
  <c r="H62" i="3"/>
  <c r="J62" i="3"/>
  <c r="K62" i="3"/>
  <c r="L62" i="3"/>
  <c r="M62" i="3"/>
  <c r="N62" i="3"/>
  <c r="E63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E65" i="3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E67" i="3"/>
  <c r="F67" i="3"/>
  <c r="G67" i="3"/>
  <c r="H67" i="3"/>
  <c r="J67" i="3"/>
  <c r="K67" i="3"/>
  <c r="L67" i="3"/>
  <c r="M67" i="3"/>
  <c r="N67" i="3"/>
  <c r="E68" i="3"/>
  <c r="F68" i="3"/>
  <c r="G68" i="3"/>
  <c r="H68" i="3"/>
  <c r="J68" i="3"/>
  <c r="K68" i="3"/>
  <c r="L68" i="3"/>
  <c r="M68" i="3"/>
  <c r="N68" i="3"/>
  <c r="E69" i="3"/>
  <c r="F69" i="3"/>
  <c r="G69" i="3"/>
  <c r="H69" i="3"/>
  <c r="J69" i="3"/>
  <c r="K69" i="3"/>
  <c r="L69" i="3"/>
  <c r="M69" i="3"/>
  <c r="N69" i="3"/>
  <c r="F70" i="3"/>
  <c r="G70" i="3"/>
  <c r="H70" i="3"/>
  <c r="J70" i="3"/>
  <c r="K70" i="3"/>
  <c r="L70" i="3"/>
  <c r="M70" i="3"/>
  <c r="N70" i="3"/>
  <c r="E71" i="3"/>
  <c r="F71" i="3"/>
  <c r="G71" i="3"/>
  <c r="H71" i="3"/>
  <c r="J71" i="3"/>
  <c r="K71" i="3"/>
  <c r="L71" i="3"/>
  <c r="M71" i="3"/>
  <c r="N71" i="3"/>
  <c r="E72" i="3"/>
  <c r="F72" i="3"/>
  <c r="G72" i="3"/>
  <c r="H72" i="3"/>
  <c r="J72" i="3"/>
  <c r="K72" i="3"/>
  <c r="L72" i="3"/>
  <c r="M72" i="3"/>
  <c r="N72" i="3"/>
  <c r="E73" i="3"/>
  <c r="F73" i="3"/>
  <c r="G73" i="3"/>
  <c r="H73" i="3"/>
  <c r="J73" i="3"/>
  <c r="K73" i="3"/>
  <c r="L73" i="3"/>
  <c r="M73" i="3"/>
  <c r="N73" i="3"/>
  <c r="E74" i="3"/>
  <c r="F74" i="3"/>
  <c r="G74" i="3"/>
  <c r="H74" i="3"/>
  <c r="J74" i="3"/>
  <c r="K74" i="3"/>
  <c r="L74" i="3"/>
  <c r="M74" i="3"/>
  <c r="N74" i="3"/>
  <c r="E75" i="3"/>
  <c r="F75" i="3"/>
  <c r="G75" i="3"/>
  <c r="H75" i="3"/>
  <c r="J75" i="3"/>
  <c r="K75" i="3"/>
  <c r="L75" i="3"/>
  <c r="M75" i="3"/>
  <c r="N75" i="3"/>
  <c r="E76" i="3"/>
  <c r="F76" i="3"/>
  <c r="G76" i="3"/>
  <c r="H76" i="3"/>
  <c r="J76" i="3"/>
  <c r="K76" i="3"/>
  <c r="L76" i="3"/>
  <c r="M76" i="3"/>
  <c r="N76" i="3"/>
  <c r="E78" i="3"/>
  <c r="F78" i="3"/>
  <c r="G78" i="3"/>
  <c r="H78" i="3"/>
  <c r="J78" i="3"/>
  <c r="K78" i="3"/>
  <c r="L78" i="3"/>
  <c r="M78" i="3"/>
  <c r="N78" i="3"/>
  <c r="E79" i="3"/>
  <c r="F79" i="3"/>
  <c r="G79" i="3"/>
  <c r="H79" i="3"/>
  <c r="J79" i="3"/>
  <c r="K79" i="3"/>
  <c r="L79" i="3"/>
  <c r="M79" i="3"/>
  <c r="N79" i="3"/>
  <c r="E80" i="3"/>
  <c r="F80" i="3"/>
  <c r="G80" i="3"/>
  <c r="H80" i="3"/>
  <c r="J80" i="3"/>
  <c r="K80" i="3"/>
  <c r="L80" i="3"/>
  <c r="M80" i="3"/>
  <c r="N80" i="3"/>
  <c r="E81" i="3"/>
  <c r="F81" i="3"/>
  <c r="G81" i="3"/>
  <c r="H81" i="3"/>
  <c r="J81" i="3"/>
  <c r="K81" i="3"/>
  <c r="L81" i="3"/>
  <c r="M81" i="3"/>
  <c r="N81" i="3"/>
  <c r="E83" i="3"/>
  <c r="F83" i="3"/>
  <c r="G83" i="3"/>
  <c r="H83" i="3"/>
  <c r="J83" i="3"/>
  <c r="K83" i="3"/>
  <c r="L83" i="3"/>
  <c r="M83" i="3"/>
  <c r="N83" i="3"/>
  <c r="E84" i="3"/>
  <c r="F84" i="3"/>
  <c r="G84" i="3"/>
  <c r="H84" i="3"/>
  <c r="J84" i="3"/>
  <c r="K84" i="3"/>
  <c r="L84" i="3"/>
  <c r="M84" i="3"/>
  <c r="N84" i="3"/>
  <c r="E85" i="3"/>
  <c r="F85" i="3"/>
  <c r="G85" i="3"/>
  <c r="H85" i="3"/>
  <c r="J85" i="3"/>
  <c r="K85" i="3"/>
  <c r="L85" i="3"/>
  <c r="M85" i="3"/>
  <c r="N85" i="3"/>
  <c r="E86" i="3"/>
  <c r="F86" i="3"/>
  <c r="G86" i="3"/>
  <c r="H86" i="3"/>
  <c r="J86" i="3"/>
  <c r="K86" i="3"/>
  <c r="L86" i="3"/>
  <c r="M86" i="3"/>
  <c r="N86" i="3"/>
  <c r="F87" i="3"/>
  <c r="G87" i="3"/>
  <c r="H87" i="3"/>
  <c r="J87" i="3"/>
  <c r="K87" i="3"/>
  <c r="L87" i="3"/>
  <c r="M87" i="3"/>
  <c r="N87" i="3"/>
  <c r="E88" i="3"/>
  <c r="F88" i="3"/>
  <c r="G88" i="3"/>
  <c r="H88" i="3"/>
  <c r="J88" i="3"/>
  <c r="K88" i="3"/>
  <c r="L88" i="3"/>
  <c r="M88" i="3"/>
  <c r="N88" i="3"/>
  <c r="E90" i="3"/>
  <c r="F90" i="3"/>
  <c r="G90" i="3"/>
  <c r="H90" i="3"/>
  <c r="J90" i="3"/>
  <c r="K90" i="3"/>
  <c r="L90" i="3"/>
  <c r="M90" i="3"/>
  <c r="N90" i="3"/>
  <c r="E91" i="3"/>
  <c r="F91" i="3"/>
  <c r="G91" i="3"/>
  <c r="H91" i="3"/>
  <c r="J91" i="3"/>
  <c r="K91" i="3"/>
  <c r="L91" i="3"/>
  <c r="M91" i="3"/>
  <c r="N91" i="3"/>
  <c r="E92" i="3"/>
  <c r="F92" i="3"/>
  <c r="G92" i="3"/>
  <c r="H92" i="3"/>
  <c r="J92" i="3"/>
  <c r="K92" i="3"/>
  <c r="L92" i="3"/>
  <c r="M92" i="3"/>
  <c r="N92" i="3"/>
  <c r="E93" i="3"/>
  <c r="F93" i="3"/>
  <c r="G93" i="3"/>
  <c r="H93" i="3"/>
  <c r="J93" i="3"/>
  <c r="K93" i="3"/>
  <c r="L93" i="3"/>
  <c r="M93" i="3"/>
  <c r="N93" i="3"/>
  <c r="E94" i="3"/>
  <c r="F94" i="3"/>
  <c r="G94" i="3"/>
  <c r="H94" i="3"/>
  <c r="J94" i="3"/>
  <c r="K94" i="3"/>
  <c r="L94" i="3"/>
  <c r="M94" i="3"/>
  <c r="N94" i="3"/>
  <c r="E95" i="3"/>
  <c r="F95" i="3"/>
  <c r="G95" i="3"/>
  <c r="H95" i="3"/>
  <c r="J95" i="3"/>
  <c r="K95" i="3"/>
  <c r="L95" i="3"/>
  <c r="M95" i="3"/>
  <c r="N95" i="3"/>
  <c r="E96" i="3"/>
  <c r="F96" i="3"/>
  <c r="G96" i="3"/>
  <c r="H96" i="3"/>
  <c r="J96" i="3"/>
  <c r="K96" i="3"/>
  <c r="L96" i="3"/>
  <c r="M96" i="3"/>
  <c r="N96" i="3"/>
  <c r="E101" i="3"/>
  <c r="E100" i="3" s="1"/>
  <c r="F101" i="3"/>
  <c r="F100" i="3" s="1"/>
  <c r="G101" i="3"/>
  <c r="G100" i="3" s="1"/>
  <c r="H101" i="3"/>
  <c r="H100" i="3" s="1"/>
  <c r="J101" i="3"/>
  <c r="J100" i="3" s="1"/>
  <c r="K101" i="3"/>
  <c r="K100" i="3" s="1"/>
  <c r="L101" i="3"/>
  <c r="L100" i="3" s="1"/>
  <c r="M101" i="3"/>
  <c r="M100" i="3" s="1"/>
  <c r="N101" i="3"/>
  <c r="N100" i="3" s="1"/>
  <c r="E104" i="3"/>
  <c r="F104" i="3"/>
  <c r="G104" i="3"/>
  <c r="H104" i="3"/>
  <c r="J104" i="3"/>
  <c r="K104" i="3"/>
  <c r="L104" i="3"/>
  <c r="M104" i="3"/>
  <c r="N104" i="3"/>
  <c r="E106" i="3"/>
  <c r="F106" i="3"/>
  <c r="G106" i="3"/>
  <c r="H106" i="3"/>
  <c r="J106" i="3"/>
  <c r="K106" i="3"/>
  <c r="L106" i="3"/>
  <c r="M106" i="3"/>
  <c r="N106" i="3"/>
  <c r="E108" i="3"/>
  <c r="F108" i="3"/>
  <c r="G108" i="3"/>
  <c r="H108" i="3"/>
  <c r="J108" i="3"/>
  <c r="K108" i="3"/>
  <c r="L108" i="3"/>
  <c r="M108" i="3"/>
  <c r="N108" i="3"/>
  <c r="E111" i="3"/>
  <c r="F111" i="3"/>
  <c r="G111" i="3"/>
  <c r="H111" i="3"/>
  <c r="J111" i="3"/>
  <c r="K111" i="3"/>
  <c r="L111" i="3"/>
  <c r="M111" i="3"/>
  <c r="N111" i="3"/>
  <c r="E116" i="3"/>
  <c r="E114" i="3" s="1"/>
  <c r="F116" i="3"/>
  <c r="F114" i="3" s="1"/>
  <c r="G116" i="3"/>
  <c r="G114" i="3" s="1"/>
  <c r="H116" i="3"/>
  <c r="H114" i="3" s="1"/>
  <c r="J116" i="3"/>
  <c r="J114" i="3" s="1"/>
  <c r="K116" i="3"/>
  <c r="K114" i="3" s="1"/>
  <c r="L116" i="3"/>
  <c r="L114" i="3" s="1"/>
  <c r="M116" i="3"/>
  <c r="M114" i="3" s="1"/>
  <c r="N116" i="3"/>
  <c r="N114" i="3" s="1"/>
  <c r="E122" i="3"/>
  <c r="E121" i="3" s="1"/>
  <c r="F122" i="3"/>
  <c r="F121" i="3" s="1"/>
  <c r="G122" i="3"/>
  <c r="G121" i="3" s="1"/>
  <c r="H122" i="3"/>
  <c r="H121" i="3" s="1"/>
  <c r="J122" i="3"/>
  <c r="J121" i="3" s="1"/>
  <c r="K122" i="3"/>
  <c r="K121" i="3" s="1"/>
  <c r="L122" i="3"/>
  <c r="L121" i="3" s="1"/>
  <c r="M122" i="3"/>
  <c r="M121" i="3" s="1"/>
  <c r="N122" i="3"/>
  <c r="N121" i="3" s="1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F129" i="3"/>
  <c r="G129" i="3"/>
  <c r="H129" i="3"/>
  <c r="J129" i="3"/>
  <c r="K129" i="3"/>
  <c r="L129" i="3"/>
  <c r="M129" i="3"/>
  <c r="N129" i="3"/>
  <c r="E137" i="3"/>
  <c r="F137" i="3"/>
  <c r="G137" i="3"/>
  <c r="H137" i="3"/>
  <c r="J137" i="3"/>
  <c r="K137" i="3"/>
  <c r="L137" i="3"/>
  <c r="M137" i="3"/>
  <c r="N137" i="3"/>
  <c r="E138" i="3"/>
  <c r="F138" i="3"/>
  <c r="G138" i="3"/>
  <c r="H138" i="3"/>
  <c r="J138" i="3"/>
  <c r="K138" i="3"/>
  <c r="L138" i="3"/>
  <c r="M138" i="3"/>
  <c r="N138" i="3"/>
  <c r="E141" i="3"/>
  <c r="E140" i="3" s="1"/>
  <c r="F141" i="3"/>
  <c r="F140" i="3" s="1"/>
  <c r="G141" i="3"/>
  <c r="H141" i="3"/>
  <c r="J141" i="3"/>
  <c r="K141" i="3"/>
  <c r="K140" i="3" s="1"/>
  <c r="L141" i="3"/>
  <c r="M141" i="3"/>
  <c r="M140" i="3" s="1"/>
  <c r="N141" i="3"/>
  <c r="E144" i="3"/>
  <c r="E143" i="3" s="1"/>
  <c r="F144" i="3"/>
  <c r="F143" i="3" s="1"/>
  <c r="G144" i="3"/>
  <c r="G143" i="3" s="1"/>
  <c r="H144" i="3"/>
  <c r="H143" i="3" s="1"/>
  <c r="J144" i="3"/>
  <c r="J143" i="3" s="1"/>
  <c r="K144" i="3"/>
  <c r="K143" i="3" s="1"/>
  <c r="L144" i="3"/>
  <c r="L143" i="3" s="1"/>
  <c r="M144" i="3"/>
  <c r="M143" i="3" s="1"/>
  <c r="N144" i="3"/>
  <c r="N143" i="3" s="1"/>
  <c r="E145" i="3"/>
  <c r="F145" i="3"/>
  <c r="G145" i="3"/>
  <c r="H145" i="3"/>
  <c r="J145" i="3"/>
  <c r="K145" i="3"/>
  <c r="L145" i="3"/>
  <c r="M145" i="3"/>
  <c r="N145" i="3"/>
  <c r="D146" i="3"/>
  <c r="E146" i="3"/>
  <c r="F146" i="3"/>
  <c r="G146" i="3"/>
  <c r="H146" i="3"/>
  <c r="J146" i="3"/>
  <c r="K146" i="3"/>
  <c r="L146" i="3"/>
  <c r="M146" i="3"/>
  <c r="N146" i="3"/>
  <c r="E149" i="3"/>
  <c r="E148" i="3" s="1"/>
  <c r="F149" i="3"/>
  <c r="F148" i="3" s="1"/>
  <c r="G149" i="3"/>
  <c r="G148" i="3" s="1"/>
  <c r="H149" i="3"/>
  <c r="H148" i="3" s="1"/>
  <c r="J149" i="3"/>
  <c r="J148" i="3" s="1"/>
  <c r="K149" i="3"/>
  <c r="K148" i="3" s="1"/>
  <c r="L149" i="3"/>
  <c r="L148" i="3" s="1"/>
  <c r="M149" i="3"/>
  <c r="M148" i="3" s="1"/>
  <c r="N149" i="3"/>
  <c r="N148" i="3" s="1"/>
  <c r="E150" i="3"/>
  <c r="F150" i="3"/>
  <c r="G150" i="3"/>
  <c r="H150" i="3"/>
  <c r="J150" i="3"/>
  <c r="K150" i="3"/>
  <c r="L150" i="3"/>
  <c r="M150" i="3"/>
  <c r="N150" i="3"/>
  <c r="O178" i="1"/>
  <c r="O167" i="1" s="1"/>
  <c r="J56" i="1"/>
  <c r="I24" i="3" s="1"/>
  <c r="J199" i="1"/>
  <c r="J200" i="1"/>
  <c r="J201" i="1"/>
  <c r="I141" i="3" s="1"/>
  <c r="J202" i="1"/>
  <c r="J203" i="1"/>
  <c r="I145" i="3" s="1"/>
  <c r="J204" i="1"/>
  <c r="I146" i="3" s="1"/>
  <c r="J205" i="1"/>
  <c r="I149" i="3" s="1"/>
  <c r="I148" i="3" s="1"/>
  <c r="J198" i="1"/>
  <c r="J191" i="1"/>
  <c r="I101" i="3" s="1"/>
  <c r="I100" i="3" s="1"/>
  <c r="J192" i="1"/>
  <c r="J193" i="1"/>
  <c r="I126" i="3" s="1"/>
  <c r="J194" i="1"/>
  <c r="I127" i="3" s="1"/>
  <c r="J195" i="1"/>
  <c r="J190" i="1"/>
  <c r="J187" i="1"/>
  <c r="J169" i="1"/>
  <c r="J170" i="1"/>
  <c r="I96" i="3" s="1"/>
  <c r="J171" i="1"/>
  <c r="J172" i="1"/>
  <c r="I105" i="3" s="1"/>
  <c r="J173" i="1"/>
  <c r="I106" i="3" s="1"/>
  <c r="J175" i="1"/>
  <c r="J182" i="1"/>
  <c r="J183" i="1"/>
  <c r="J184" i="1"/>
  <c r="J168" i="1"/>
  <c r="J165" i="1"/>
  <c r="J139" i="1"/>
  <c r="J140" i="1"/>
  <c r="J141" i="1"/>
  <c r="I91" i="3" s="1"/>
  <c r="J142" i="1"/>
  <c r="I92" i="3" s="1"/>
  <c r="J143" i="1"/>
  <c r="I93" i="3" s="1"/>
  <c r="J144" i="1"/>
  <c r="J145" i="1"/>
  <c r="J146" i="1"/>
  <c r="J147" i="1"/>
  <c r="J148" i="1"/>
  <c r="J151" i="1"/>
  <c r="I111" i="3" s="1"/>
  <c r="J156" i="1"/>
  <c r="J157" i="1"/>
  <c r="J161" i="1"/>
  <c r="J162" i="1"/>
  <c r="J138" i="1"/>
  <c r="J129" i="1"/>
  <c r="I78" i="3" s="1"/>
  <c r="J130" i="1"/>
  <c r="J131" i="1"/>
  <c r="J132" i="1"/>
  <c r="J133" i="1"/>
  <c r="J127" i="1"/>
  <c r="J123" i="1"/>
  <c r="I62" i="3" s="1"/>
  <c r="J124" i="1"/>
  <c r="I63" i="3" s="1"/>
  <c r="J122" i="1"/>
  <c r="J102" i="1"/>
  <c r="I55" i="3" s="1"/>
  <c r="J103" i="1"/>
  <c r="J104" i="1"/>
  <c r="I57" i="3" s="1"/>
  <c r="J105" i="1"/>
  <c r="J106" i="1"/>
  <c r="I59" i="3" s="1"/>
  <c r="J107" i="1"/>
  <c r="I60" i="3" s="1"/>
  <c r="J108" i="1"/>
  <c r="I61" i="3" s="1"/>
  <c r="J109" i="1"/>
  <c r="I67" i="3" s="1"/>
  <c r="J110" i="1"/>
  <c r="I68" i="3" s="1"/>
  <c r="J111" i="1"/>
  <c r="I69" i="3" s="1"/>
  <c r="J112" i="1"/>
  <c r="I70" i="3" s="1"/>
  <c r="J113" i="1"/>
  <c r="I71" i="3" s="1"/>
  <c r="J114" i="1"/>
  <c r="I72" i="3" s="1"/>
  <c r="J115" i="1"/>
  <c r="I73" i="3" s="1"/>
  <c r="J116" i="1"/>
  <c r="J117" i="1"/>
  <c r="J118" i="1"/>
  <c r="J119" i="1"/>
  <c r="J100" i="1"/>
  <c r="J83" i="1"/>
  <c r="I41" i="3" s="1"/>
  <c r="J84" i="1"/>
  <c r="J85" i="1"/>
  <c r="I43" i="3" s="1"/>
  <c r="J86" i="1"/>
  <c r="I44" i="3" s="1"/>
  <c r="J87" i="1"/>
  <c r="I45" i="3" s="1"/>
  <c r="J88" i="1"/>
  <c r="I46" i="3" s="1"/>
  <c r="J89" i="1"/>
  <c r="I47" i="3" s="1"/>
  <c r="J91" i="1"/>
  <c r="I49" i="3" s="1"/>
  <c r="J92" i="1"/>
  <c r="I50" i="3" s="1"/>
  <c r="J93" i="1"/>
  <c r="I51" i="3" s="1"/>
  <c r="J94" i="1"/>
  <c r="I52" i="3" s="1"/>
  <c r="J82" i="1"/>
  <c r="J59" i="1"/>
  <c r="J60" i="1"/>
  <c r="I28" i="3" s="1"/>
  <c r="J61" i="1"/>
  <c r="I29" i="3" s="1"/>
  <c r="J62" i="1"/>
  <c r="I30" i="3" s="1"/>
  <c r="J63" i="1"/>
  <c r="I32" i="3" s="1"/>
  <c r="J64" i="1"/>
  <c r="I33" i="3" s="1"/>
  <c r="J65" i="1"/>
  <c r="I34" i="3" s="1"/>
  <c r="J66" i="1"/>
  <c r="I35" i="3" s="1"/>
  <c r="J67" i="1"/>
  <c r="I36" i="3" s="1"/>
  <c r="J68" i="1"/>
  <c r="I37" i="3" s="1"/>
  <c r="J70" i="1"/>
  <c r="J71" i="1"/>
  <c r="J72" i="1"/>
  <c r="J76" i="1"/>
  <c r="J77" i="1"/>
  <c r="J55" i="1"/>
  <c r="J21" i="1"/>
  <c r="J22" i="1"/>
  <c r="J23" i="1"/>
  <c r="J24" i="1"/>
  <c r="I64" i="3" s="1"/>
  <c r="J25" i="1"/>
  <c r="I65" i="3" s="1"/>
  <c r="J26" i="1"/>
  <c r="J27" i="1"/>
  <c r="J28" i="1"/>
  <c r="J29" i="1"/>
  <c r="J30" i="1"/>
  <c r="J31" i="1"/>
  <c r="J32" i="1"/>
  <c r="I83" i="3" s="1"/>
  <c r="J33" i="1"/>
  <c r="I84" i="3" s="1"/>
  <c r="J34" i="1"/>
  <c r="J35" i="1"/>
  <c r="I86" i="3" s="1"/>
  <c r="J36" i="1"/>
  <c r="I87" i="3" s="1"/>
  <c r="J37" i="1"/>
  <c r="I88" i="3" s="1"/>
  <c r="I116" i="3"/>
  <c r="I114" i="3" s="1"/>
  <c r="J41" i="1"/>
  <c r="I122" i="3" s="1"/>
  <c r="I121" i="3" s="1"/>
  <c r="J42" i="1"/>
  <c r="J43" i="1"/>
  <c r="J44" i="1"/>
  <c r="I129" i="3" s="1"/>
  <c r="J45" i="1"/>
  <c r="J46" i="1"/>
  <c r="J47" i="1"/>
  <c r="I136" i="3" s="1"/>
  <c r="J48" i="1"/>
  <c r="I137" i="3" s="1"/>
  <c r="J49" i="1"/>
  <c r="J50" i="1"/>
  <c r="J51" i="1"/>
  <c r="I144" i="3" s="1"/>
  <c r="I143" i="3" s="1"/>
  <c r="J20" i="1"/>
  <c r="M40" i="3" l="1"/>
  <c r="K40" i="3"/>
  <c r="H40" i="3"/>
  <c r="F40" i="3"/>
  <c r="J81" i="1"/>
  <c r="N40" i="3"/>
  <c r="L40" i="3"/>
  <c r="J40" i="3"/>
  <c r="G40" i="3"/>
  <c r="I139" i="3"/>
  <c r="I138" i="3" s="1"/>
  <c r="I94" i="3"/>
  <c r="I21" i="3"/>
  <c r="J19" i="1"/>
  <c r="L102" i="3"/>
  <c r="G102" i="3"/>
  <c r="E102" i="3"/>
  <c r="N102" i="3"/>
  <c r="J102" i="3"/>
  <c r="M102" i="3"/>
  <c r="K102" i="3"/>
  <c r="H102" i="3"/>
  <c r="F102" i="3"/>
  <c r="M147" i="3"/>
  <c r="K147" i="3"/>
  <c r="H147" i="3"/>
  <c r="F147" i="3"/>
  <c r="N147" i="3"/>
  <c r="L147" i="3"/>
  <c r="J147" i="3"/>
  <c r="G147" i="3"/>
  <c r="E147" i="3"/>
  <c r="J54" i="1"/>
  <c r="I90" i="3"/>
  <c r="I97" i="3"/>
  <c r="J197" i="1"/>
  <c r="I20" i="3"/>
  <c r="I19" i="3" s="1"/>
  <c r="I131" i="3"/>
  <c r="K123" i="3"/>
  <c r="I151" i="3"/>
  <c r="I150" i="3" s="1"/>
  <c r="I147" i="3" s="1"/>
  <c r="N23" i="3"/>
  <c r="L23" i="3"/>
  <c r="J23" i="3"/>
  <c r="G23" i="3"/>
  <c r="E23" i="3"/>
  <c r="M23" i="3"/>
  <c r="K23" i="3"/>
  <c r="H23" i="3"/>
  <c r="F23" i="3"/>
  <c r="N89" i="3"/>
  <c r="L89" i="3"/>
  <c r="J89" i="3"/>
  <c r="G89" i="3"/>
  <c r="M89" i="3"/>
  <c r="K89" i="3"/>
  <c r="H89" i="3"/>
  <c r="F89" i="3"/>
  <c r="L53" i="3"/>
  <c r="H53" i="3"/>
  <c r="F53" i="3"/>
  <c r="M53" i="3"/>
  <c r="K53" i="3"/>
  <c r="G53" i="3"/>
  <c r="I39" i="3"/>
  <c r="N39" i="3"/>
  <c r="L39" i="3"/>
  <c r="J39" i="3"/>
  <c r="G39" i="3"/>
  <c r="E39" i="3"/>
  <c r="M39" i="3"/>
  <c r="K39" i="3"/>
  <c r="H39" i="3"/>
  <c r="F39" i="3"/>
  <c r="L22" i="3"/>
  <c r="H22" i="3"/>
  <c r="F22" i="3"/>
  <c r="M22" i="3"/>
  <c r="K22" i="3"/>
  <c r="G22" i="3"/>
  <c r="E22" i="3"/>
  <c r="I27" i="3"/>
  <c r="I23" i="3" s="1"/>
  <c r="J189" i="1"/>
  <c r="J181" i="1"/>
  <c r="J180" i="1" s="1"/>
  <c r="J178" i="1"/>
  <c r="J167" i="1" s="1"/>
  <c r="J121" i="1"/>
  <c r="I81" i="3"/>
  <c r="I79" i="3"/>
  <c r="I42" i="3"/>
  <c r="I40" i="3" s="1"/>
  <c r="I128" i="3"/>
  <c r="I80" i="3"/>
  <c r="E87" i="3"/>
  <c r="E82" i="3" s="1"/>
  <c r="I108" i="3"/>
  <c r="I104" i="3"/>
  <c r="L135" i="3"/>
  <c r="J135" i="3"/>
  <c r="G135" i="3"/>
  <c r="I76" i="3"/>
  <c r="I56" i="3"/>
  <c r="I142" i="3"/>
  <c r="I140" i="3" s="1"/>
  <c r="I124" i="3"/>
  <c r="I85" i="3"/>
  <c r="I82" i="3" s="1"/>
  <c r="I66" i="3"/>
  <c r="I74" i="3"/>
  <c r="N125" i="3"/>
  <c r="N123" i="3" s="1"/>
  <c r="N135" i="3"/>
  <c r="H135" i="3"/>
  <c r="M135" i="3"/>
  <c r="M134" i="3" s="1"/>
  <c r="K135" i="3"/>
  <c r="K134" i="3" s="1"/>
  <c r="F135" i="3"/>
  <c r="F134" i="3" s="1"/>
  <c r="E135" i="3"/>
  <c r="E134" i="3" s="1"/>
  <c r="L19" i="3"/>
  <c r="I95" i="3"/>
  <c r="I135" i="3"/>
  <c r="M82" i="3"/>
  <c r="F82" i="3"/>
  <c r="I75" i="3"/>
  <c r="I58" i="3"/>
  <c r="N140" i="3"/>
  <c r="L140" i="3"/>
  <c r="J140" i="3"/>
  <c r="H140" i="3"/>
  <c r="G140" i="3"/>
  <c r="M123" i="3"/>
  <c r="F123" i="3"/>
  <c r="K82" i="3"/>
  <c r="L77" i="3"/>
  <c r="H77" i="3"/>
  <c r="N19" i="3"/>
  <c r="J19" i="3"/>
  <c r="H19" i="3"/>
  <c r="G19" i="3"/>
  <c r="M19" i="3"/>
  <c r="K19" i="3"/>
  <c r="F19" i="3"/>
  <c r="E19" i="3"/>
  <c r="L123" i="3"/>
  <c r="H123" i="3"/>
  <c r="G123" i="3"/>
  <c r="N77" i="3"/>
  <c r="J77" i="3"/>
  <c r="G77" i="3"/>
  <c r="M77" i="3"/>
  <c r="K77" i="3"/>
  <c r="F77" i="3"/>
  <c r="E77" i="3"/>
  <c r="N82" i="3"/>
  <c r="L82" i="3"/>
  <c r="J82" i="3"/>
  <c r="H82" i="3"/>
  <c r="G82" i="3"/>
  <c r="J158" i="1"/>
  <c r="J207" i="1" l="1"/>
  <c r="I102" i="3"/>
  <c r="K154" i="3"/>
  <c r="L209" i="1" s="1"/>
  <c r="I130" i="3"/>
  <c r="G154" i="3"/>
  <c r="H209" i="1" s="1"/>
  <c r="J154" i="3"/>
  <c r="K209" i="1" s="1"/>
  <c r="N154" i="3"/>
  <c r="O209" i="1" s="1"/>
  <c r="M154" i="3"/>
  <c r="N209" i="1" s="1"/>
  <c r="H154" i="3"/>
  <c r="I209" i="1" s="1"/>
  <c r="I154" i="3"/>
  <c r="E154" i="3"/>
  <c r="F209" i="1" s="1"/>
  <c r="L154" i="3"/>
  <c r="M209" i="1" s="1"/>
  <c r="F154" i="3"/>
  <c r="G209" i="1" s="1"/>
  <c r="I89" i="3"/>
  <c r="K98" i="3"/>
  <c r="K153" i="3" s="1"/>
  <c r="H98" i="3"/>
  <c r="M98" i="3"/>
  <c r="M153" i="3" s="1"/>
  <c r="G98" i="3"/>
  <c r="L98" i="3"/>
  <c r="F98" i="3"/>
  <c r="F153" i="3" s="1"/>
  <c r="N98" i="3"/>
  <c r="I77" i="3"/>
  <c r="L134" i="3"/>
  <c r="G134" i="3"/>
  <c r="N134" i="3"/>
  <c r="J134" i="3"/>
  <c r="I134" i="3"/>
  <c r="H134" i="3"/>
  <c r="E201" i="1"/>
  <c r="D141" i="3" s="1"/>
  <c r="C201" i="1"/>
  <c r="D201" i="1"/>
  <c r="B201" i="1"/>
  <c r="J209" i="1" l="1"/>
  <c r="E97" i="3"/>
  <c r="E89" i="3" s="1"/>
  <c r="G153" i="3"/>
  <c r="L153" i="3"/>
  <c r="H153" i="3"/>
  <c r="E129" i="3"/>
  <c r="E123" i="3" s="1"/>
  <c r="E98" i="3" s="1"/>
  <c r="J96" i="1"/>
  <c r="J80" i="1" s="1"/>
  <c r="P201" i="1"/>
  <c r="O141" i="3" s="1"/>
  <c r="I125" i="3" l="1"/>
  <c r="I123" i="3" s="1"/>
  <c r="I98" i="3" s="1"/>
  <c r="J79" i="1"/>
  <c r="E151" i="1" l="1"/>
  <c r="C151" i="1"/>
  <c r="D151" i="1"/>
  <c r="B151" i="1"/>
  <c r="D111" i="3" l="1"/>
  <c r="P151" i="1"/>
  <c r="O111" i="3" s="1"/>
  <c r="F112" i="1"/>
  <c r="E70" i="3" l="1"/>
  <c r="F99" i="1"/>
  <c r="E53" i="3"/>
  <c r="E153" i="3" s="1"/>
  <c r="J24" i="3"/>
  <c r="N26" i="3" l="1"/>
  <c r="J26" i="3"/>
  <c r="J22" i="3" s="1"/>
  <c r="J58" i="1"/>
  <c r="J53" i="1" s="1"/>
  <c r="I26" i="3" l="1"/>
  <c r="N31" i="3"/>
  <c r="N22" i="3" s="1"/>
  <c r="J128" i="1"/>
  <c r="J126" i="1" s="1"/>
  <c r="D45" i="1"/>
  <c r="D184" i="1"/>
  <c r="D158" i="1"/>
  <c r="C130" i="1"/>
  <c r="D130" i="1"/>
  <c r="B130" i="1"/>
  <c r="D123" i="1"/>
  <c r="D68" i="1"/>
  <c r="D66" i="1"/>
  <c r="P204" i="1"/>
  <c r="O146" i="3" s="1"/>
  <c r="E199" i="1"/>
  <c r="E200" i="1"/>
  <c r="E202" i="1"/>
  <c r="E203" i="1"/>
  <c r="D145" i="3" s="1"/>
  <c r="E205" i="1"/>
  <c r="D149" i="3" s="1"/>
  <c r="D148" i="3" s="1"/>
  <c r="E198" i="1"/>
  <c r="K196" i="1"/>
  <c r="L196" i="1"/>
  <c r="M196" i="1"/>
  <c r="N196" i="1"/>
  <c r="O196" i="1"/>
  <c r="F196" i="1"/>
  <c r="G196" i="1"/>
  <c r="H196" i="1"/>
  <c r="I196" i="1"/>
  <c r="E191" i="1"/>
  <c r="D101" i="3" s="1"/>
  <c r="D100" i="3" s="1"/>
  <c r="E192" i="1"/>
  <c r="E193" i="1"/>
  <c r="D126" i="3" s="1"/>
  <c r="E194" i="1"/>
  <c r="D127" i="3" s="1"/>
  <c r="E195" i="1"/>
  <c r="E190" i="1"/>
  <c r="K188" i="1"/>
  <c r="L188" i="1"/>
  <c r="M188" i="1"/>
  <c r="N188" i="1"/>
  <c r="O188" i="1"/>
  <c r="F188" i="1"/>
  <c r="G188" i="1"/>
  <c r="H188" i="1"/>
  <c r="I188" i="1"/>
  <c r="J186" i="1"/>
  <c r="J185" i="1" s="1"/>
  <c r="E187" i="1"/>
  <c r="K186" i="1"/>
  <c r="K185" i="1" s="1"/>
  <c r="L186" i="1"/>
  <c r="L185" i="1" s="1"/>
  <c r="M186" i="1"/>
  <c r="M185" i="1" s="1"/>
  <c r="N186" i="1"/>
  <c r="N185" i="1" s="1"/>
  <c r="O186" i="1"/>
  <c r="O185" i="1" s="1"/>
  <c r="F186" i="1"/>
  <c r="F185" i="1" s="1"/>
  <c r="G186" i="1"/>
  <c r="G185" i="1" s="1"/>
  <c r="H186" i="1"/>
  <c r="H185" i="1" s="1"/>
  <c r="I186" i="1"/>
  <c r="I185" i="1" s="1"/>
  <c r="E186" i="1"/>
  <c r="E185" i="1" s="1"/>
  <c r="E183" i="1"/>
  <c r="E184" i="1"/>
  <c r="E182" i="1"/>
  <c r="K180" i="1"/>
  <c r="L180" i="1"/>
  <c r="M180" i="1"/>
  <c r="N180" i="1"/>
  <c r="O180" i="1"/>
  <c r="F180" i="1"/>
  <c r="G180" i="1"/>
  <c r="H180" i="1"/>
  <c r="I180" i="1"/>
  <c r="E169" i="1"/>
  <c r="E170" i="1"/>
  <c r="D96" i="3" s="1"/>
  <c r="E171" i="1"/>
  <c r="E172" i="1"/>
  <c r="D105" i="3" s="1"/>
  <c r="E173" i="1"/>
  <c r="D106" i="3" s="1"/>
  <c r="E175" i="1"/>
  <c r="E178" i="1"/>
  <c r="E168" i="1"/>
  <c r="K166" i="1"/>
  <c r="M166" i="1"/>
  <c r="N166" i="1"/>
  <c r="O166" i="1"/>
  <c r="F166" i="1"/>
  <c r="G166" i="1"/>
  <c r="H166" i="1"/>
  <c r="I166" i="1"/>
  <c r="J164" i="1"/>
  <c r="J163" i="1" s="1"/>
  <c r="E165" i="1"/>
  <c r="E164" i="1" s="1"/>
  <c r="E163" i="1" s="1"/>
  <c r="K164" i="1"/>
  <c r="K163" i="1" s="1"/>
  <c r="L164" i="1"/>
  <c r="L163" i="1" s="1"/>
  <c r="M164" i="1"/>
  <c r="M163" i="1" s="1"/>
  <c r="N164" i="1"/>
  <c r="N163" i="1" s="1"/>
  <c r="O164" i="1"/>
  <c r="O163" i="1" s="1"/>
  <c r="F164" i="1"/>
  <c r="F163" i="1" s="1"/>
  <c r="G164" i="1"/>
  <c r="G163" i="1" s="1"/>
  <c r="H164" i="1"/>
  <c r="H163" i="1" s="1"/>
  <c r="I164" i="1"/>
  <c r="I163" i="1" s="1"/>
  <c r="E139" i="1"/>
  <c r="P139" i="1" s="1"/>
  <c r="E140" i="1"/>
  <c r="D90" i="3" s="1"/>
  <c r="E141" i="1"/>
  <c r="E142" i="1"/>
  <c r="D92" i="3" s="1"/>
  <c r="E143" i="1"/>
  <c r="E144" i="1"/>
  <c r="E145" i="1"/>
  <c r="E146" i="1"/>
  <c r="E147" i="1"/>
  <c r="E148" i="1"/>
  <c r="P148" i="1" s="1"/>
  <c r="E156" i="1"/>
  <c r="E157" i="1"/>
  <c r="P157" i="1" s="1"/>
  <c r="E158" i="1"/>
  <c r="P158" i="1" s="1"/>
  <c r="E161" i="1"/>
  <c r="P161" i="1" s="1"/>
  <c r="E162" i="1"/>
  <c r="E138" i="1"/>
  <c r="K135" i="1"/>
  <c r="L135" i="1"/>
  <c r="M135" i="1"/>
  <c r="N135" i="1"/>
  <c r="O135" i="1"/>
  <c r="F135" i="1"/>
  <c r="G135" i="1"/>
  <c r="H135" i="1"/>
  <c r="I135" i="1"/>
  <c r="E128" i="1"/>
  <c r="D31" i="3" s="1"/>
  <c r="E129" i="1"/>
  <c r="D78" i="3" s="1"/>
  <c r="E130" i="1"/>
  <c r="E131" i="1"/>
  <c r="E132" i="1"/>
  <c r="E133" i="1"/>
  <c r="E127" i="1"/>
  <c r="K125" i="1"/>
  <c r="L125" i="1"/>
  <c r="M125" i="1"/>
  <c r="N125" i="1"/>
  <c r="F125" i="1"/>
  <c r="G125" i="1"/>
  <c r="H125" i="1"/>
  <c r="I125" i="1"/>
  <c r="E123" i="1"/>
  <c r="D62" i="3" s="1"/>
  <c r="E124" i="1"/>
  <c r="D63" i="3" s="1"/>
  <c r="E122" i="1"/>
  <c r="K120" i="1"/>
  <c r="L120" i="1"/>
  <c r="M120" i="1"/>
  <c r="N120" i="1"/>
  <c r="O120" i="1"/>
  <c r="F120" i="1"/>
  <c r="G120" i="1"/>
  <c r="H120" i="1"/>
  <c r="I120" i="1"/>
  <c r="E101" i="1"/>
  <c r="D54" i="3" s="1"/>
  <c r="E102" i="1"/>
  <c r="D55" i="3" s="1"/>
  <c r="E103" i="1"/>
  <c r="E104" i="1"/>
  <c r="D57" i="3" s="1"/>
  <c r="E105" i="1"/>
  <c r="E106" i="1"/>
  <c r="D59" i="3" s="1"/>
  <c r="E107" i="1"/>
  <c r="D60" i="3" s="1"/>
  <c r="E108" i="1"/>
  <c r="D61" i="3" s="1"/>
  <c r="E109" i="1"/>
  <c r="D67" i="3" s="1"/>
  <c r="E110" i="1"/>
  <c r="E111" i="1"/>
  <c r="D69" i="3" s="1"/>
  <c r="E112" i="1"/>
  <c r="D70" i="3" s="1"/>
  <c r="E113" i="1"/>
  <c r="D71" i="3" s="1"/>
  <c r="E114" i="1"/>
  <c r="D72" i="3" s="1"/>
  <c r="E115" i="1"/>
  <c r="D73" i="3" s="1"/>
  <c r="E116" i="1"/>
  <c r="E117" i="1"/>
  <c r="E118" i="1"/>
  <c r="P118" i="1" s="1"/>
  <c r="E119" i="1"/>
  <c r="E100" i="1"/>
  <c r="L98" i="1"/>
  <c r="M98" i="1"/>
  <c r="N98" i="1"/>
  <c r="F98" i="1"/>
  <c r="G98" i="1"/>
  <c r="H98" i="1"/>
  <c r="I98" i="1"/>
  <c r="E83" i="1"/>
  <c r="D41" i="3" s="1"/>
  <c r="E84" i="1"/>
  <c r="E85" i="1"/>
  <c r="D43" i="3" s="1"/>
  <c r="E86" i="1"/>
  <c r="D44" i="3" s="1"/>
  <c r="E87" i="1"/>
  <c r="D45" i="3" s="1"/>
  <c r="E88" i="1"/>
  <c r="D46" i="3" s="1"/>
  <c r="E89" i="1"/>
  <c r="D47" i="3" s="1"/>
  <c r="E91" i="1"/>
  <c r="D49" i="3" s="1"/>
  <c r="E92" i="1"/>
  <c r="E93" i="1"/>
  <c r="D51" i="3" s="1"/>
  <c r="E94" i="1"/>
  <c r="D52" i="3" s="1"/>
  <c r="E96" i="1"/>
  <c r="E82" i="1"/>
  <c r="K52" i="1"/>
  <c r="L52" i="1"/>
  <c r="M52" i="1"/>
  <c r="N52" i="1"/>
  <c r="O52" i="1"/>
  <c r="F52" i="1"/>
  <c r="G52" i="1"/>
  <c r="H52" i="1"/>
  <c r="I52" i="1"/>
  <c r="E56" i="1"/>
  <c r="D24" i="3" s="1"/>
  <c r="E58" i="1"/>
  <c r="E59" i="1"/>
  <c r="E60" i="1"/>
  <c r="D28" i="3" s="1"/>
  <c r="E61" i="1"/>
  <c r="D29" i="3" s="1"/>
  <c r="E62" i="1"/>
  <c r="D30" i="3" s="1"/>
  <c r="E63" i="1"/>
  <c r="D32" i="3" s="1"/>
  <c r="E64" i="1"/>
  <c r="D33" i="3" s="1"/>
  <c r="E65" i="1"/>
  <c r="D34" i="3" s="1"/>
  <c r="E66" i="1"/>
  <c r="D35" i="3" s="1"/>
  <c r="E67" i="1"/>
  <c r="D36" i="3" s="1"/>
  <c r="E68" i="1"/>
  <c r="D37" i="3" s="1"/>
  <c r="E70" i="1"/>
  <c r="E71" i="1"/>
  <c r="E72" i="1"/>
  <c r="E76" i="1"/>
  <c r="E77" i="1"/>
  <c r="P77" i="1" s="1"/>
  <c r="E55" i="1"/>
  <c r="E53" i="1" s="1"/>
  <c r="E21" i="1"/>
  <c r="D21" i="3" s="1"/>
  <c r="E22" i="1"/>
  <c r="E23" i="1"/>
  <c r="E24" i="1"/>
  <c r="D64" i="3" s="1"/>
  <c r="E25" i="1"/>
  <c r="D65" i="3" s="1"/>
  <c r="E26" i="1"/>
  <c r="E27" i="1"/>
  <c r="E28" i="1"/>
  <c r="E29" i="1"/>
  <c r="E30" i="1"/>
  <c r="E31" i="1"/>
  <c r="E32" i="1"/>
  <c r="D83" i="3" s="1"/>
  <c r="E33" i="1"/>
  <c r="D84" i="3" s="1"/>
  <c r="E34" i="1"/>
  <c r="E35" i="1"/>
  <c r="D86" i="3" s="1"/>
  <c r="E36" i="1"/>
  <c r="D87" i="3" s="1"/>
  <c r="E37" i="1"/>
  <c r="D88" i="3" s="1"/>
  <c r="E38" i="1"/>
  <c r="D116" i="3" s="1"/>
  <c r="D114" i="3" s="1"/>
  <c r="E41" i="1"/>
  <c r="D122" i="3" s="1"/>
  <c r="D121" i="3" s="1"/>
  <c r="E42" i="1"/>
  <c r="E43" i="1"/>
  <c r="E44" i="1"/>
  <c r="D129" i="3" s="1"/>
  <c r="E45" i="1"/>
  <c r="E46" i="1"/>
  <c r="E47" i="1"/>
  <c r="D136" i="3" s="1"/>
  <c r="E48" i="1"/>
  <c r="D137" i="3" s="1"/>
  <c r="E49" i="1"/>
  <c r="E50" i="1"/>
  <c r="E51" i="1"/>
  <c r="D144" i="3" s="1"/>
  <c r="D143" i="3" s="1"/>
  <c r="E20" i="1"/>
  <c r="E19" i="1" s="1"/>
  <c r="K18" i="1"/>
  <c r="M18" i="1"/>
  <c r="N18" i="1"/>
  <c r="O18" i="1"/>
  <c r="F18" i="1"/>
  <c r="G18" i="1"/>
  <c r="H18" i="1"/>
  <c r="I18" i="1"/>
  <c r="L18" i="1"/>
  <c r="D50" i="3" l="1"/>
  <c r="E81" i="1"/>
  <c r="D93" i="3"/>
  <c r="D139" i="3"/>
  <c r="D138" i="3" s="1"/>
  <c r="D94" i="3"/>
  <c r="E80" i="1"/>
  <c r="E79" i="1" s="1"/>
  <c r="E167" i="1"/>
  <c r="E166" i="1" s="1"/>
  <c r="D130" i="3"/>
  <c r="E135" i="1"/>
  <c r="E54" i="1"/>
  <c r="D26" i="3"/>
  <c r="D22" i="3" s="1"/>
  <c r="E52" i="1"/>
  <c r="D97" i="3"/>
  <c r="E197" i="1"/>
  <c r="E196" i="1" s="1"/>
  <c r="H206" i="1"/>
  <c r="H208" i="1" s="1"/>
  <c r="N206" i="1"/>
  <c r="N208" i="1" s="1"/>
  <c r="D131" i="3"/>
  <c r="I206" i="1"/>
  <c r="I208" i="1" s="1"/>
  <c r="M206" i="1"/>
  <c r="M208" i="1" s="1"/>
  <c r="P162" i="1"/>
  <c r="D151" i="3"/>
  <c r="D150" i="3" s="1"/>
  <c r="D147" i="3" s="1"/>
  <c r="E99" i="1"/>
  <c r="E98" i="1" s="1"/>
  <c r="G206" i="1"/>
  <c r="G208" i="1" s="1"/>
  <c r="F206" i="1"/>
  <c r="F208" i="1" s="1"/>
  <c r="D20" i="3"/>
  <c r="D19" i="3" s="1"/>
  <c r="D91" i="3"/>
  <c r="D39" i="3"/>
  <c r="D27" i="3"/>
  <c r="D23" i="3" s="1"/>
  <c r="E181" i="1"/>
  <c r="E180" i="1" s="1"/>
  <c r="E189" i="1"/>
  <c r="E188" i="1" s="1"/>
  <c r="D95" i="3"/>
  <c r="E126" i="1"/>
  <c r="E125" i="1" s="1"/>
  <c r="E121" i="1"/>
  <c r="E120" i="1" s="1"/>
  <c r="D128" i="3"/>
  <c r="E18" i="1"/>
  <c r="D42" i="3"/>
  <c r="D68" i="3"/>
  <c r="D124" i="3"/>
  <c r="P138" i="1"/>
  <c r="O125" i="1"/>
  <c r="D80" i="3"/>
  <c r="D125" i="3"/>
  <c r="D74" i="3"/>
  <c r="D104" i="3"/>
  <c r="D142" i="3"/>
  <c r="D140" i="3" s="1"/>
  <c r="D81" i="3"/>
  <c r="D79" i="3"/>
  <c r="D108" i="3"/>
  <c r="I31" i="3"/>
  <c r="I22" i="3" s="1"/>
  <c r="J125" i="1"/>
  <c r="D135" i="3"/>
  <c r="D76" i="3"/>
  <c r="D85" i="3"/>
  <c r="D82" i="3" s="1"/>
  <c r="D66" i="3"/>
  <c r="P119" i="1"/>
  <c r="D75" i="3"/>
  <c r="D58" i="3"/>
  <c r="D56" i="3"/>
  <c r="P20" i="1"/>
  <c r="P50" i="1"/>
  <c r="P48" i="1"/>
  <c r="O137" i="3" s="1"/>
  <c r="P46" i="1"/>
  <c r="P44" i="1"/>
  <c r="O129" i="3" s="1"/>
  <c r="P42" i="1"/>
  <c r="P72" i="1"/>
  <c r="P70" i="1"/>
  <c r="P68" i="1"/>
  <c r="O37" i="3" s="1"/>
  <c r="P67" i="1"/>
  <c r="O36" i="3" s="1"/>
  <c r="P66" i="1"/>
  <c r="O35" i="3" s="1"/>
  <c r="P64" i="1"/>
  <c r="O33" i="3" s="1"/>
  <c r="P62" i="1"/>
  <c r="O30" i="3" s="1"/>
  <c r="P60" i="1"/>
  <c r="O28" i="3" s="1"/>
  <c r="P58" i="1"/>
  <c r="O26" i="3" s="1"/>
  <c r="P82" i="1"/>
  <c r="P115" i="1"/>
  <c r="O73" i="3" s="1"/>
  <c r="P113" i="1"/>
  <c r="O71" i="3" s="1"/>
  <c r="P111" i="1"/>
  <c r="O69" i="3" s="1"/>
  <c r="P109" i="1"/>
  <c r="O67" i="3" s="1"/>
  <c r="P107" i="1"/>
  <c r="O60" i="3" s="1"/>
  <c r="P105" i="1"/>
  <c r="P103" i="1"/>
  <c r="P146" i="1"/>
  <c r="P144" i="1"/>
  <c r="P141" i="1"/>
  <c r="O91" i="3" s="1"/>
  <c r="P172" i="1"/>
  <c r="O105" i="3" s="1"/>
  <c r="P205" i="1"/>
  <c r="O149" i="3" s="1"/>
  <c r="O148" i="3" s="1"/>
  <c r="P51" i="1"/>
  <c r="O144" i="3" s="1"/>
  <c r="O143" i="3" s="1"/>
  <c r="P49" i="1"/>
  <c r="P47" i="1"/>
  <c r="O136" i="3" s="1"/>
  <c r="P45" i="1"/>
  <c r="J123" i="3" s="1"/>
  <c r="J98" i="3" s="1"/>
  <c r="P43" i="1"/>
  <c r="O128" i="3" s="1"/>
  <c r="P41" i="1"/>
  <c r="O122" i="3" s="1"/>
  <c r="O121" i="3" s="1"/>
  <c r="P76" i="1"/>
  <c r="P71" i="1"/>
  <c r="P65" i="1"/>
  <c r="O34" i="3" s="1"/>
  <c r="P63" i="1"/>
  <c r="O32" i="3" s="1"/>
  <c r="P61" i="1"/>
  <c r="O29" i="3" s="1"/>
  <c r="P59" i="1"/>
  <c r="P100" i="1"/>
  <c r="P116" i="1"/>
  <c r="O74" i="3" s="1"/>
  <c r="P114" i="1"/>
  <c r="O72" i="3" s="1"/>
  <c r="P112" i="1"/>
  <c r="O70" i="3" s="1"/>
  <c r="P110" i="1"/>
  <c r="O68" i="3" s="1"/>
  <c r="P108" i="1"/>
  <c r="O61" i="3" s="1"/>
  <c r="P106" i="1"/>
  <c r="O59" i="3" s="1"/>
  <c r="P104" i="1"/>
  <c r="O57" i="3" s="1"/>
  <c r="P102" i="1"/>
  <c r="O55" i="3" s="1"/>
  <c r="P145" i="1"/>
  <c r="P143" i="1"/>
  <c r="P142" i="1"/>
  <c r="O92" i="3" s="1"/>
  <c r="P173" i="1"/>
  <c r="O106" i="3" s="1"/>
  <c r="P198" i="1"/>
  <c r="J135" i="1"/>
  <c r="P156" i="1"/>
  <c r="P182" i="1"/>
  <c r="P183" i="1"/>
  <c r="P193" i="1"/>
  <c r="O126" i="3" s="1"/>
  <c r="J188" i="1"/>
  <c r="P202" i="1"/>
  <c r="P199" i="1"/>
  <c r="P124" i="1"/>
  <c r="O63" i="3" s="1"/>
  <c r="P123" i="1"/>
  <c r="O62" i="3" s="1"/>
  <c r="P38" i="1"/>
  <c r="O116" i="3" s="1"/>
  <c r="O114" i="3" s="1"/>
  <c r="P34" i="1"/>
  <c r="P32" i="1"/>
  <c r="O83" i="3" s="1"/>
  <c r="P30" i="1"/>
  <c r="P28" i="1"/>
  <c r="P26" i="1"/>
  <c r="P24" i="1"/>
  <c r="O64" i="3" s="1"/>
  <c r="P22" i="1"/>
  <c r="P127" i="1"/>
  <c r="P178" i="1"/>
  <c r="P187" i="1"/>
  <c r="P186" i="1" s="1"/>
  <c r="P185" i="1" s="1"/>
  <c r="P194" i="1"/>
  <c r="O127" i="3" s="1"/>
  <c r="P192" i="1"/>
  <c r="P191" i="1"/>
  <c r="O101" i="3" s="1"/>
  <c r="O100" i="3" s="1"/>
  <c r="P195" i="1"/>
  <c r="P147" i="1"/>
  <c r="P37" i="1"/>
  <c r="O88" i="3" s="1"/>
  <c r="P35" i="1"/>
  <c r="O86" i="3" s="1"/>
  <c r="P33" i="1"/>
  <c r="O84" i="3" s="1"/>
  <c r="P31" i="1"/>
  <c r="P27" i="1"/>
  <c r="P25" i="1"/>
  <c r="O65" i="3" s="1"/>
  <c r="P23" i="1"/>
  <c r="P96" i="1"/>
  <c r="P94" i="1"/>
  <c r="O52" i="3" s="1"/>
  <c r="P93" i="1"/>
  <c r="O51" i="3" s="1"/>
  <c r="P91" i="1"/>
  <c r="O49" i="3" s="1"/>
  <c r="P89" i="1"/>
  <c r="O47" i="3" s="1"/>
  <c r="P87" i="1"/>
  <c r="O45" i="3" s="1"/>
  <c r="P85" i="1"/>
  <c r="O43" i="3" s="1"/>
  <c r="P83" i="1"/>
  <c r="O41" i="3" s="1"/>
  <c r="P92" i="1"/>
  <c r="P88" i="1"/>
  <c r="O46" i="3" s="1"/>
  <c r="P86" i="1"/>
  <c r="O44" i="3" s="1"/>
  <c r="P84" i="1"/>
  <c r="J120" i="1"/>
  <c r="P132" i="1"/>
  <c r="P133" i="1"/>
  <c r="P129" i="1"/>
  <c r="O78" i="3" s="1"/>
  <c r="P175" i="1"/>
  <c r="P171" i="1"/>
  <c r="P21" i="1"/>
  <c r="O21" i="3" s="1"/>
  <c r="P29" i="1"/>
  <c r="P140" i="1"/>
  <c r="O90" i="3" s="1"/>
  <c r="P184" i="1"/>
  <c r="P36" i="1"/>
  <c r="O87" i="3" s="1"/>
  <c r="P56" i="1"/>
  <c r="O24" i="3" s="1"/>
  <c r="P122" i="1"/>
  <c r="P131" i="1"/>
  <c r="P130" i="1"/>
  <c r="P200" i="1"/>
  <c r="P168" i="1"/>
  <c r="P169" i="1"/>
  <c r="P203" i="1"/>
  <c r="O145" i="3" s="1"/>
  <c r="J196" i="1"/>
  <c r="J52" i="1"/>
  <c r="P190" i="1"/>
  <c r="P165" i="1"/>
  <c r="P164" i="1" s="1"/>
  <c r="P163" i="1" s="1"/>
  <c r="P55" i="1"/>
  <c r="J18" i="1"/>
  <c r="P117" i="1"/>
  <c r="P128" i="1"/>
  <c r="O31" i="3" s="1"/>
  <c r="D40" i="3" l="1"/>
  <c r="O50" i="3"/>
  <c r="P81" i="1"/>
  <c r="P53" i="1"/>
  <c r="O93" i="3"/>
  <c r="O139" i="3"/>
  <c r="O138" i="3" s="1"/>
  <c r="O94" i="3"/>
  <c r="P19" i="1"/>
  <c r="E207" i="1"/>
  <c r="P80" i="1"/>
  <c r="P79" i="1" s="1"/>
  <c r="D102" i="3"/>
  <c r="D154" i="3"/>
  <c r="O130" i="3"/>
  <c r="O108" i="3"/>
  <c r="P52" i="1"/>
  <c r="P54" i="1"/>
  <c r="O131" i="3"/>
  <c r="O20" i="3"/>
  <c r="O19" i="3" s="1"/>
  <c r="O97" i="3"/>
  <c r="O151" i="3"/>
  <c r="O150" i="3" s="1"/>
  <c r="O147" i="3" s="1"/>
  <c r="D89" i="3"/>
  <c r="E206" i="1"/>
  <c r="D53" i="3"/>
  <c r="O39" i="3"/>
  <c r="O22" i="3"/>
  <c r="O27" i="3"/>
  <c r="O23" i="3" s="1"/>
  <c r="P197" i="1"/>
  <c r="P189" i="1"/>
  <c r="P181" i="1"/>
  <c r="P126" i="1"/>
  <c r="P121" i="1"/>
  <c r="O42" i="3"/>
  <c r="O104" i="3"/>
  <c r="D123" i="3"/>
  <c r="O75" i="3"/>
  <c r="D134" i="3"/>
  <c r="D77" i="3"/>
  <c r="O124" i="3"/>
  <c r="O142" i="3"/>
  <c r="O140" i="3" s="1"/>
  <c r="O135" i="3"/>
  <c r="O95" i="3"/>
  <c r="O81" i="3"/>
  <c r="O80" i="3"/>
  <c r="O76" i="3"/>
  <c r="O58" i="3"/>
  <c r="O85" i="3"/>
  <c r="O82" i="3" s="1"/>
  <c r="O79" i="3"/>
  <c r="O125" i="3"/>
  <c r="O56" i="3"/>
  <c r="O66" i="3"/>
  <c r="L166" i="1"/>
  <c r="L206" i="1" s="1"/>
  <c r="L208" i="1" s="1"/>
  <c r="O40" i="3" l="1"/>
  <c r="O154" i="3" s="1"/>
  <c r="E209" i="1"/>
  <c r="P207" i="1"/>
  <c r="D98" i="3"/>
  <c r="D153" i="3" s="1"/>
  <c r="E208" i="1" s="1"/>
  <c r="O102" i="3"/>
  <c r="O134" i="3"/>
  <c r="O123" i="3"/>
  <c r="O77" i="3"/>
  <c r="P170" i="1"/>
  <c r="P167" i="1" s="1"/>
  <c r="J166" i="1"/>
  <c r="O98" i="3" l="1"/>
  <c r="P209" i="1"/>
  <c r="O96" i="3"/>
  <c r="O89" i="3" s="1"/>
  <c r="O101" i="1" l="1"/>
  <c r="K101" i="1"/>
  <c r="K99" i="1" s="1"/>
  <c r="J54" i="3" l="1"/>
  <c r="J53" i="3" s="1"/>
  <c r="J153" i="3" s="1"/>
  <c r="K98" i="1"/>
  <c r="K206" i="1" s="1"/>
  <c r="N54" i="3"/>
  <c r="O99" i="1"/>
  <c r="O98" i="1" s="1"/>
  <c r="O206" i="1" s="1"/>
  <c r="N53" i="3"/>
  <c r="N153" i="3" s="1"/>
  <c r="J101" i="1"/>
  <c r="O208" i="1" l="1"/>
  <c r="K208" i="1"/>
  <c r="I54" i="3"/>
  <c r="I53" i="3" s="1"/>
  <c r="I153" i="3" s="1"/>
  <c r="J99" i="1"/>
  <c r="P101" i="1"/>
  <c r="P18" i="1"/>
  <c r="P180" i="1"/>
  <c r="P196" i="1"/>
  <c r="O54" i="3" l="1"/>
  <c r="P99" i="1"/>
  <c r="P98" i="1" s="1"/>
  <c r="O53" i="3"/>
  <c r="O153" i="3" s="1"/>
  <c r="J98" i="1"/>
  <c r="J206" i="1" s="1"/>
  <c r="J208" i="1" s="1"/>
  <c r="P188" i="1"/>
  <c r="P166" i="1"/>
  <c r="P135" i="1"/>
  <c r="P125" i="1"/>
  <c r="P120" i="1"/>
  <c r="P206" i="1" l="1"/>
  <c r="P208" i="1" s="1"/>
  <c r="C48" i="1" l="1"/>
  <c r="C200" i="1" l="1"/>
  <c r="D200" i="1"/>
  <c r="B200" i="1"/>
  <c r="C157" i="1"/>
  <c r="D157" i="1"/>
  <c r="B157" i="1"/>
  <c r="C104" i="1" l="1"/>
  <c r="D104" i="1"/>
  <c r="B104" i="1"/>
  <c r="C29" i="1"/>
  <c r="D29" i="1"/>
  <c r="B29" i="1"/>
  <c r="C71" i="1"/>
  <c r="D71" i="1"/>
  <c r="B71" i="1"/>
  <c r="B91" i="1"/>
  <c r="C91" i="1"/>
  <c r="D91" i="1"/>
  <c r="D92" i="1"/>
  <c r="B110" i="1"/>
  <c r="C110" i="1"/>
  <c r="D110" i="1"/>
  <c r="B111" i="1"/>
  <c r="C111" i="1"/>
  <c r="D111" i="1"/>
  <c r="C107" i="1"/>
  <c r="D107" i="1"/>
  <c r="B107" i="1"/>
  <c r="C184" i="1"/>
  <c r="B184" i="1"/>
  <c r="C183" i="1"/>
  <c r="D183" i="1"/>
  <c r="B183" i="1"/>
  <c r="D94" i="1"/>
  <c r="C94" i="1"/>
  <c r="B94" i="1"/>
  <c r="C93" i="1"/>
  <c r="D93" i="1"/>
  <c r="B93" i="1"/>
  <c r="C45" i="1"/>
  <c r="B45" i="1"/>
  <c r="C119" i="1"/>
  <c r="B119" i="1"/>
  <c r="C117" i="1"/>
  <c r="D117" i="1"/>
  <c r="C118" i="1"/>
  <c r="D118" i="1"/>
  <c r="B118" i="1"/>
  <c r="B117" i="1"/>
  <c r="C116" i="1"/>
  <c r="D116" i="1"/>
  <c r="B116" i="1"/>
  <c r="C115" i="1"/>
  <c r="D115" i="1"/>
  <c r="B115" i="1"/>
  <c r="C114" i="1"/>
  <c r="D114" i="1"/>
  <c r="B114" i="1"/>
  <c r="C113" i="1"/>
  <c r="D113" i="1"/>
  <c r="B113" i="1"/>
  <c r="C112" i="1"/>
  <c r="D112" i="1"/>
  <c r="B112" i="1"/>
  <c r="C109" i="1"/>
  <c r="D109" i="1"/>
  <c r="B109" i="1"/>
  <c r="C108" i="1"/>
  <c r="D108" i="1"/>
  <c r="B108" i="1"/>
  <c r="C106" i="1"/>
  <c r="D106" i="1"/>
  <c r="B106" i="1"/>
  <c r="C105" i="1"/>
  <c r="D105" i="1"/>
  <c r="B105" i="1"/>
  <c r="C103" i="1"/>
  <c r="D103" i="1"/>
  <c r="B103" i="1"/>
  <c r="C102" i="1"/>
  <c r="B102" i="1"/>
  <c r="C101" i="1"/>
  <c r="D101" i="1"/>
  <c r="B101" i="1"/>
  <c r="C96" i="1"/>
  <c r="D96" i="1"/>
  <c r="B96" i="1"/>
  <c r="C89" i="1"/>
  <c r="D89" i="1"/>
  <c r="B89" i="1"/>
  <c r="C87" i="1"/>
  <c r="D87" i="1"/>
  <c r="B87" i="1"/>
  <c r="C85" i="1"/>
  <c r="D85" i="1"/>
  <c r="B85" i="1"/>
  <c r="C83" i="1"/>
  <c r="D83" i="1"/>
  <c r="B83" i="1"/>
  <c r="C77" i="1"/>
  <c r="D77" i="1"/>
  <c r="B77" i="1"/>
  <c r="C76" i="1"/>
  <c r="D76" i="1"/>
  <c r="B76" i="1"/>
  <c r="C72" i="1"/>
  <c r="D72" i="1"/>
  <c r="B72" i="1"/>
  <c r="D70" i="1"/>
  <c r="C70" i="1"/>
  <c r="B70" i="1"/>
  <c r="C66" i="1"/>
  <c r="C67" i="1"/>
  <c r="D67" i="1"/>
  <c r="B67" i="1"/>
  <c r="B66" i="1"/>
  <c r="C65" i="1"/>
  <c r="D65" i="1"/>
  <c r="B65" i="1"/>
  <c r="C63" i="1"/>
  <c r="D63" i="1"/>
  <c r="B63" i="1"/>
  <c r="C62" i="1"/>
  <c r="D62" i="1"/>
  <c r="B62" i="1"/>
  <c r="C60" i="1"/>
  <c r="D60" i="1"/>
  <c r="B60" i="1"/>
  <c r="C58" i="1"/>
  <c r="D58" i="1"/>
  <c r="B58" i="1"/>
  <c r="C56" i="1"/>
  <c r="D56" i="1"/>
  <c r="B56" i="1"/>
  <c r="C51" i="1"/>
  <c r="D51" i="1"/>
  <c r="B51" i="1"/>
  <c r="C50" i="1"/>
  <c r="D50" i="1"/>
  <c r="B50" i="1"/>
  <c r="C49" i="1"/>
  <c r="D49" i="1"/>
  <c r="B49" i="1"/>
  <c r="D48" i="1"/>
  <c r="B48" i="1"/>
  <c r="C47" i="1"/>
  <c r="D47" i="1"/>
  <c r="B47" i="1"/>
  <c r="C46" i="1"/>
  <c r="D46" i="1"/>
  <c r="B46" i="1"/>
  <c r="C44" i="1"/>
  <c r="D44" i="1"/>
  <c r="B44" i="1"/>
  <c r="C43" i="1"/>
  <c r="D43" i="1"/>
  <c r="B43" i="1"/>
  <c r="C42" i="1"/>
  <c r="D42" i="1"/>
  <c r="B42" i="1"/>
  <c r="C41" i="1"/>
  <c r="D41" i="1"/>
  <c r="B41" i="1"/>
  <c r="C38" i="1"/>
  <c r="D38" i="1"/>
  <c r="B38" i="1"/>
  <c r="C27" i="1"/>
  <c r="D27" i="1"/>
  <c r="C28" i="1"/>
  <c r="D28" i="1"/>
  <c r="B28" i="1"/>
  <c r="B27" i="1"/>
  <c r="C30" i="1"/>
  <c r="D30" i="1"/>
  <c r="C31" i="1"/>
  <c r="D31" i="1"/>
  <c r="B31" i="1"/>
  <c r="B30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32" i="1"/>
  <c r="D32" i="1"/>
  <c r="B32" i="1"/>
  <c r="C26" i="1"/>
  <c r="D26" i="1"/>
  <c r="B26" i="1"/>
  <c r="C25" i="1"/>
  <c r="D25" i="1"/>
  <c r="B25" i="1"/>
  <c r="C24" i="1"/>
  <c r="D24" i="1"/>
  <c r="B24" i="1"/>
  <c r="C23" i="1"/>
  <c r="D23" i="1"/>
  <c r="B23" i="1"/>
  <c r="C22" i="1"/>
  <c r="D22" i="1"/>
  <c r="B22" i="1"/>
  <c r="C21" i="1"/>
  <c r="D21" i="1"/>
  <c r="B21" i="1"/>
  <c r="D124" i="1"/>
  <c r="C124" i="1"/>
  <c r="B124" i="1"/>
  <c r="C128" i="1"/>
  <c r="D128" i="1"/>
  <c r="B128" i="1"/>
  <c r="C129" i="1"/>
  <c r="D129" i="1"/>
  <c r="B129" i="1"/>
  <c r="C131" i="1"/>
  <c r="D131" i="1"/>
  <c r="C132" i="1"/>
  <c r="D132" i="1"/>
  <c r="B132" i="1"/>
  <c r="B131" i="1"/>
  <c r="C133" i="1"/>
  <c r="D133" i="1"/>
  <c r="B133" i="1"/>
  <c r="C139" i="1"/>
  <c r="D139" i="1"/>
  <c r="B139" i="1"/>
  <c r="C143" i="1"/>
  <c r="D143" i="1"/>
  <c r="B143" i="1"/>
  <c r="C142" i="1"/>
  <c r="D142" i="1"/>
  <c r="B142" i="1"/>
  <c r="C141" i="1"/>
  <c r="D141" i="1"/>
  <c r="B141" i="1"/>
  <c r="C140" i="1"/>
  <c r="D140" i="1"/>
  <c r="B140" i="1"/>
  <c r="C144" i="1"/>
  <c r="D144" i="1"/>
  <c r="B144" i="1"/>
  <c r="C145" i="1"/>
  <c r="D145" i="1"/>
  <c r="B145" i="1"/>
  <c r="C146" i="1"/>
  <c r="D146" i="1"/>
  <c r="B146" i="1"/>
  <c r="C147" i="1"/>
  <c r="D147" i="1"/>
  <c r="B147" i="1"/>
  <c r="C148" i="1"/>
  <c r="D148" i="1"/>
  <c r="B148" i="1"/>
  <c r="C156" i="1"/>
  <c r="D156" i="1"/>
  <c r="B156" i="1"/>
  <c r="C161" i="1"/>
  <c r="D161" i="1"/>
  <c r="B161" i="1"/>
  <c r="C162" i="1"/>
  <c r="B162" i="1"/>
  <c r="C169" i="1"/>
  <c r="D169" i="1"/>
  <c r="B169" i="1"/>
  <c r="C170" i="1"/>
  <c r="D170" i="1"/>
  <c r="B170" i="1"/>
  <c r="C171" i="1"/>
  <c r="D171" i="1"/>
  <c r="B171" i="1"/>
  <c r="C173" i="1"/>
  <c r="D173" i="1"/>
  <c r="B173" i="1"/>
  <c r="C172" i="1"/>
  <c r="D172" i="1"/>
  <c r="B172" i="1"/>
  <c r="C175" i="1"/>
  <c r="D175" i="1"/>
  <c r="B175" i="1"/>
  <c r="C178" i="1"/>
  <c r="D178" i="1"/>
  <c r="B178" i="1"/>
  <c r="C191" i="1"/>
  <c r="D191" i="1"/>
  <c r="B191" i="1"/>
  <c r="C192" i="1"/>
  <c r="D192" i="1"/>
  <c r="B192" i="1"/>
  <c r="C193" i="1"/>
  <c r="D193" i="1"/>
  <c r="B193" i="1"/>
  <c r="C194" i="1"/>
  <c r="D194" i="1"/>
  <c r="B194" i="1"/>
  <c r="C195" i="1"/>
  <c r="D195" i="1"/>
  <c r="B195" i="1"/>
  <c r="C199" i="1"/>
  <c r="D199" i="1"/>
  <c r="B199" i="1"/>
  <c r="C202" i="1"/>
  <c r="D202" i="1"/>
  <c r="B202" i="1"/>
  <c r="C203" i="1"/>
  <c r="D203" i="1"/>
  <c r="B203" i="1"/>
  <c r="C204" i="1"/>
  <c r="D204" i="1"/>
  <c r="B204" i="1"/>
  <c r="C205" i="1"/>
  <c r="D205" i="1"/>
  <c r="B205" i="1"/>
  <c r="C198" i="1"/>
  <c r="B198" i="1"/>
  <c r="C190" i="1"/>
  <c r="B190" i="1"/>
  <c r="C187" i="1"/>
  <c r="B187" i="1"/>
  <c r="C182" i="1"/>
  <c r="B182" i="1"/>
  <c r="C168" i="1"/>
  <c r="B168" i="1"/>
  <c r="C165" i="1"/>
  <c r="B165" i="1"/>
  <c r="C138" i="1"/>
  <c r="B138" i="1"/>
  <c r="C127" i="1"/>
  <c r="B127" i="1"/>
  <c r="C122" i="1"/>
  <c r="B122" i="1"/>
  <c r="C100" i="1"/>
  <c r="B100" i="1"/>
  <c r="C82" i="1"/>
  <c r="B82" i="1"/>
  <c r="C55" i="1"/>
  <c r="B55" i="1"/>
  <c r="C20" i="1"/>
  <c r="B20" i="1"/>
  <c r="D198" i="1"/>
  <c r="D190" i="1"/>
  <c r="D187" i="1"/>
  <c r="D182" i="1"/>
  <c r="D168" i="1"/>
  <c r="D165" i="1"/>
  <c r="D138" i="1"/>
  <c r="D127" i="1"/>
  <c r="D122" i="1"/>
  <c r="D100" i="1"/>
  <c r="D82" i="1"/>
  <c r="D55" i="1"/>
  <c r="D20" i="1"/>
</calcChain>
</file>

<file path=xl/sharedStrings.xml><?xml version="1.0" encoding="utf-8"?>
<sst xmlns="http://schemas.openxmlformats.org/spreadsheetml/2006/main" count="624" uniqueCount="477">
  <si>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</si>
  <si>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</si>
  <si>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</si>
  <si>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</si>
  <si>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</si>
  <si>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</si>
  <si>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</si>
  <si>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</si>
  <si>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</si>
  <si>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</si>
  <si>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</si>
  <si>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</si>
  <si>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</si>
  <si>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</si>
  <si>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</si>
  <si>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</si>
  <si>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</si>
  <si>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</si>
  <si>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</si>
  <si>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</si>
  <si>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</si>
  <si>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</si>
  <si>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</si>
  <si>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</si>
  <si>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</si>
  <si>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</si>
  <si>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</si>
  <si>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</si>
  <si>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</si>
  <si>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</si>
  <si>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</si>
  <si>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</si>
  <si>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</si>
  <si>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</si>
  <si>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</si>
  <si>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</si>
  <si>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</si>
  <si>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</si>
  <si>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</si>
  <si>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</si>
  <si>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</si>
  <si>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</si>
  <si>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</si>
  <si>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</si>
  <si>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</si>
  <si>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</si>
  <si>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</si>
  <si>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</si>
  <si>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</si>
  <si>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</si>
  <si>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</si>
  <si>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</si>
  <si>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</si>
  <si>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</si>
  <si>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</si>
  <si>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</si>
  <si>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</si>
  <si>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</si>
  <si>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</si>
  <si>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</si>
  <si>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</si>
  <si>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</si>
  <si>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</si>
  <si>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</si>
  <si>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</si>
  <si>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</si>
  <si>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</si>
  <si>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</si>
  <si>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</si>
  <si>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</si>
  <si>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</si>
  <si>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</si>
  <si>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</si>
  <si>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</si>
  <si>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</si>
  <si>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</si>
  <si>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</si>
  <si>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</si>
  <si>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</si>
  <si>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</si>
  <si>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</si>
  <si>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</si>
  <si>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</si>
  <si>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</si>
  <si>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</si>
  <si>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</si>
  <si>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</si>
  <si>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</si>
  <si>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</si>
  <si>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</si>
  <si>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</si>
  <si>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</si>
  <si>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</si>
  <si>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</si>
  <si>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</si>
  <si>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</si>
  <si>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</si>
  <si>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</si>
  <si>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</si>
  <si>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</si>
  <si>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</si>
  <si>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</si>
  <si>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</si>
  <si>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</si>
  <si>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</si>
  <si>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</si>
  <si>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</si>
  <si>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</si>
  <si>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</si>
  <si>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</si>
  <si>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</si>
  <si>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</si>
  <si>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</si>
  <si>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</si>
  <si>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</si>
  <si>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</si>
  <si>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</si>
  <si>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</si>
  <si>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</si>
  <si>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</si>
  <si>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</si>
  <si>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</si>
  <si>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</si>
  <si>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</si>
  <si>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</si>
  <si>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</si>
  <si>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</si>
  <si>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</si>
  <si>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</si>
  <si>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</si>
  <si>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</si>
  <si>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</si>
  <si>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</si>
  <si>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</si>
  <si>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</si>
  <si>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</si>
  <si>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</si>
  <si>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</si>
  <si>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</si>
  <si>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</si>
  <si>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</si>
  <si>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</si>
  <si>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</si>
  <si>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</si>
  <si>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</si>
  <si>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</si>
  <si>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</si>
  <si>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</si>
  <si>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</si>
  <si>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</si>
  <si>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</si>
  <si>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</si>
  <si>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</si>
  <si>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</si>
  <si>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</si>
  <si>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</si>
  <si>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</si>
  <si>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</si>
  <si>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</si>
  <si>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</si>
  <si>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</si>
  <si>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</si>
  <si>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</si>
  <si>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</si>
  <si>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</si>
  <si>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</si>
  <si>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</si>
  <si>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</si>
  <si>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</si>
  <si>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</si>
  <si>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</si>
  <si>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</si>
  <si>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</si>
  <si>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</si>
  <si>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</si>
  <si>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</si>
  <si>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</si>
  <si>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</si>
  <si>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</si>
  <si>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</si>
  <si>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</si>
  <si>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</si>
  <si>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</si>
  <si>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</si>
  <si>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</si>
  <si>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</si>
  <si>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</si>
  <si>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</si>
  <si>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</si>
  <si>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</si>
  <si>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</si>
  <si>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</si>
  <si>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</si>
  <si>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</si>
  <si>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</si>
  <si>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</si>
  <si>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</si>
  <si>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</si>
  <si>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</si>
  <si>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</si>
  <si>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</si>
  <si>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</si>
  <si>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</si>
  <si>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</si>
  <si>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</si>
  <si>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</si>
  <si>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</si>
  <si>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</si>
  <si>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</si>
  <si>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</si>
  <si>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</si>
  <si>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</si>
  <si>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</si>
  <si>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</si>
  <si>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</si>
  <si>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</si>
  <si>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</si>
  <si>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</si>
  <si>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</si>
  <si>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</si>
  <si>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</si>
  <si>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</si>
  <si>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</si>
  <si>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</si>
  <si>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</si>
  <si>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</si>
  <si>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</si>
  <si>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</si>
  <si>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</si>
  <si>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</si>
  <si>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</si>
  <si>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</si>
  <si>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</si>
  <si>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</si>
  <si>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</si>
  <si>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</si>
  <si>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</si>
  <si>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</si>
  <si>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</si>
  <si>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</si>
  <si>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</si>
  <si>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</si>
  <si>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</si>
  <si>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</si>
  <si>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</si>
  <si>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</si>
  <si>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</si>
  <si>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</si>
  <si>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</si>
  <si>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</si>
  <si>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</si>
  <si>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</si>
  <si>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</si>
  <si>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</si>
  <si>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</si>
  <si>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</si>
  <si>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</si>
  <si>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</si>
  <si>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</si>
  <si>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</si>
  <si>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</si>
  <si>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</si>
  <si>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</si>
  <si>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</si>
  <si>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</si>
  <si>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</si>
  <si>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</si>
  <si>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</si>
  <si>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</si>
  <si>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</si>
  <si>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</si>
  <si>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</si>
  <si>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</si>
  <si>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</si>
  <si>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</si>
  <si>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</si>
  <si>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</si>
  <si>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</si>
  <si>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</si>
  <si>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</si>
  <si>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</si>
  <si>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</si>
  <si>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</si>
  <si>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</si>
  <si>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</si>
  <si>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</si>
  <si>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</si>
  <si>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</si>
  <si>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</si>
  <si>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</si>
  <si>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</si>
  <si>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</si>
  <si>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</si>
  <si>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</si>
  <si>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</si>
  <si>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</si>
  <si>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</si>
  <si>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</si>
  <si>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</si>
  <si>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</si>
  <si>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</si>
  <si>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</si>
  <si>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</si>
  <si>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</si>
  <si>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</si>
  <si>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</si>
  <si>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</si>
  <si>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</si>
  <si>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у т.ч. за рахунок субвенцій з держбюджету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</si>
  <si>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</si>
  <si>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</si>
  <si>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</si>
  <si>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</si>
  <si>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</si>
  <si>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</si>
  <si>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</si>
  <si>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</si>
  <si>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</si>
  <si>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</si>
  <si>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</si>
  <si>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</si>
  <si>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</si>
  <si>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</si>
  <si>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</si>
  <si>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</si>
  <si>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</si>
  <si>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</si>
  <si>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</si>
  <si>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</si>
  <si>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</si>
  <si>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</si>
  <si>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</si>
  <si>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</si>
  <si>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</si>
  <si>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</si>
  <si>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</si>
  <si>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</si>
  <si>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</si>
  <si>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</si>
  <si>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</si>
  <si>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</si>
  <si>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</si>
  <si>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</si>
  <si>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</si>
  <si>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</si>
  <si>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</si>
  <si>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</si>
  <si>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</si>
  <si>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</si>
  <si>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</si>
  <si>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</si>
  <si>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</si>
  <si>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</si>
  <si>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</si>
  <si>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</si>
  <si>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</si>
  <si>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</si>
  <si>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</si>
  <si>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</si>
  <si>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</si>
  <si>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</si>
  <si>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</si>
  <si>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</si>
  <si>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</si>
  <si>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</si>
  <si>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</si>
  <si>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</si>
  <si>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</si>
  <si>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</si>
  <si>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</si>
  <si>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</si>
  <si>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</si>
  <si>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</si>
  <si>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</si>
  <si>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</si>
  <si>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</si>
  <si>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</si>
  <si>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</si>
  <si>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</si>
  <si>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</si>
  <si>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</si>
  <si>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</si>
  <si>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</si>
  <si>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</si>
  <si>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</si>
  <si>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</si>
  <si>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</si>
  <si>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</si>
  <si>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</si>
  <si>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</si>
  <si>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</si>
  <si>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</si>
  <si>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</si>
  <si>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</si>
  <si>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</si>
  <si>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</si>
  <si>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</si>
  <si>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</si>
  <si>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</si>
  <si>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</si>
  <si>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</si>
  <si>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</si>
  <si>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</si>
  <si>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</si>
  <si>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</si>
  <si>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</si>
  <si>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</si>
  <si>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</si>
  <si>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</si>
  <si>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</si>
  <si>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</si>
  <si>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</si>
  <si>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</si>
  <si>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</si>
  <si>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</si>
  <si>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</si>
  <si>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</si>
  <si>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</si>
  <si>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 xml:space="preserve">РОЗПОДІЛ
видатків бюджету Сумської міської об'єднаної територіальної громади на 2020 рік за головними розпорядниками бюджетних коштів 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</si>
  <si>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</si>
  <si>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</si>
  <si>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</si>
  <si>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</si>
  <si>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</si>
  <si>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</si>
  <si>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</si>
  <si>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</si>
  <si>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</si>
  <si>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</si>
  <si>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</si>
  <si>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</si>
  <si>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</si>
  <si>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</si>
  <si>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</si>
  <si>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</si>
  <si>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</si>
  <si>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РОЗПОДІЛ
видатків бюджету Сумської міської об'єднаної територіальної громади на 2020 рік за програмною класифікацією видатків та кредитування місцевого бюджету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</si>
  <si>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</si>
  <si>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</si>
  <si>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</si>
  <si>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</si>
  <si>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</si>
  <si>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</si>
  <si>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</si>
  <si>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</si>
  <si>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 xml:space="preserve"> код бюджету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</si>
  <si>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</si>
  <si>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</si>
  <si>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</si>
  <si>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</si>
  <si>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 xml:space="preserve">                   Додаток № 3</t>
  </si>
  <si>
    <t>Утримання та розвиток автомобільних доріг та дорожньої інфраструктури за рахунок субвенції з державного бюджету</t>
  </si>
  <si>
    <t>1217462</t>
  </si>
  <si>
    <t>до    рішення    Сумської    міської     ради</t>
  </si>
  <si>
    <t xml:space="preserve">«Про     внесення      змін      до     рішення </t>
  </si>
  <si>
    <t xml:space="preserve">Сумської               міської                    ради  </t>
  </si>
  <si>
    <t xml:space="preserve">від  24   грудня  2019   року  №  6248 - МР           </t>
  </si>
  <si>
    <t>Сумський міський голова</t>
  </si>
  <si>
    <t>О.М. Лисенко</t>
  </si>
  <si>
    <t>Виконавець: Липова С.А.</t>
  </si>
  <si>
    <t xml:space="preserve"> __________________</t>
  </si>
  <si>
    <t>(зі змінами)»</t>
  </si>
  <si>
    <t xml:space="preserve">«Про бюджет Сумської міської об'єднаної 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</si>
  <si>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</si>
  <si>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</si>
  <si>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</si>
  <si>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</si>
  <si>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</si>
  <si>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 xml:space="preserve">                        Додаток № 3</t>
  </si>
  <si>
    <t>1218110</t>
  </si>
  <si>
    <t xml:space="preserve">територіальної   громади    на   2020   рік»  </t>
  </si>
  <si>
    <t>0617321</t>
  </si>
  <si>
    <t xml:space="preserve">                        Додаток № 4</t>
  </si>
  <si>
    <t>від  13  травня  2020  року   № 6729 -  МР</t>
  </si>
  <si>
    <t>від  13  травня   2020   року   № 6729 -  МР</t>
  </si>
  <si>
    <t xml:space="preserve">територіальної   громади    на    2020   рік» </t>
  </si>
  <si>
    <t xml:space="preserve">    код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</si>
</sst>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48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5" fillId="24" borderId="0" applyNumberFormat="0" applyBorder="0" applyAlignment="0" applyProtection="0"/>
    <xf numFmtId="0" fontId="35" fillId="30" borderId="0" applyNumberFormat="0" applyBorder="0" applyAlignment="0" applyProtection="0"/>
    <xf numFmtId="0" fontId="36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31" borderId="0" applyNumberFormat="0" applyBorder="0" applyAlignment="0" applyProtection="0"/>
    <xf numFmtId="0" fontId="36" fillId="37" borderId="0" applyNumberFormat="0" applyBorder="0" applyAlignment="0" applyProtection="0"/>
    <xf numFmtId="0" fontId="35" fillId="26" borderId="0" applyNumberFormat="0" applyBorder="0" applyAlignment="0" applyProtection="0"/>
    <xf numFmtId="0" fontId="35" fillId="32" borderId="0" applyNumberFormat="0" applyBorder="0" applyAlignment="0" applyProtection="0"/>
    <xf numFmtId="0" fontId="36" fillId="38" borderId="0" applyNumberFormat="0" applyBorder="0" applyAlignment="0" applyProtection="0"/>
    <xf numFmtId="0" fontId="35" fillId="27" borderId="0" applyNumberFormat="0" applyBorder="0" applyAlignment="0" applyProtection="0"/>
    <xf numFmtId="0" fontId="35" fillId="33" borderId="0" applyNumberFormat="0" applyBorder="0" applyAlignment="0" applyProtection="0"/>
    <xf numFmtId="0" fontId="36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34" borderId="0" applyNumberFormat="0" applyBorder="0" applyAlignment="0" applyProtection="0"/>
    <xf numFmtId="0" fontId="36" fillId="40" borderId="0" applyNumberFormat="0" applyBorder="0" applyAlignment="0" applyProtection="0"/>
    <xf numFmtId="0" fontId="35" fillId="29" borderId="0" applyNumberFormat="0" applyBorder="0" applyAlignment="0" applyProtection="0"/>
    <xf numFmtId="0" fontId="35" fillId="35" borderId="0" applyNumberFormat="0" applyBorder="0" applyAlignment="0" applyProtection="0"/>
    <xf numFmtId="0" fontId="36" fillId="41" borderId="0" applyNumberFormat="0" applyBorder="0" applyAlignment="0" applyProtection="0"/>
  </cellStyleXfs>
  <cellXfs count="163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8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/>
    <xf numFmtId="3" fontId="39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>
      <alignment horizontal="right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right" wrapText="1"/>
    </xf>
    <xf numFmtId="4" fontId="23" fillId="0" borderId="7" xfId="0" applyNumberFormat="1" applyFont="1" applyFill="1" applyBorder="1" applyAlignment="1">
      <alignment horizontal="right" wrapText="1"/>
    </xf>
    <xf numFmtId="4" fontId="23" fillId="0" borderId="7" xfId="29" applyNumberFormat="1" applyFont="1" applyFill="1" applyBorder="1" applyAlignment="1">
      <alignment horizontal="right" wrapText="1"/>
    </xf>
    <xf numFmtId="4" fontId="37" fillId="0" borderId="7" xfId="0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6" fillId="0" borderId="9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 applyProtection="1">
      <alignment horizont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3" fontId="40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 horizontal="center" vertical="center" textRotation="180"/>
    </xf>
    <xf numFmtId="49" fontId="33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49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/>
    <xf numFmtId="1" fontId="21" fillId="0" borderId="0" xfId="0" applyNumberFormat="1" applyFont="1" applyFill="1" applyBorder="1" applyAlignment="1">
      <alignment vertical="center" textRotation="180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34" fillId="0" borderId="0" xfId="0" applyNumberFormat="1" applyFont="1" applyFill="1" applyBorder="1" applyAlignment="1" applyProtection="1">
      <alignment horizontal="left" wrapText="1"/>
    </xf>
    <xf numFmtId="3" fontId="34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Alignment="1">
      <alignment horizontal="left" vertical="center" textRotation="180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vertical="center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34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4" fontId="23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 applyProtection="1"/>
    <xf numFmtId="3" fontId="40" fillId="0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/>
    <xf numFmtId="4" fontId="46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/>
    </xf>
    <xf numFmtId="0" fontId="47" fillId="0" borderId="0" xfId="0" applyFont="1" applyFill="1" applyAlignment="1">
      <alignment vertical="center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49" fontId="44" fillId="0" borderId="0" xfId="0" applyNumberFormat="1" applyFont="1" applyFill="1" applyAlignment="1" applyProtection="1">
      <alignment vertical="center"/>
    </xf>
    <xf numFmtId="0" fontId="45" fillId="0" borderId="0" xfId="0" applyNumberFormat="1" applyFont="1" applyFill="1" applyAlignment="1" applyProtection="1">
      <alignment vertical="top"/>
    </xf>
    <xf numFmtId="0" fontId="47" fillId="0" borderId="0" xfId="0" applyNumberFormat="1" applyFont="1" applyFill="1" applyAlignment="1" applyProtection="1"/>
    <xf numFmtId="3" fontId="47" fillId="0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/>
    <xf numFmtId="3" fontId="47" fillId="0" borderId="0" xfId="0" applyNumberFormat="1" applyFont="1" applyFill="1" applyBorder="1" applyAlignment="1" applyProtection="1">
      <alignment horizontal="left"/>
    </xf>
    <xf numFmtId="3" fontId="47" fillId="0" borderId="0" xfId="0" applyNumberFormat="1" applyFont="1" applyFill="1" applyBorder="1" applyAlignment="1" applyProtection="1">
      <alignment horizontal="left" wrapText="1"/>
    </xf>
    <xf numFmtId="3" fontId="47" fillId="0" borderId="0" xfId="0" applyNumberFormat="1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1" fontId="23" fillId="0" borderId="7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 vertical="center"/>
    </xf>
    <xf numFmtId="0" fontId="45" fillId="0" borderId="0" xfId="0" applyNumberFormat="1" applyFont="1" applyFill="1" applyAlignment="1" applyProtection="1">
      <alignment horizontal="center" vertical="top"/>
    </xf>
    <xf numFmtId="3" fontId="40" fillId="0" borderId="0" xfId="0" applyNumberFormat="1" applyFont="1" applyFill="1" applyBorder="1" applyAlignment="1">
      <alignment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I706"/>
  <sheetViews>
    <sheetView showGridLines="0" showZeros="0" tabSelected="1" view="pageBreakPreview" zoomScale="76" zoomScaleNormal="71" zoomScaleSheetLayoutView="76" workbookViewId="0">
      <selection activeCell="D4" sqref="D4"/>
    </sheetView>
  </sheetViews>
  <sheetFormatPr defaultColWidth="9.1640625" defaultRowHeight="15" x14ac:dyDescent="0.25"/>
  <cols>
    <col min="1" max="1" width="16.6640625" style="92" customWidth="1"/>
    <col min="2" max="2" width="17.5" style="18" customWidth="1"/>
    <col min="3" max="3" width="18" style="18" customWidth="1"/>
    <col min="4" max="4" width="62" style="29" customWidth="1"/>
    <col min="5" max="5" width="21.33203125" style="59" customWidth="1"/>
    <col min="6" max="6" width="20.83203125" style="59" customWidth="1"/>
    <col min="7" max="7" width="21" style="59" customWidth="1"/>
    <col min="8" max="8" width="18.33203125" style="59" customWidth="1"/>
    <col min="9" max="9" width="18" style="59" customWidth="1"/>
    <col min="10" max="10" width="20.6640625" style="59" customWidth="1"/>
    <col min="11" max="11" width="20" style="59" customWidth="1"/>
    <col min="12" max="12" width="20.1640625" style="59" customWidth="1"/>
    <col min="13" max="13" width="18.33203125" style="59" customWidth="1"/>
    <col min="14" max="14" width="19.83203125" style="59" customWidth="1"/>
    <col min="15" max="15" width="18.83203125" style="59" customWidth="1"/>
    <col min="16" max="16" width="21.5" style="81" customWidth="1"/>
    <col min="17" max="529" width="9.1640625" style="34"/>
    <col min="530" max="16384" width="9.1640625" style="20"/>
  </cols>
  <sheetData>
    <row r="1" spans="1:529" ht="26.25" customHeight="1" x14ac:dyDescent="0.25">
      <c r="K1" s="132" t="s">
        <v>450</v>
      </c>
      <c r="L1" s="151" t="s">
        <v>468</v>
      </c>
      <c r="M1" s="151"/>
      <c r="N1" s="151"/>
      <c r="O1" s="151"/>
      <c r="P1" s="123"/>
    </row>
    <row r="2" spans="1:529" ht="26.25" customHeight="1" x14ac:dyDescent="0.25">
      <c r="K2" s="132"/>
      <c r="L2" s="123" t="s">
        <v>453</v>
      </c>
      <c r="M2" s="123"/>
      <c r="N2" s="123"/>
      <c r="O2" s="123"/>
      <c r="P2" s="94"/>
    </row>
    <row r="3" spans="1:529" ht="26.25" customHeight="1" x14ac:dyDescent="0.25">
      <c r="K3" s="132"/>
      <c r="L3" s="153" t="s">
        <v>454</v>
      </c>
      <c r="M3" s="153"/>
      <c r="N3" s="153"/>
      <c r="O3" s="153"/>
      <c r="P3" s="153"/>
    </row>
    <row r="4" spans="1:529" ht="26.25" customHeight="1" x14ac:dyDescent="0.25">
      <c r="K4" s="132"/>
      <c r="L4" s="152" t="s">
        <v>455</v>
      </c>
      <c r="M4" s="152"/>
      <c r="N4" s="152"/>
      <c r="O4" s="152"/>
      <c r="P4" s="152"/>
    </row>
    <row r="5" spans="1:529" ht="26.25" customHeight="1" x14ac:dyDescent="0.25">
      <c r="K5" s="132"/>
      <c r="L5" s="123" t="s">
        <v>456</v>
      </c>
      <c r="M5" s="123"/>
      <c r="N5" s="123"/>
      <c r="O5" s="123"/>
      <c r="P5" s="123"/>
    </row>
    <row r="6" spans="1:529" ht="23.25" customHeight="1" x14ac:dyDescent="0.25">
      <c r="K6" s="135"/>
      <c r="L6" s="123" t="s">
        <v>462</v>
      </c>
      <c r="M6" s="123"/>
      <c r="N6" s="123"/>
      <c r="O6" s="123"/>
      <c r="P6" s="123"/>
    </row>
    <row r="7" spans="1:529" ht="26.25" customHeight="1" x14ac:dyDescent="0.25">
      <c r="K7" s="115"/>
      <c r="L7" s="123" t="s">
        <v>475</v>
      </c>
      <c r="M7" s="123"/>
      <c r="N7" s="123"/>
      <c r="O7" s="123"/>
      <c r="P7" s="123"/>
      <c r="Q7" s="115"/>
    </row>
    <row r="8" spans="1:529" ht="26.25" customHeight="1" x14ac:dyDescent="0.25">
      <c r="K8" s="149"/>
      <c r="L8" s="149" t="s">
        <v>461</v>
      </c>
      <c r="M8" s="149"/>
      <c r="N8" s="149"/>
      <c r="O8" s="149"/>
      <c r="P8" s="149"/>
      <c r="Q8" s="149"/>
    </row>
    <row r="9" spans="1:529" ht="26.25" x14ac:dyDescent="0.4">
      <c r="L9" s="113" t="s">
        <v>474</v>
      </c>
      <c r="M9" s="113"/>
      <c r="N9" s="113"/>
      <c r="O9" s="113"/>
      <c r="P9" s="113"/>
    </row>
    <row r="10" spans="1:529" ht="26.25" x14ac:dyDescent="0.4">
      <c r="L10" s="113"/>
      <c r="M10" s="113"/>
      <c r="N10" s="113"/>
      <c r="O10" s="113"/>
      <c r="P10" s="113"/>
    </row>
    <row r="11" spans="1:529" s="56" customFormat="1" ht="59.25" customHeight="1" x14ac:dyDescent="0.3">
      <c r="A11" s="156" t="s">
        <v>418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</row>
    <row r="12" spans="1:529" s="56" customFormat="1" ht="42" customHeight="1" x14ac:dyDescent="0.3">
      <c r="A12" s="136" t="s">
        <v>424</v>
      </c>
      <c r="B12" s="136"/>
      <c r="C12" s="120"/>
      <c r="D12" s="120"/>
      <c r="E12" s="120"/>
      <c r="F12" s="120"/>
      <c r="G12" s="120"/>
      <c r="H12" s="120"/>
      <c r="I12" s="120"/>
      <c r="J12" s="120"/>
      <c r="K12" s="97"/>
      <c r="L12" s="97"/>
      <c r="M12" s="97"/>
      <c r="N12" s="97"/>
      <c r="O12" s="97"/>
      <c r="P12" s="97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</row>
    <row r="13" spans="1:529" s="56" customFormat="1" ht="31.5" customHeight="1" x14ac:dyDescent="0.3">
      <c r="A13" s="137" t="s">
        <v>476</v>
      </c>
      <c r="B13" s="137"/>
      <c r="C13" s="120"/>
      <c r="D13" s="120"/>
      <c r="E13" s="120"/>
      <c r="F13" s="120"/>
      <c r="G13" s="120"/>
      <c r="H13" s="120"/>
      <c r="I13" s="120"/>
      <c r="J13" s="120"/>
      <c r="K13" s="97"/>
      <c r="L13" s="97"/>
      <c r="M13" s="97"/>
      <c r="N13" s="97"/>
      <c r="O13" s="97"/>
      <c r="P13" s="97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</row>
    <row r="14" spans="1:529" s="58" customFormat="1" ht="14.25" customHeight="1" x14ac:dyDescent="0.3">
      <c r="A14" s="86"/>
      <c r="B14" s="63"/>
      <c r="C14" s="63"/>
      <c r="D14" s="19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122" t="s">
        <v>420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7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7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7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7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7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7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7"/>
      <c r="OO14" s="57"/>
      <c r="OP14" s="57"/>
      <c r="OQ14" s="57"/>
      <c r="OR14" s="57"/>
      <c r="OS14" s="57"/>
      <c r="OT14" s="57"/>
      <c r="OU14" s="57"/>
      <c r="OV14" s="57"/>
      <c r="OW14" s="57"/>
      <c r="OX14" s="57"/>
      <c r="OY14" s="57"/>
      <c r="OZ14" s="57"/>
      <c r="PA14" s="57"/>
      <c r="PB14" s="57"/>
      <c r="PC14" s="57"/>
      <c r="PD14" s="57"/>
      <c r="PE14" s="57"/>
      <c r="PF14" s="57"/>
      <c r="PG14" s="57"/>
      <c r="PH14" s="57"/>
      <c r="PI14" s="57"/>
      <c r="PJ14" s="57"/>
      <c r="PK14" s="57"/>
      <c r="PL14" s="57"/>
      <c r="PM14" s="57"/>
      <c r="PN14" s="57"/>
      <c r="PO14" s="57"/>
      <c r="PP14" s="57"/>
      <c r="PQ14" s="57"/>
      <c r="PR14" s="57"/>
      <c r="PS14" s="57"/>
      <c r="PT14" s="57"/>
      <c r="PU14" s="57"/>
      <c r="PV14" s="57"/>
      <c r="PW14" s="57"/>
      <c r="PX14" s="57"/>
      <c r="PY14" s="57"/>
      <c r="PZ14" s="57"/>
      <c r="QA14" s="57"/>
      <c r="QB14" s="57"/>
      <c r="QC14" s="57"/>
      <c r="QD14" s="57"/>
      <c r="QE14" s="57"/>
      <c r="QF14" s="57"/>
      <c r="QG14" s="57"/>
      <c r="QH14" s="57"/>
      <c r="QI14" s="57"/>
      <c r="QJ14" s="57"/>
      <c r="QK14" s="57"/>
      <c r="QL14" s="57"/>
      <c r="QM14" s="57"/>
      <c r="QN14" s="57"/>
      <c r="QO14" s="57"/>
      <c r="QP14" s="57"/>
      <c r="QQ14" s="57"/>
      <c r="QR14" s="57"/>
      <c r="QS14" s="57"/>
      <c r="QT14" s="57"/>
      <c r="QU14" s="57"/>
      <c r="QV14" s="57"/>
      <c r="QW14" s="57"/>
      <c r="QX14" s="57"/>
      <c r="QY14" s="57"/>
      <c r="QZ14" s="57"/>
      <c r="RA14" s="57"/>
      <c r="RB14" s="57"/>
      <c r="RC14" s="57"/>
      <c r="RD14" s="57"/>
      <c r="RE14" s="57"/>
      <c r="RF14" s="57"/>
      <c r="RG14" s="57"/>
      <c r="RH14" s="57"/>
      <c r="RI14" s="57"/>
      <c r="RJ14" s="57"/>
      <c r="RK14" s="57"/>
      <c r="RL14" s="57"/>
      <c r="RM14" s="57"/>
      <c r="RN14" s="57"/>
      <c r="RO14" s="57"/>
      <c r="RP14" s="57"/>
      <c r="RQ14" s="57"/>
      <c r="RR14" s="57"/>
      <c r="RS14" s="57"/>
      <c r="RT14" s="57"/>
      <c r="RU14" s="57"/>
      <c r="RV14" s="57"/>
      <c r="RW14" s="57"/>
      <c r="RX14" s="57"/>
      <c r="RY14" s="57"/>
      <c r="RZ14" s="57"/>
      <c r="SA14" s="57"/>
      <c r="SB14" s="57"/>
      <c r="SC14" s="57"/>
      <c r="SD14" s="57"/>
      <c r="SE14" s="57"/>
      <c r="SF14" s="57"/>
      <c r="SG14" s="57"/>
      <c r="SH14" s="57"/>
      <c r="SI14" s="57"/>
      <c r="SJ14" s="57"/>
      <c r="SK14" s="57"/>
      <c r="SL14" s="57"/>
      <c r="SM14" s="57"/>
      <c r="SN14" s="57"/>
      <c r="SO14" s="57"/>
      <c r="SP14" s="57"/>
      <c r="SQ14" s="57"/>
      <c r="SR14" s="57"/>
      <c r="SS14" s="57"/>
      <c r="ST14" s="57"/>
      <c r="SU14" s="57"/>
      <c r="SV14" s="57"/>
      <c r="SW14" s="57"/>
      <c r="SX14" s="57"/>
      <c r="SY14" s="57"/>
      <c r="SZ14" s="57"/>
      <c r="TA14" s="57"/>
      <c r="TB14" s="57"/>
      <c r="TC14" s="57"/>
      <c r="TD14" s="57"/>
      <c r="TE14" s="57"/>
      <c r="TF14" s="57"/>
      <c r="TG14" s="57"/>
      <c r="TH14" s="57"/>
      <c r="TI14" s="57"/>
    </row>
    <row r="15" spans="1:529" s="21" customFormat="1" ht="34.5" customHeight="1" x14ac:dyDescent="0.2">
      <c r="A15" s="157" t="s">
        <v>397</v>
      </c>
      <c r="B15" s="155" t="s">
        <v>398</v>
      </c>
      <c r="C15" s="155" t="s">
        <v>384</v>
      </c>
      <c r="D15" s="155" t="s">
        <v>399</v>
      </c>
      <c r="E15" s="155" t="s">
        <v>265</v>
      </c>
      <c r="F15" s="155"/>
      <c r="G15" s="155"/>
      <c r="H15" s="155"/>
      <c r="I15" s="155"/>
      <c r="J15" s="155" t="s">
        <v>266</v>
      </c>
      <c r="K15" s="155"/>
      <c r="L15" s="155"/>
      <c r="M15" s="155"/>
      <c r="N15" s="155"/>
      <c r="O15" s="155"/>
      <c r="P15" s="155" t="s">
        <v>267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</row>
    <row r="16" spans="1:529" s="21" customFormat="1" ht="19.5" customHeight="1" x14ac:dyDescent="0.2">
      <c r="A16" s="157"/>
      <c r="B16" s="155"/>
      <c r="C16" s="155"/>
      <c r="D16" s="155"/>
      <c r="E16" s="155" t="s">
        <v>385</v>
      </c>
      <c r="F16" s="155" t="s">
        <v>268</v>
      </c>
      <c r="G16" s="155" t="s">
        <v>269</v>
      </c>
      <c r="H16" s="155"/>
      <c r="I16" s="155" t="s">
        <v>270</v>
      </c>
      <c r="J16" s="155" t="s">
        <v>385</v>
      </c>
      <c r="K16" s="155" t="s">
        <v>386</v>
      </c>
      <c r="L16" s="155" t="s">
        <v>268</v>
      </c>
      <c r="M16" s="155" t="s">
        <v>269</v>
      </c>
      <c r="N16" s="155"/>
      <c r="O16" s="155" t="s">
        <v>270</v>
      </c>
      <c r="P16" s="15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</row>
    <row r="17" spans="1:529" s="21" customFormat="1" ht="54" customHeight="1" x14ac:dyDescent="0.2">
      <c r="A17" s="157"/>
      <c r="B17" s="155"/>
      <c r="C17" s="155"/>
      <c r="D17" s="155"/>
      <c r="E17" s="155"/>
      <c r="F17" s="155"/>
      <c r="G17" s="121" t="s">
        <v>271</v>
      </c>
      <c r="H17" s="121" t="s">
        <v>272</v>
      </c>
      <c r="I17" s="155"/>
      <c r="J17" s="155"/>
      <c r="K17" s="155"/>
      <c r="L17" s="155"/>
      <c r="M17" s="79" t="s">
        <v>271</v>
      </c>
      <c r="N17" s="79" t="s">
        <v>272</v>
      </c>
      <c r="O17" s="155"/>
      <c r="P17" s="15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</row>
    <row r="18" spans="1:529" s="31" customFormat="1" ht="19.5" customHeight="1" x14ac:dyDescent="0.2">
      <c r="A18" s="87" t="s">
        <v>180</v>
      </c>
      <c r="B18" s="65"/>
      <c r="C18" s="65"/>
      <c r="D18" s="32" t="s">
        <v>48</v>
      </c>
      <c r="E18" s="66">
        <f>E19</f>
        <v>201732503</v>
      </c>
      <c r="F18" s="66">
        <f t="shared" ref="F18:J18" si="0">F19</f>
        <v>173732503</v>
      </c>
      <c r="G18" s="66">
        <f t="shared" si="0"/>
        <v>93283855</v>
      </c>
      <c r="H18" s="66">
        <f t="shared" si="0"/>
        <v>5289300</v>
      </c>
      <c r="I18" s="66">
        <f t="shared" si="0"/>
        <v>28000000</v>
      </c>
      <c r="J18" s="66">
        <f t="shared" si="0"/>
        <v>34689593.200000003</v>
      </c>
      <c r="K18" s="66">
        <f t="shared" ref="K18" si="1">K19</f>
        <v>34172750</v>
      </c>
      <c r="L18" s="66">
        <f t="shared" ref="L18" si="2">L19</f>
        <v>516843.2</v>
      </c>
      <c r="M18" s="66">
        <f t="shared" ref="M18" si="3">M19</f>
        <v>91105</v>
      </c>
      <c r="N18" s="66">
        <f t="shared" ref="N18" si="4">N19</f>
        <v>52450</v>
      </c>
      <c r="O18" s="66">
        <f t="shared" ref="O18:P18" si="5">O19</f>
        <v>34172750</v>
      </c>
      <c r="P18" s="66">
        <f t="shared" si="5"/>
        <v>236422096.19999999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</row>
    <row r="19" spans="1:529" s="40" customFormat="1" ht="19.5" customHeight="1" x14ac:dyDescent="0.25">
      <c r="A19" s="77" t="s">
        <v>181</v>
      </c>
      <c r="B19" s="67"/>
      <c r="C19" s="67"/>
      <c r="D19" s="33" t="s">
        <v>48</v>
      </c>
      <c r="E19" s="68">
        <f>E20+E21+E22+E23+E24+E25+E26+E27+E28+E29+E30+E31+E32+E33+E34+E35+E36+E37+E38+E41+E42+E43+E44+E45+E46+E47+E48+E49+E50+E51+E39+E40</f>
        <v>201732503</v>
      </c>
      <c r="F19" s="68">
        <f t="shared" ref="F19:P19" si="6">F20+F21+F22+F23+F24+F25+F26+F27+F28+F29+F30+F31+F32+F33+F34+F35+F36+F37+F38+F41+F42+F43+F44+F45+F46+F47+F48+F49+F50+F51+F39+F40</f>
        <v>173732503</v>
      </c>
      <c r="G19" s="68">
        <f t="shared" si="6"/>
        <v>93283855</v>
      </c>
      <c r="H19" s="68">
        <f t="shared" si="6"/>
        <v>5289300</v>
      </c>
      <c r="I19" s="68">
        <f t="shared" si="6"/>
        <v>28000000</v>
      </c>
      <c r="J19" s="68">
        <f t="shared" si="6"/>
        <v>34689593.200000003</v>
      </c>
      <c r="K19" s="68">
        <f t="shared" si="6"/>
        <v>34172750</v>
      </c>
      <c r="L19" s="68">
        <f t="shared" si="6"/>
        <v>516843.2</v>
      </c>
      <c r="M19" s="68">
        <f t="shared" si="6"/>
        <v>91105</v>
      </c>
      <c r="N19" s="68">
        <f t="shared" si="6"/>
        <v>52450</v>
      </c>
      <c r="O19" s="68">
        <f t="shared" si="6"/>
        <v>34172750</v>
      </c>
      <c r="P19" s="68">
        <f t="shared" si="6"/>
        <v>236422096.19999999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</row>
    <row r="20" spans="1:529" s="23" customFormat="1" ht="46.5" customHeight="1" x14ac:dyDescent="0.25">
      <c r="A20" s="43" t="s">
        <v>182</v>
      </c>
      <c r="B20" s="44" t="str">
        <f>'дод 4'!A20</f>
        <v>0160</v>
      </c>
      <c r="C20" s="44" t="str">
        <f>'дод 4'!B20</f>
        <v>0111</v>
      </c>
      <c r="D20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0" s="69">
        <f t="shared" ref="E20:E51" si="7">F20+I20</f>
        <v>100069882</v>
      </c>
      <c r="F20" s="69">
        <f>105070300+350000+405400-4697800+243482-1103300+14800-213000</f>
        <v>100069882</v>
      </c>
      <c r="G20" s="69">
        <f>77144000-3850700+199575-174600</f>
        <v>73318275</v>
      </c>
      <c r="H20" s="69">
        <v>2750400</v>
      </c>
      <c r="I20" s="69"/>
      <c r="J20" s="69">
        <f>L20+O20</f>
        <v>1230200</v>
      </c>
      <c r="K20" s="69">
        <v>1230200</v>
      </c>
      <c r="L20" s="69"/>
      <c r="M20" s="69"/>
      <c r="N20" s="69"/>
      <c r="O20" s="69">
        <v>1230200</v>
      </c>
      <c r="P20" s="69">
        <f t="shared" ref="P20:P51" si="8">E20+J20</f>
        <v>101300082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</row>
    <row r="21" spans="1:529" s="23" customFormat="1" ht="21.75" customHeight="1" x14ac:dyDescent="0.25">
      <c r="A21" s="43" t="s">
        <v>283</v>
      </c>
      <c r="B21" s="44" t="str">
        <f>'дод 4'!A21</f>
        <v>0180</v>
      </c>
      <c r="C21" s="44" t="str">
        <f>'дод 4'!B21</f>
        <v>0133</v>
      </c>
      <c r="D21" s="24" t="str">
        <f>'дод 4'!C21</f>
        <v>Інша діяльність у сфері державного управління</v>
      </c>
      <c r="E21" s="69">
        <f t="shared" si="7"/>
        <v>310000</v>
      </c>
      <c r="F21" s="69">
        <v>310000</v>
      </c>
      <c r="G21" s="69"/>
      <c r="H21" s="69"/>
      <c r="I21" s="69"/>
      <c r="J21" s="69">
        <f t="shared" ref="J21:J51" si="9">L21+O21</f>
        <v>0</v>
      </c>
      <c r="K21" s="69"/>
      <c r="L21" s="69"/>
      <c r="M21" s="69"/>
      <c r="N21" s="69"/>
      <c r="O21" s="69"/>
      <c r="P21" s="69">
        <f t="shared" si="8"/>
        <v>310000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</row>
    <row r="22" spans="1:529" s="23" customFormat="1" ht="43.5" customHeight="1" x14ac:dyDescent="0.25">
      <c r="A22" s="43" t="s">
        <v>299</v>
      </c>
      <c r="B22" s="44" t="str">
        <f>'дод 4'!A56</f>
        <v>3033</v>
      </c>
      <c r="C22" s="44" t="str">
        <f>'дод 4'!B56</f>
        <v>1070</v>
      </c>
      <c r="D22" s="24" t="str">
        <f>'дод 4'!C56</f>
        <v>Компенсаційні виплати на пільговий проїзд автомобільним транспортом окремим категоріям громадян</v>
      </c>
      <c r="E22" s="69">
        <f t="shared" si="7"/>
        <v>124200</v>
      </c>
      <c r="F22" s="69">
        <v>124200</v>
      </c>
      <c r="G22" s="69"/>
      <c r="H22" s="69"/>
      <c r="I22" s="69"/>
      <c r="J22" s="69">
        <f t="shared" si="9"/>
        <v>0</v>
      </c>
      <c r="K22" s="69"/>
      <c r="L22" s="69"/>
      <c r="M22" s="69"/>
      <c r="N22" s="69"/>
      <c r="O22" s="69"/>
      <c r="P22" s="69">
        <f t="shared" si="8"/>
        <v>124200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</row>
    <row r="23" spans="1:529" s="23" customFormat="1" ht="36.75" customHeight="1" x14ac:dyDescent="0.25">
      <c r="A23" s="43" t="s">
        <v>183</v>
      </c>
      <c r="B23" s="44" t="str">
        <f>'дод 4'!A58</f>
        <v>3036</v>
      </c>
      <c r="C23" s="44" t="str">
        <f>'дод 4'!B58</f>
        <v>1070</v>
      </c>
      <c r="D23" s="24" t="str">
        <f>'дод 4'!C58</f>
        <v>Компенсаційні виплати на пільговий проїзд електротранспортом окремим категоріям громадян</v>
      </c>
      <c r="E23" s="69">
        <f t="shared" si="7"/>
        <v>270325</v>
      </c>
      <c r="F23" s="69">
        <v>270325</v>
      </c>
      <c r="G23" s="69"/>
      <c r="H23" s="69"/>
      <c r="I23" s="69"/>
      <c r="J23" s="69">
        <f t="shared" si="9"/>
        <v>0</v>
      </c>
      <c r="K23" s="69"/>
      <c r="L23" s="69"/>
      <c r="M23" s="69"/>
      <c r="N23" s="69"/>
      <c r="O23" s="69"/>
      <c r="P23" s="69">
        <f t="shared" si="8"/>
        <v>270325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</row>
    <row r="24" spans="1:529" s="23" customFormat="1" ht="36" customHeight="1" x14ac:dyDescent="0.25">
      <c r="A24" s="43" t="s">
        <v>184</v>
      </c>
      <c r="B24" s="44" t="str">
        <f>'дод 4'!A64</f>
        <v>3121</v>
      </c>
      <c r="C24" s="44" t="str">
        <f>'дод 4'!B64</f>
        <v>1040</v>
      </c>
      <c r="D24" s="24" t="str">
        <f>'дод 4'!C64</f>
        <v>Утримання та забезпечення діяльності центрів соціальних служб для сім’ї, дітей та молоді</v>
      </c>
      <c r="E24" s="69">
        <f t="shared" si="7"/>
        <v>2529735</v>
      </c>
      <c r="F24" s="69">
        <f>2487735+42000</f>
        <v>2529735</v>
      </c>
      <c r="G24" s="69">
        <v>1883250</v>
      </c>
      <c r="H24" s="69">
        <v>50170</v>
      </c>
      <c r="I24" s="69"/>
      <c r="J24" s="69">
        <f t="shared" si="9"/>
        <v>0</v>
      </c>
      <c r="K24" s="69"/>
      <c r="L24" s="69"/>
      <c r="M24" s="69"/>
      <c r="N24" s="69"/>
      <c r="O24" s="69"/>
      <c r="P24" s="69">
        <f t="shared" si="8"/>
        <v>2529735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</row>
    <row r="25" spans="1:529" s="23" customFormat="1" ht="48.75" customHeight="1" x14ac:dyDescent="0.25">
      <c r="A25" s="43" t="s">
        <v>185</v>
      </c>
      <c r="B25" s="44" t="str">
        <f>'дод 4'!A65</f>
        <v>3131</v>
      </c>
      <c r="C25" s="44" t="str">
        <f>'дод 4'!B65</f>
        <v>1040</v>
      </c>
      <c r="D25" s="24" t="str">
        <f>'дод 4'!C65</f>
        <v>Здійснення заходів та реалізація проектів на виконання Державної цільової соціальної програми "Молодь України"</v>
      </c>
      <c r="E25" s="69">
        <f t="shared" si="7"/>
        <v>850000</v>
      </c>
      <c r="F25" s="69">
        <v>850000</v>
      </c>
      <c r="G25" s="69"/>
      <c r="H25" s="69"/>
      <c r="I25" s="69"/>
      <c r="J25" s="69">
        <f t="shared" si="9"/>
        <v>0</v>
      </c>
      <c r="K25" s="69"/>
      <c r="L25" s="69"/>
      <c r="M25" s="69"/>
      <c r="N25" s="69"/>
      <c r="O25" s="69"/>
      <c r="P25" s="69">
        <f t="shared" si="8"/>
        <v>850000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</row>
    <row r="26" spans="1:529" s="23" customFormat="1" ht="60" customHeight="1" x14ac:dyDescent="0.25">
      <c r="A26" s="43" t="s">
        <v>186</v>
      </c>
      <c r="B26" s="44" t="str">
        <f>'дод 4'!A66</f>
        <v>3140</v>
      </c>
      <c r="C26" s="44" t="str">
        <f>'дод 4'!B66</f>
        <v>1040</v>
      </c>
      <c r="D26" s="24" t="str">
        <f>'дод 4'!C66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6" s="69">
        <f t="shared" si="7"/>
        <v>560000</v>
      </c>
      <c r="F26" s="69">
        <v>560000</v>
      </c>
      <c r="G26" s="69"/>
      <c r="H26" s="69"/>
      <c r="I26" s="69"/>
      <c r="J26" s="69">
        <f t="shared" si="9"/>
        <v>0</v>
      </c>
      <c r="K26" s="69"/>
      <c r="L26" s="69"/>
      <c r="M26" s="69"/>
      <c r="N26" s="69"/>
      <c r="O26" s="69"/>
      <c r="P26" s="69">
        <f t="shared" si="8"/>
        <v>560000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</row>
    <row r="27" spans="1:529" s="23" customFormat="1" ht="37.5" customHeight="1" x14ac:dyDescent="0.25">
      <c r="A27" s="43" t="s">
        <v>355</v>
      </c>
      <c r="B27" s="44" t="str">
        <f>'дод 4'!A75</f>
        <v>3241</v>
      </c>
      <c r="C27" s="44" t="str">
        <f>'дод 4'!B75</f>
        <v>1090</v>
      </c>
      <c r="D27" s="24" t="str">
        <f>'дод 4'!C75</f>
        <v>Забезпечення діяльності інших закладів у сфері соціального захисту і соціального забезпечення</v>
      </c>
      <c r="E27" s="69">
        <f t="shared" si="7"/>
        <v>1198395</v>
      </c>
      <c r="F27" s="69">
        <v>1198395</v>
      </c>
      <c r="G27" s="69">
        <v>852910</v>
      </c>
      <c r="H27" s="69">
        <v>114300</v>
      </c>
      <c r="I27" s="69"/>
      <c r="J27" s="69">
        <f t="shared" si="9"/>
        <v>0</v>
      </c>
      <c r="K27" s="69"/>
      <c r="L27" s="69"/>
      <c r="M27" s="69"/>
      <c r="N27" s="69"/>
      <c r="O27" s="69"/>
      <c r="P27" s="69">
        <f t="shared" si="8"/>
        <v>1198395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</row>
    <row r="28" spans="1:529" s="23" customFormat="1" ht="33.75" customHeight="1" x14ac:dyDescent="0.25">
      <c r="A28" s="43" t="s">
        <v>356</v>
      </c>
      <c r="B28" s="44" t="str">
        <f>'дод 4'!A76</f>
        <v>3242</v>
      </c>
      <c r="C28" s="44" t="str">
        <f>'дод 4'!B76</f>
        <v>1090</v>
      </c>
      <c r="D28" s="24" t="str">
        <f>'дод 4'!C76</f>
        <v>Інші заходи у сфері соціального захисту і соціального забезпечення</v>
      </c>
      <c r="E28" s="69">
        <f t="shared" si="7"/>
        <v>218310</v>
      </c>
      <c r="F28" s="69">
        <v>218310</v>
      </c>
      <c r="G28" s="69"/>
      <c r="H28" s="69"/>
      <c r="I28" s="69"/>
      <c r="J28" s="69">
        <f t="shared" si="9"/>
        <v>0</v>
      </c>
      <c r="K28" s="69"/>
      <c r="L28" s="69"/>
      <c r="M28" s="69"/>
      <c r="N28" s="69"/>
      <c r="O28" s="69"/>
      <c r="P28" s="69">
        <f t="shared" si="8"/>
        <v>218310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</row>
    <row r="29" spans="1:529" s="23" customFormat="1" ht="33.75" customHeight="1" x14ac:dyDescent="0.25">
      <c r="A29" s="43" t="s">
        <v>375</v>
      </c>
      <c r="B29" s="44" t="str">
        <f>'дод 4'!A79</f>
        <v>4060</v>
      </c>
      <c r="C29" s="44" t="str">
        <f>'дод 4'!B79</f>
        <v>0828</v>
      </c>
      <c r="D29" s="24" t="str">
        <f>'дод 4'!C79</f>
        <v>Забезпечення діяльності палаців i будинків культури, клубів, центрів дозвілля та iнших клубних закладів</v>
      </c>
      <c r="E29" s="69">
        <f t="shared" si="7"/>
        <v>4595000</v>
      </c>
      <c r="F29" s="70">
        <f>4745000-150000</f>
        <v>4595000</v>
      </c>
      <c r="G29" s="69">
        <v>2098000</v>
      </c>
      <c r="H29" s="69">
        <v>727600</v>
      </c>
      <c r="I29" s="69"/>
      <c r="J29" s="69">
        <f t="shared" si="9"/>
        <v>25500</v>
      </c>
      <c r="K29" s="69">
        <v>25500</v>
      </c>
      <c r="L29" s="69"/>
      <c r="M29" s="69"/>
      <c r="N29" s="69"/>
      <c r="O29" s="69">
        <v>25500</v>
      </c>
      <c r="P29" s="69">
        <f t="shared" si="8"/>
        <v>4620500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</row>
    <row r="30" spans="1:529" s="23" customFormat="1" ht="30.75" customHeight="1" x14ac:dyDescent="0.25">
      <c r="A30" s="43" t="s">
        <v>353</v>
      </c>
      <c r="B30" s="44" t="str">
        <f>'дод 4'!A80</f>
        <v>4081</v>
      </c>
      <c r="C30" s="44" t="str">
        <f>'дод 4'!B80</f>
        <v>0829</v>
      </c>
      <c r="D30" s="24" t="str">
        <f>'дод 4'!C80</f>
        <v>Забезпечення діяльності інших закладів в галузі культури і мистецтва</v>
      </c>
      <c r="E30" s="69">
        <f t="shared" si="7"/>
        <v>3437900</v>
      </c>
      <c r="F30" s="69">
        <f>2374900+300000+276000+150000+337000</f>
        <v>3437900</v>
      </c>
      <c r="G30" s="69">
        <v>1389000</v>
      </c>
      <c r="H30" s="69">
        <v>91200</v>
      </c>
      <c r="I30" s="69"/>
      <c r="J30" s="69">
        <f t="shared" si="9"/>
        <v>224000</v>
      </c>
      <c r="K30" s="69">
        <v>224000</v>
      </c>
      <c r="L30" s="69"/>
      <c r="M30" s="69"/>
      <c r="N30" s="69"/>
      <c r="O30" s="69">
        <v>224000</v>
      </c>
      <c r="P30" s="69">
        <f t="shared" si="8"/>
        <v>3661900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</row>
    <row r="31" spans="1:529" s="23" customFormat="1" ht="25.5" customHeight="1" x14ac:dyDescent="0.25">
      <c r="A31" s="43" t="s">
        <v>354</v>
      </c>
      <c r="B31" s="44" t="str">
        <f>'дод 4'!A81</f>
        <v>4082</v>
      </c>
      <c r="C31" s="44" t="str">
        <f>'дод 4'!B81</f>
        <v>0829</v>
      </c>
      <c r="D31" s="24" t="str">
        <f>'дод 4'!C81</f>
        <v>Інші заходи в галузі культури і мистецтва</v>
      </c>
      <c r="E31" s="69">
        <f t="shared" si="7"/>
        <v>465000</v>
      </c>
      <c r="F31" s="69">
        <v>465000</v>
      </c>
      <c r="G31" s="69"/>
      <c r="H31" s="69"/>
      <c r="I31" s="69"/>
      <c r="J31" s="69">
        <f t="shared" si="9"/>
        <v>0</v>
      </c>
      <c r="K31" s="69"/>
      <c r="L31" s="69"/>
      <c r="M31" s="69"/>
      <c r="N31" s="69"/>
      <c r="O31" s="69"/>
      <c r="P31" s="69">
        <f t="shared" si="8"/>
        <v>465000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</row>
    <row r="32" spans="1:529" s="23" customFormat="1" ht="36.75" customHeight="1" x14ac:dyDescent="0.25">
      <c r="A32" s="52" t="s">
        <v>187</v>
      </c>
      <c r="B32" s="45" t="str">
        <f>'дод 4'!A83</f>
        <v>5011</v>
      </c>
      <c r="C32" s="45" t="str">
        <f>'дод 4'!B83</f>
        <v>0810</v>
      </c>
      <c r="D32" s="22" t="str">
        <f>'дод 4'!C83</f>
        <v>Проведення навчально-тренувальних зборів і змагань з олімпійських видів спорту</v>
      </c>
      <c r="E32" s="69">
        <f t="shared" si="7"/>
        <v>1761000</v>
      </c>
      <c r="F32" s="69">
        <f>750000+1000000+11000</f>
        <v>1761000</v>
      </c>
      <c r="G32" s="69"/>
      <c r="H32" s="69"/>
      <c r="I32" s="69"/>
      <c r="J32" s="69">
        <f t="shared" si="9"/>
        <v>0</v>
      </c>
      <c r="K32" s="69"/>
      <c r="L32" s="69"/>
      <c r="M32" s="69"/>
      <c r="N32" s="69"/>
      <c r="O32" s="69"/>
      <c r="P32" s="69">
        <f t="shared" si="8"/>
        <v>1761000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</row>
    <row r="33" spans="1:529" s="23" customFormat="1" ht="34.5" customHeight="1" x14ac:dyDescent="0.25">
      <c r="A33" s="52" t="s">
        <v>188</v>
      </c>
      <c r="B33" s="45" t="str">
        <f>'дод 4'!A84</f>
        <v>5012</v>
      </c>
      <c r="C33" s="45" t="str">
        <f>'дод 4'!B84</f>
        <v>0810</v>
      </c>
      <c r="D33" s="22" t="str">
        <f>'дод 4'!C84</f>
        <v>Проведення навчально-тренувальних зборів і змагань з неолімпійських видів спорту</v>
      </c>
      <c r="E33" s="69">
        <f t="shared" si="7"/>
        <v>2275000</v>
      </c>
      <c r="F33" s="69">
        <f>750000+1300000+127000+98000</f>
        <v>2275000</v>
      </c>
      <c r="G33" s="69"/>
      <c r="H33" s="69"/>
      <c r="I33" s="69"/>
      <c r="J33" s="69">
        <f t="shared" si="9"/>
        <v>0</v>
      </c>
      <c r="K33" s="69"/>
      <c r="L33" s="69"/>
      <c r="M33" s="69"/>
      <c r="N33" s="69"/>
      <c r="O33" s="69"/>
      <c r="P33" s="69">
        <f t="shared" si="8"/>
        <v>2275000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</row>
    <row r="34" spans="1:529" s="23" customFormat="1" ht="39" customHeight="1" x14ac:dyDescent="0.25">
      <c r="A34" s="52" t="s">
        <v>189</v>
      </c>
      <c r="B34" s="45" t="str">
        <f>'дод 4'!A85</f>
        <v>5031</v>
      </c>
      <c r="C34" s="45" t="str">
        <f>'дод 4'!B85</f>
        <v>0810</v>
      </c>
      <c r="D34" s="22" t="str">
        <f>'дод 4'!C85</f>
        <v>Утримання та навчально-тренувальна робота комунальних дитячо-юнацьких спортивних шкіл</v>
      </c>
      <c r="E34" s="69">
        <f t="shared" si="7"/>
        <v>13555830</v>
      </c>
      <c r="F34" s="69">
        <f>13106830+37000+412000</f>
        <v>13555830</v>
      </c>
      <c r="G34" s="69">
        <v>9753300</v>
      </c>
      <c r="H34" s="69">
        <v>819990</v>
      </c>
      <c r="I34" s="69">
        <v>0</v>
      </c>
      <c r="J34" s="69">
        <f t="shared" si="9"/>
        <v>728000</v>
      </c>
      <c r="K34" s="69">
        <f>500000+228000</f>
        <v>728000</v>
      </c>
      <c r="L34" s="69"/>
      <c r="M34" s="69"/>
      <c r="N34" s="69"/>
      <c r="O34" s="69">
        <f>500000+228000</f>
        <v>728000</v>
      </c>
      <c r="P34" s="69">
        <f t="shared" si="8"/>
        <v>14283830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</row>
    <row r="35" spans="1:529" s="23" customFormat="1" ht="33.75" customHeight="1" x14ac:dyDescent="0.25">
      <c r="A35" s="52" t="s">
        <v>419</v>
      </c>
      <c r="B35" s="45" t="str">
        <f>'дод 4'!A86</f>
        <v>5032</v>
      </c>
      <c r="C35" s="45" t="str">
        <f>'дод 4'!B86</f>
        <v>0810</v>
      </c>
      <c r="D35" s="22" t="str">
        <f>'дод 4'!C86</f>
        <v>Фінансова підтримка дитячо-юнацьких спортивних шкіл фізкультурно-спортивних товариств</v>
      </c>
      <c r="E35" s="69">
        <f t="shared" si="7"/>
        <v>11306630</v>
      </c>
      <c r="F35" s="69">
        <f>11143630+20000+143000</f>
        <v>11306630</v>
      </c>
      <c r="G35" s="69"/>
      <c r="H35" s="69"/>
      <c r="I35" s="69"/>
      <c r="J35" s="69">
        <f t="shared" si="9"/>
        <v>100000</v>
      </c>
      <c r="K35" s="69">
        <f>93000+7000</f>
        <v>100000</v>
      </c>
      <c r="L35" s="69"/>
      <c r="M35" s="69"/>
      <c r="N35" s="69"/>
      <c r="O35" s="69">
        <f>93000+7000</f>
        <v>100000</v>
      </c>
      <c r="P35" s="69">
        <f t="shared" si="8"/>
        <v>11406630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</row>
    <row r="36" spans="1:529" s="23" customFormat="1" ht="48" customHeight="1" x14ac:dyDescent="0.25">
      <c r="A36" s="52" t="s">
        <v>190</v>
      </c>
      <c r="B36" s="45" t="str">
        <f>'дод 4'!A87</f>
        <v>5061</v>
      </c>
      <c r="C36" s="45" t="str">
        <f>'дод 4'!B87</f>
        <v>0810</v>
      </c>
      <c r="D36" s="22" t="str">
        <f>'дод 4'!C87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6" s="69">
        <f t="shared" si="7"/>
        <v>3943120</v>
      </c>
      <c r="F36" s="69">
        <f>3728120+165000+50000</f>
        <v>3943120</v>
      </c>
      <c r="G36" s="69">
        <v>2446900</v>
      </c>
      <c r="H36" s="69">
        <v>370100</v>
      </c>
      <c r="I36" s="69"/>
      <c r="J36" s="69">
        <f t="shared" si="9"/>
        <v>1079120</v>
      </c>
      <c r="K36" s="69">
        <v>900000</v>
      </c>
      <c r="L36" s="69">
        <v>179120</v>
      </c>
      <c r="M36" s="69">
        <v>91105</v>
      </c>
      <c r="N36" s="69">
        <v>51050</v>
      </c>
      <c r="O36" s="69">
        <v>900000</v>
      </c>
      <c r="P36" s="69">
        <f t="shared" si="8"/>
        <v>5022240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</row>
    <row r="37" spans="1:529" s="23" customFormat="1" ht="39" customHeight="1" x14ac:dyDescent="0.25">
      <c r="A37" s="52" t="s">
        <v>410</v>
      </c>
      <c r="B37" s="45" t="str">
        <f>'дод 4'!A88</f>
        <v>5062</v>
      </c>
      <c r="C37" s="45" t="str">
        <f>'дод 4'!B88</f>
        <v>0810</v>
      </c>
      <c r="D37" s="22" t="str">
        <f>'дод 4'!C88</f>
        <v>Підтримка спорту вищих досягнень та організацій, які здійснюють фізкультурно-спортивну діяльність в регіоні</v>
      </c>
      <c r="E37" s="69">
        <f t="shared" si="7"/>
        <v>7088390</v>
      </c>
      <c r="F37" s="69">
        <f>6608390+200000+215000+65000</f>
        <v>7088390</v>
      </c>
      <c r="G37" s="69"/>
      <c r="H37" s="69"/>
      <c r="I37" s="69"/>
      <c r="J37" s="69">
        <f t="shared" si="9"/>
        <v>43450</v>
      </c>
      <c r="K37" s="69">
        <v>43450</v>
      </c>
      <c r="L37" s="69"/>
      <c r="M37" s="69"/>
      <c r="N37" s="69"/>
      <c r="O37" s="69">
        <v>43450</v>
      </c>
      <c r="P37" s="69">
        <f t="shared" si="8"/>
        <v>7131840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</row>
    <row r="38" spans="1:529" s="23" customFormat="1" ht="24" customHeight="1" x14ac:dyDescent="0.25">
      <c r="A38" s="52" t="s">
        <v>191</v>
      </c>
      <c r="B38" s="45" t="str">
        <f>'дод 4'!A116</f>
        <v>7412</v>
      </c>
      <c r="C38" s="45" t="str">
        <f>'дод 4'!B116</f>
        <v>0451</v>
      </c>
      <c r="D38" s="22" t="str">
        <f>'дод 4'!C116</f>
        <v>Регулювання цін на послуги місцевого автотранспорту</v>
      </c>
      <c r="E38" s="69">
        <f t="shared" si="7"/>
        <v>10000000</v>
      </c>
      <c r="F38" s="69"/>
      <c r="G38" s="69"/>
      <c r="H38" s="69"/>
      <c r="I38" s="69">
        <v>10000000</v>
      </c>
      <c r="J38" s="69">
        <f t="shared" si="9"/>
        <v>0</v>
      </c>
      <c r="K38" s="69"/>
      <c r="L38" s="69"/>
      <c r="M38" s="69"/>
      <c r="N38" s="69"/>
      <c r="O38" s="69"/>
      <c r="P38" s="69">
        <f t="shared" si="8"/>
        <v>10000000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</row>
    <row r="39" spans="1:529" s="23" customFormat="1" ht="24" customHeight="1" x14ac:dyDescent="0.25">
      <c r="A39" s="52" t="s">
        <v>465</v>
      </c>
      <c r="B39" s="45">
        <f>'дод 4'!A117</f>
        <v>7413</v>
      </c>
      <c r="C39" s="45" t="str">
        <f>'дод 4'!B117</f>
        <v>0451</v>
      </c>
      <c r="D39" s="150" t="str">
        <f>'дод 4'!C117</f>
        <v>Інші заходи у сфері автотранспорту</v>
      </c>
      <c r="E39" s="69">
        <f t="shared" si="7"/>
        <v>2800000</v>
      </c>
      <c r="F39" s="69"/>
      <c r="G39" s="69"/>
      <c r="H39" s="69"/>
      <c r="I39" s="69">
        <v>2800000</v>
      </c>
      <c r="J39" s="69">
        <f t="shared" si="9"/>
        <v>0</v>
      </c>
      <c r="K39" s="69"/>
      <c r="L39" s="69"/>
      <c r="M39" s="69"/>
      <c r="N39" s="69"/>
      <c r="O39" s="69"/>
      <c r="P39" s="69">
        <f t="shared" si="8"/>
        <v>2800000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</row>
    <row r="40" spans="1:529" s="23" customFormat="1" ht="24" customHeight="1" x14ac:dyDescent="0.25">
      <c r="A40" s="52" t="s">
        <v>466</v>
      </c>
      <c r="B40" s="45">
        <f>'дод 4'!A118</f>
        <v>7426</v>
      </c>
      <c r="C40" s="45">
        <f>'дод 4'!B118</f>
        <v>453</v>
      </c>
      <c r="D40" s="150" t="str">
        <f>'дод 4'!C118</f>
        <v>Інші заходи у сфері електротранспорту</v>
      </c>
      <c r="E40" s="69">
        <f t="shared" si="7"/>
        <v>15200000</v>
      </c>
      <c r="F40" s="69"/>
      <c r="G40" s="69"/>
      <c r="H40" s="69"/>
      <c r="I40" s="69">
        <v>15200000</v>
      </c>
      <c r="J40" s="69">
        <f t="shared" si="9"/>
        <v>0</v>
      </c>
      <c r="K40" s="69"/>
      <c r="L40" s="69"/>
      <c r="M40" s="69"/>
      <c r="N40" s="69"/>
      <c r="O40" s="69"/>
      <c r="P40" s="69">
        <f t="shared" si="8"/>
        <v>15200000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</row>
    <row r="41" spans="1:529" s="23" customFormat="1" ht="31.5" customHeight="1" x14ac:dyDescent="0.25">
      <c r="A41" s="52" t="s">
        <v>275</v>
      </c>
      <c r="B41" s="45" t="str">
        <f>'дод 4'!A122</f>
        <v>7530</v>
      </c>
      <c r="C41" s="45" t="str">
        <f>'дод 4'!B122</f>
        <v>0460</v>
      </c>
      <c r="D41" s="22" t="str">
        <f>'дод 4'!C122</f>
        <v>Інші заходи у сфері зв'язку, телекомунікації та інформатики</v>
      </c>
      <c r="E41" s="69">
        <f t="shared" si="7"/>
        <v>13450000</v>
      </c>
      <c r="F41" s="69">
        <f>10000000+3450000</f>
        <v>13450000</v>
      </c>
      <c r="G41" s="69"/>
      <c r="H41" s="69"/>
      <c r="I41" s="69"/>
      <c r="J41" s="69">
        <f t="shared" si="9"/>
        <v>6050000</v>
      </c>
      <c r="K41" s="69">
        <f>5000000+1050000</f>
        <v>6050000</v>
      </c>
      <c r="L41" s="69"/>
      <c r="M41" s="69"/>
      <c r="N41" s="69"/>
      <c r="O41" s="69">
        <f>5000000+1050000</f>
        <v>6050000</v>
      </c>
      <c r="P41" s="69">
        <f t="shared" si="8"/>
        <v>19500000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</row>
    <row r="42" spans="1:529" s="23" customFormat="1" ht="20.25" customHeight="1" x14ac:dyDescent="0.25">
      <c r="A42" s="52" t="s">
        <v>192</v>
      </c>
      <c r="B42" s="45" t="str">
        <f>'дод 4'!A124</f>
        <v>7610</v>
      </c>
      <c r="C42" s="45" t="str">
        <f>'дод 4'!B124</f>
        <v>0411</v>
      </c>
      <c r="D42" s="22" t="str">
        <f>'дод 4'!C124</f>
        <v>Сприяння розвитку малого та середнього підприємництва</v>
      </c>
      <c r="E42" s="69">
        <f t="shared" si="7"/>
        <v>215000</v>
      </c>
      <c r="F42" s="69">
        <f>115000+100000</f>
        <v>215000</v>
      </c>
      <c r="G42" s="69"/>
      <c r="H42" s="69"/>
      <c r="I42" s="69"/>
      <c r="J42" s="69">
        <f t="shared" si="9"/>
        <v>0</v>
      </c>
      <c r="K42" s="69"/>
      <c r="L42" s="69"/>
      <c r="M42" s="69"/>
      <c r="N42" s="69"/>
      <c r="O42" s="69"/>
      <c r="P42" s="69">
        <f t="shared" si="8"/>
        <v>215000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</row>
    <row r="43" spans="1:529" s="23" customFormat="1" ht="23.25" customHeight="1" x14ac:dyDescent="0.25">
      <c r="A43" s="52" t="s">
        <v>193</v>
      </c>
      <c r="B43" s="45" t="str">
        <f>'дод 4'!A128</f>
        <v>7670</v>
      </c>
      <c r="C43" s="45" t="str">
        <f>'дод 4'!B128</f>
        <v>0490</v>
      </c>
      <c r="D43" s="22" t="str">
        <f>'дод 4'!C128</f>
        <v>Внески до статутного капіталу суб’єктів господарювання</v>
      </c>
      <c r="E43" s="69">
        <f t="shared" si="7"/>
        <v>0</v>
      </c>
      <c r="F43" s="69"/>
      <c r="G43" s="69"/>
      <c r="H43" s="69"/>
      <c r="I43" s="69"/>
      <c r="J43" s="69">
        <f t="shared" si="9"/>
        <v>22572000</v>
      </c>
      <c r="K43" s="69">
        <f>22572000</f>
        <v>22572000</v>
      </c>
      <c r="L43" s="69"/>
      <c r="M43" s="69"/>
      <c r="N43" s="69"/>
      <c r="O43" s="69">
        <f>22572000</f>
        <v>22572000</v>
      </c>
      <c r="P43" s="69">
        <f t="shared" si="8"/>
        <v>22572000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</row>
    <row r="44" spans="1:529" s="23" customFormat="1" ht="36.75" customHeight="1" x14ac:dyDescent="0.25">
      <c r="A44" s="52" t="s">
        <v>289</v>
      </c>
      <c r="B44" s="45" t="str">
        <f>'дод 4'!A129</f>
        <v>7680</v>
      </c>
      <c r="C44" s="45" t="str">
        <f>'дод 4'!B129</f>
        <v>0490</v>
      </c>
      <c r="D44" s="22" t="str">
        <f>'дод 4'!C129</f>
        <v>Членські внески до асоціацій органів місцевого самоврядування</v>
      </c>
      <c r="E44" s="69">
        <f t="shared" si="7"/>
        <v>241467</v>
      </c>
      <c r="F44" s="69">
        <f>158069+82000+1715-317</f>
        <v>241467</v>
      </c>
      <c r="G44" s="69"/>
      <c r="H44" s="69"/>
      <c r="I44" s="69"/>
      <c r="J44" s="69">
        <f t="shared" si="9"/>
        <v>0</v>
      </c>
      <c r="K44" s="69"/>
      <c r="L44" s="69"/>
      <c r="M44" s="69"/>
      <c r="N44" s="69"/>
      <c r="O44" s="69"/>
      <c r="P44" s="69">
        <f t="shared" si="8"/>
        <v>241467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</row>
    <row r="45" spans="1:529" s="23" customFormat="1" ht="90" customHeight="1" x14ac:dyDescent="0.25">
      <c r="A45" s="52" t="s">
        <v>351</v>
      </c>
      <c r="B45" s="45" t="str">
        <f>'дод 4'!A130</f>
        <v>7691</v>
      </c>
      <c r="C45" s="45" t="str">
        <f>'дод 4'!B130</f>
        <v>0490</v>
      </c>
      <c r="D45" s="22" t="str">
        <f>'дод 4'!C130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5" s="69">
        <f t="shared" si="7"/>
        <v>0</v>
      </c>
      <c r="F45" s="69"/>
      <c r="G45" s="69"/>
      <c r="H45" s="69"/>
      <c r="I45" s="69"/>
      <c r="J45" s="69">
        <f t="shared" si="9"/>
        <v>68223.199999999997</v>
      </c>
      <c r="K45" s="69"/>
      <c r="L45" s="69">
        <f>64711+3512.2</f>
        <v>68223.199999999997</v>
      </c>
      <c r="M45" s="69"/>
      <c r="N45" s="69"/>
      <c r="O45" s="69"/>
      <c r="P45" s="69">
        <f t="shared" si="8"/>
        <v>68223.199999999997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</row>
    <row r="46" spans="1:529" s="23" customFormat="1" ht="23.25" customHeight="1" x14ac:dyDescent="0.25">
      <c r="A46" s="52" t="s">
        <v>282</v>
      </c>
      <c r="B46" s="45" t="str">
        <f>'дод 4'!A131</f>
        <v>7693</v>
      </c>
      <c r="C46" s="45" t="str">
        <f>'дод 4'!B131</f>
        <v>0490</v>
      </c>
      <c r="D46" s="22" t="str">
        <f>'дод 4'!C131</f>
        <v>Інші заходи, пов'язані з економічною діяльністю</v>
      </c>
      <c r="E46" s="69">
        <f t="shared" si="7"/>
        <v>1869189</v>
      </c>
      <c r="F46" s="69">
        <f>1617587+250000+3000-1398</f>
        <v>1869189</v>
      </c>
      <c r="G46" s="69"/>
      <c r="H46" s="69"/>
      <c r="I46" s="69"/>
      <c r="J46" s="69">
        <f t="shared" si="9"/>
        <v>0</v>
      </c>
      <c r="K46" s="69"/>
      <c r="L46" s="69"/>
      <c r="M46" s="69"/>
      <c r="N46" s="69"/>
      <c r="O46" s="69"/>
      <c r="P46" s="69">
        <f t="shared" si="8"/>
        <v>1869189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</row>
    <row r="47" spans="1:529" s="23" customFormat="1" ht="34.5" customHeight="1" x14ac:dyDescent="0.25">
      <c r="A47" s="52" t="s">
        <v>194</v>
      </c>
      <c r="B47" s="45" t="str">
        <f>'дод 4'!A136</f>
        <v>8110</v>
      </c>
      <c r="C47" s="45" t="str">
        <f>'дод 4'!B136</f>
        <v>0320</v>
      </c>
      <c r="D47" s="22" t="str">
        <f>'дод 4'!C136</f>
        <v>Заходи із запобігання та ліквідації надзвичайних ситуацій та наслідків стихійного лиха</v>
      </c>
      <c r="E47" s="69">
        <f t="shared" si="7"/>
        <v>584500</v>
      </c>
      <c r="F47" s="69">
        <f>284500+300000</f>
        <v>584500</v>
      </c>
      <c r="G47" s="69"/>
      <c r="H47" s="69">
        <v>7500</v>
      </c>
      <c r="I47" s="69"/>
      <c r="J47" s="69">
        <f t="shared" si="9"/>
        <v>2299600</v>
      </c>
      <c r="K47" s="69">
        <f>2159600+140000</f>
        <v>2299600</v>
      </c>
      <c r="L47" s="69"/>
      <c r="M47" s="69"/>
      <c r="N47" s="69"/>
      <c r="O47" s="69">
        <f>2159600+140000</f>
        <v>2299600</v>
      </c>
      <c r="P47" s="69">
        <f t="shared" si="8"/>
        <v>2884100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</row>
    <row r="48" spans="1:529" s="23" customFormat="1" ht="19.5" customHeight="1" x14ac:dyDescent="0.25">
      <c r="A48" s="52" t="s">
        <v>264</v>
      </c>
      <c r="B48" s="45" t="str">
        <f>'дод 4'!A137</f>
        <v>8120</v>
      </c>
      <c r="C48" s="45" t="str">
        <f>'дод 4'!B137</f>
        <v>0320</v>
      </c>
      <c r="D48" s="22" t="str">
        <f>'дод 4'!C137</f>
        <v>Заходи з організації рятування на водах</v>
      </c>
      <c r="E48" s="69">
        <f t="shared" si="7"/>
        <v>2030270</v>
      </c>
      <c r="F48" s="69">
        <f>1892080+19210+32020+78970+7990</f>
        <v>2030270</v>
      </c>
      <c r="G48" s="69">
        <v>1542220</v>
      </c>
      <c r="H48" s="69">
        <v>79880</v>
      </c>
      <c r="I48" s="69"/>
      <c r="J48" s="69">
        <f t="shared" si="9"/>
        <v>5500</v>
      </c>
      <c r="K48" s="69"/>
      <c r="L48" s="69">
        <v>5500</v>
      </c>
      <c r="M48" s="69"/>
      <c r="N48" s="69">
        <v>1400</v>
      </c>
      <c r="O48" s="69"/>
      <c r="P48" s="69">
        <f t="shared" si="8"/>
        <v>2035770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</row>
    <row r="49" spans="1:529" s="23" customFormat="1" ht="21.75" customHeight="1" x14ac:dyDescent="0.25">
      <c r="A49" s="52" t="s">
        <v>285</v>
      </c>
      <c r="B49" s="45" t="str">
        <f>'дод 4'!A139</f>
        <v>8230</v>
      </c>
      <c r="C49" s="45" t="str">
        <f>'дод 4'!B139</f>
        <v>0380</v>
      </c>
      <c r="D49" s="22" t="str">
        <f>'дод 4'!C139</f>
        <v>Інші заходи громадського порядку та безпеки</v>
      </c>
      <c r="E49" s="69">
        <f t="shared" si="7"/>
        <v>683360</v>
      </c>
      <c r="F49" s="69">
        <v>683360</v>
      </c>
      <c r="G49" s="69"/>
      <c r="H49" s="69">
        <v>278160</v>
      </c>
      <c r="I49" s="69"/>
      <c r="J49" s="69">
        <f t="shared" si="9"/>
        <v>0</v>
      </c>
      <c r="K49" s="69"/>
      <c r="L49" s="69"/>
      <c r="M49" s="69"/>
      <c r="N49" s="69"/>
      <c r="O49" s="69"/>
      <c r="P49" s="69">
        <f t="shared" si="8"/>
        <v>683360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</row>
    <row r="50" spans="1:529" s="23" customFormat="1" ht="23.25" customHeight="1" x14ac:dyDescent="0.25">
      <c r="A50" s="43" t="s">
        <v>195</v>
      </c>
      <c r="B50" s="44" t="str">
        <f>'дод 4'!A142</f>
        <v>8340</v>
      </c>
      <c r="C50" s="44" t="str">
        <f>'дод 4'!B142</f>
        <v>0540</v>
      </c>
      <c r="D50" s="24" t="str">
        <f>'дод 4'!C142</f>
        <v>Природоохоронні заходи за рахунок цільових фондів</v>
      </c>
      <c r="E50" s="69">
        <f t="shared" si="7"/>
        <v>0</v>
      </c>
      <c r="F50" s="69"/>
      <c r="G50" s="69"/>
      <c r="H50" s="69"/>
      <c r="I50" s="69"/>
      <c r="J50" s="69">
        <f t="shared" si="9"/>
        <v>264000</v>
      </c>
      <c r="K50" s="69"/>
      <c r="L50" s="69">
        <v>264000</v>
      </c>
      <c r="M50" s="69"/>
      <c r="N50" s="69"/>
      <c r="O50" s="69"/>
      <c r="P50" s="69">
        <f t="shared" si="8"/>
        <v>264000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</row>
    <row r="51" spans="1:529" s="23" customFormat="1" ht="26.25" customHeight="1" x14ac:dyDescent="0.25">
      <c r="A51" s="52" t="s">
        <v>296</v>
      </c>
      <c r="B51" s="45" t="str">
        <f>'дод 4'!A144</f>
        <v>8420</v>
      </c>
      <c r="C51" s="45" t="str">
        <f>'дод 4'!B144</f>
        <v>0830</v>
      </c>
      <c r="D51" s="22" t="str">
        <f>'дод 4'!C144</f>
        <v>Інші заходи у сфері засобів масової інформації</v>
      </c>
      <c r="E51" s="69">
        <f t="shared" si="7"/>
        <v>100000</v>
      </c>
      <c r="F51" s="69">
        <v>100000</v>
      </c>
      <c r="G51" s="69"/>
      <c r="H51" s="69"/>
      <c r="I51" s="69"/>
      <c r="J51" s="69">
        <f t="shared" si="9"/>
        <v>0</v>
      </c>
      <c r="K51" s="69"/>
      <c r="L51" s="69"/>
      <c r="M51" s="69"/>
      <c r="N51" s="69"/>
      <c r="O51" s="69"/>
      <c r="P51" s="69">
        <f t="shared" si="8"/>
        <v>100000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</row>
    <row r="52" spans="1:529" s="31" customFormat="1" ht="23.25" customHeight="1" x14ac:dyDescent="0.2">
      <c r="A52" s="88" t="s">
        <v>196</v>
      </c>
      <c r="B52" s="72"/>
      <c r="C52" s="72"/>
      <c r="D52" s="30" t="s">
        <v>34</v>
      </c>
      <c r="E52" s="66">
        <f>E53</f>
        <v>969588759</v>
      </c>
      <c r="F52" s="66">
        <f t="shared" ref="F52:J52" si="10">F53</f>
        <v>969588759</v>
      </c>
      <c r="G52" s="66">
        <f t="shared" si="10"/>
        <v>651436327</v>
      </c>
      <c r="H52" s="66">
        <f t="shared" si="10"/>
        <v>81257931</v>
      </c>
      <c r="I52" s="66">
        <f t="shared" si="10"/>
        <v>0</v>
      </c>
      <c r="J52" s="66">
        <f t="shared" si="10"/>
        <v>89496727.549999997</v>
      </c>
      <c r="K52" s="66">
        <f t="shared" ref="K52" si="11">K53</f>
        <v>35780219.549999997</v>
      </c>
      <c r="L52" s="66">
        <f t="shared" ref="L52" si="12">L53</f>
        <v>53527508</v>
      </c>
      <c r="M52" s="66">
        <f t="shared" ref="M52" si="13">M53</f>
        <v>4208876</v>
      </c>
      <c r="N52" s="66">
        <f t="shared" ref="N52" si="14">N53</f>
        <v>3124191</v>
      </c>
      <c r="O52" s="66">
        <f t="shared" ref="O52:P52" si="15">O53</f>
        <v>35969219.549999997</v>
      </c>
      <c r="P52" s="66">
        <f t="shared" si="15"/>
        <v>1059085486.55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  <c r="IW52" s="38"/>
      <c r="IX52" s="38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38"/>
      <c r="NJ52" s="38"/>
      <c r="NK52" s="38"/>
      <c r="NL52" s="38"/>
      <c r="NM52" s="38"/>
      <c r="NN52" s="38"/>
      <c r="NO52" s="38"/>
      <c r="NP52" s="38"/>
      <c r="NQ52" s="38"/>
      <c r="NR52" s="38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38"/>
      <c r="SD52" s="38"/>
      <c r="SE52" s="38"/>
      <c r="SF52" s="38"/>
      <c r="SG52" s="38"/>
      <c r="SH52" s="38"/>
      <c r="SI52" s="38"/>
      <c r="SJ52" s="38"/>
      <c r="SK52" s="38"/>
      <c r="SL52" s="38"/>
      <c r="SM52" s="38"/>
      <c r="SN52" s="38"/>
      <c r="SO52" s="38"/>
      <c r="SP52" s="38"/>
      <c r="SQ52" s="38"/>
      <c r="SR52" s="38"/>
      <c r="SS52" s="38"/>
      <c r="ST52" s="38"/>
      <c r="SU52" s="38"/>
      <c r="SV52" s="38"/>
      <c r="SW52" s="38"/>
      <c r="SX52" s="38"/>
      <c r="SY52" s="38"/>
      <c r="SZ52" s="38"/>
      <c r="TA52" s="38"/>
      <c r="TB52" s="38"/>
      <c r="TC52" s="38"/>
      <c r="TD52" s="38"/>
      <c r="TE52" s="38"/>
      <c r="TF52" s="38"/>
      <c r="TG52" s="38"/>
      <c r="TH52" s="38"/>
      <c r="TI52" s="38"/>
    </row>
    <row r="53" spans="1:529" s="40" customFormat="1" ht="26.25" customHeight="1" x14ac:dyDescent="0.25">
      <c r="A53" s="89" t="s">
        <v>197</v>
      </c>
      <c r="B53" s="73"/>
      <c r="C53" s="73"/>
      <c r="D53" s="33" t="s">
        <v>34</v>
      </c>
      <c r="E53" s="68">
        <f>E55+E56+E58+E60+E62+E63+E65+E66+E67+E68+E70+E71+E72+E73+E74+E76+E77+E78</f>
        <v>969588759</v>
      </c>
      <c r="F53" s="68">
        <f t="shared" ref="F53:P53" si="16">F55+F56+F58+F60+F62+F63+F65+F66+F67+F68+F70+F71+F72+F73+F74+F76+F77+F78</f>
        <v>969588759</v>
      </c>
      <c r="G53" s="68">
        <f t="shared" si="16"/>
        <v>651436327</v>
      </c>
      <c r="H53" s="68">
        <f t="shared" si="16"/>
        <v>81257931</v>
      </c>
      <c r="I53" s="68">
        <f t="shared" si="16"/>
        <v>0</v>
      </c>
      <c r="J53" s="68">
        <f t="shared" si="16"/>
        <v>89496727.549999997</v>
      </c>
      <c r="K53" s="68">
        <f t="shared" si="16"/>
        <v>35780219.549999997</v>
      </c>
      <c r="L53" s="68">
        <f t="shared" si="16"/>
        <v>53527508</v>
      </c>
      <c r="M53" s="68">
        <f t="shared" si="16"/>
        <v>4208876</v>
      </c>
      <c r="N53" s="68">
        <f t="shared" si="16"/>
        <v>3124191</v>
      </c>
      <c r="O53" s="68">
        <f t="shared" si="16"/>
        <v>35969219.549999997</v>
      </c>
      <c r="P53" s="68">
        <f t="shared" si="16"/>
        <v>1059085486.55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39"/>
      <c r="RH53" s="39"/>
      <c r="RI53" s="39"/>
      <c r="RJ53" s="39"/>
      <c r="RK53" s="39"/>
      <c r="RL53" s="39"/>
      <c r="RM53" s="39"/>
      <c r="RN53" s="39"/>
      <c r="RO53" s="39"/>
      <c r="RP53" s="39"/>
      <c r="RQ53" s="39"/>
      <c r="RR53" s="39"/>
      <c r="RS53" s="39"/>
      <c r="RT53" s="39"/>
      <c r="RU53" s="39"/>
      <c r="RV53" s="39"/>
      <c r="RW53" s="39"/>
      <c r="RX53" s="39"/>
      <c r="RY53" s="39"/>
      <c r="RZ53" s="39"/>
      <c r="SA53" s="39"/>
      <c r="SB53" s="39"/>
      <c r="SC53" s="39"/>
      <c r="SD53" s="39"/>
      <c r="SE53" s="39"/>
      <c r="SF53" s="39"/>
      <c r="SG53" s="39"/>
      <c r="SH53" s="39"/>
      <c r="SI53" s="39"/>
      <c r="SJ53" s="39"/>
      <c r="SK53" s="39"/>
      <c r="SL53" s="39"/>
      <c r="SM53" s="39"/>
      <c r="SN53" s="39"/>
      <c r="SO53" s="39"/>
      <c r="SP53" s="39"/>
      <c r="SQ53" s="39"/>
      <c r="SR53" s="39"/>
      <c r="SS53" s="39"/>
      <c r="ST53" s="39"/>
      <c r="SU53" s="39"/>
      <c r="SV53" s="39"/>
      <c r="SW53" s="39"/>
      <c r="SX53" s="39"/>
      <c r="SY53" s="39"/>
      <c r="SZ53" s="39"/>
      <c r="TA53" s="39"/>
      <c r="TB53" s="39"/>
      <c r="TC53" s="39"/>
      <c r="TD53" s="39"/>
      <c r="TE53" s="39"/>
      <c r="TF53" s="39"/>
      <c r="TG53" s="39"/>
      <c r="TH53" s="39"/>
      <c r="TI53" s="39"/>
    </row>
    <row r="54" spans="1:529" s="40" customFormat="1" ht="18.75" customHeight="1" x14ac:dyDescent="0.25">
      <c r="A54" s="89"/>
      <c r="B54" s="73"/>
      <c r="C54" s="73"/>
      <c r="D54" s="33" t="s">
        <v>308</v>
      </c>
      <c r="E54" s="68">
        <f>E59++E61+E64+E57+E69+E75</f>
        <v>382256478</v>
      </c>
      <c r="F54" s="68">
        <f t="shared" ref="F54:P54" si="17">F59++F61+F64+F57+F69+F75</f>
        <v>382256478</v>
      </c>
      <c r="G54" s="68">
        <f t="shared" si="17"/>
        <v>307191100</v>
      </c>
      <c r="H54" s="68">
        <f t="shared" si="17"/>
        <v>0</v>
      </c>
      <c r="I54" s="68">
        <f t="shared" si="17"/>
        <v>0</v>
      </c>
      <c r="J54" s="68">
        <f>J59++J61+J64+J57+J69+J75</f>
        <v>1736617.55</v>
      </c>
      <c r="K54" s="68">
        <f t="shared" si="17"/>
        <v>1736617.55</v>
      </c>
      <c r="L54" s="68">
        <f t="shared" si="17"/>
        <v>0</v>
      </c>
      <c r="M54" s="68">
        <f t="shared" si="17"/>
        <v>0</v>
      </c>
      <c r="N54" s="68">
        <f t="shared" si="17"/>
        <v>0</v>
      </c>
      <c r="O54" s="68">
        <f t="shared" si="17"/>
        <v>1736617.55</v>
      </c>
      <c r="P54" s="68">
        <f t="shared" si="17"/>
        <v>383993095.55000001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  <c r="KK54" s="39"/>
      <c r="KL54" s="39"/>
      <c r="KM54" s="39"/>
      <c r="KN54" s="39"/>
      <c r="KO54" s="39"/>
      <c r="KP54" s="39"/>
      <c r="KQ54" s="39"/>
      <c r="KR54" s="39"/>
      <c r="KS54" s="39"/>
      <c r="KT54" s="39"/>
      <c r="KU54" s="39"/>
      <c r="KV54" s="39"/>
      <c r="KW54" s="39"/>
      <c r="KX54" s="39"/>
      <c r="KY54" s="39"/>
      <c r="KZ54" s="39"/>
      <c r="LA54" s="39"/>
      <c r="LB54" s="39"/>
      <c r="LC54" s="39"/>
      <c r="LD54" s="39"/>
      <c r="LE54" s="39"/>
      <c r="LF54" s="39"/>
      <c r="LG54" s="39"/>
      <c r="LH54" s="39"/>
      <c r="LI54" s="39"/>
      <c r="LJ54" s="39"/>
      <c r="LK54" s="39"/>
      <c r="LL54" s="39"/>
      <c r="LM54" s="39"/>
      <c r="LN54" s="39"/>
      <c r="LO54" s="39"/>
      <c r="LP54" s="39"/>
      <c r="LQ54" s="39"/>
      <c r="LR54" s="39"/>
      <c r="LS54" s="39"/>
      <c r="LT54" s="39"/>
      <c r="LU54" s="39"/>
      <c r="LV54" s="39"/>
      <c r="LW54" s="39"/>
      <c r="LX54" s="39"/>
      <c r="LY54" s="39"/>
      <c r="LZ54" s="39"/>
      <c r="MA54" s="39"/>
      <c r="MB54" s="39"/>
      <c r="MC54" s="39"/>
      <c r="MD54" s="39"/>
      <c r="ME54" s="39"/>
      <c r="MF54" s="39"/>
      <c r="MG54" s="39"/>
      <c r="MH54" s="39"/>
      <c r="MI54" s="39"/>
      <c r="MJ54" s="39"/>
      <c r="MK54" s="39"/>
      <c r="ML54" s="39"/>
      <c r="MM54" s="39"/>
      <c r="MN54" s="39"/>
      <c r="MO54" s="39"/>
      <c r="MP54" s="39"/>
      <c r="MQ54" s="39"/>
      <c r="MR54" s="39"/>
      <c r="MS54" s="39"/>
      <c r="MT54" s="39"/>
      <c r="MU54" s="39"/>
      <c r="MV54" s="39"/>
      <c r="MW54" s="39"/>
      <c r="MX54" s="39"/>
      <c r="MY54" s="39"/>
      <c r="MZ54" s="39"/>
      <c r="NA54" s="39"/>
      <c r="NB54" s="39"/>
      <c r="NC54" s="39"/>
      <c r="ND54" s="39"/>
      <c r="NE54" s="39"/>
      <c r="NF54" s="39"/>
      <c r="NG54" s="39"/>
      <c r="NH54" s="39"/>
      <c r="NI54" s="39"/>
      <c r="NJ54" s="39"/>
      <c r="NK54" s="39"/>
      <c r="NL54" s="39"/>
      <c r="NM54" s="39"/>
      <c r="NN54" s="39"/>
      <c r="NO54" s="39"/>
      <c r="NP54" s="39"/>
      <c r="NQ54" s="39"/>
      <c r="NR54" s="39"/>
      <c r="NS54" s="39"/>
      <c r="NT54" s="39"/>
      <c r="NU54" s="39"/>
      <c r="NV54" s="39"/>
      <c r="NW54" s="39"/>
      <c r="NX54" s="39"/>
      <c r="NY54" s="39"/>
      <c r="NZ54" s="39"/>
      <c r="OA54" s="39"/>
      <c r="OB54" s="39"/>
      <c r="OC54" s="39"/>
      <c r="OD54" s="39"/>
      <c r="OE54" s="39"/>
      <c r="OF54" s="39"/>
      <c r="OG54" s="39"/>
      <c r="OH54" s="39"/>
      <c r="OI54" s="39"/>
      <c r="OJ54" s="39"/>
      <c r="OK54" s="39"/>
      <c r="OL54" s="39"/>
      <c r="OM54" s="39"/>
      <c r="ON54" s="39"/>
      <c r="OO54" s="39"/>
      <c r="OP54" s="39"/>
      <c r="OQ54" s="39"/>
      <c r="OR54" s="39"/>
      <c r="OS54" s="39"/>
      <c r="OT54" s="39"/>
      <c r="OU54" s="39"/>
      <c r="OV54" s="39"/>
      <c r="OW54" s="39"/>
      <c r="OX54" s="39"/>
      <c r="OY54" s="39"/>
      <c r="OZ54" s="39"/>
      <c r="PA54" s="39"/>
      <c r="PB54" s="39"/>
      <c r="PC54" s="39"/>
      <c r="PD54" s="39"/>
      <c r="PE54" s="39"/>
      <c r="PF54" s="39"/>
      <c r="PG54" s="39"/>
      <c r="PH54" s="39"/>
      <c r="PI54" s="39"/>
      <c r="PJ54" s="39"/>
      <c r="PK54" s="39"/>
      <c r="PL54" s="39"/>
      <c r="PM54" s="39"/>
      <c r="PN54" s="39"/>
      <c r="PO54" s="39"/>
      <c r="PP54" s="39"/>
      <c r="PQ54" s="39"/>
      <c r="PR54" s="39"/>
      <c r="PS54" s="39"/>
      <c r="PT54" s="39"/>
      <c r="PU54" s="39"/>
      <c r="PV54" s="39"/>
      <c r="PW54" s="39"/>
      <c r="PX54" s="39"/>
      <c r="PY54" s="39"/>
      <c r="PZ54" s="39"/>
      <c r="QA54" s="39"/>
      <c r="QB54" s="39"/>
      <c r="QC54" s="39"/>
      <c r="QD54" s="39"/>
      <c r="QE54" s="39"/>
      <c r="QF54" s="39"/>
      <c r="QG54" s="39"/>
      <c r="QH54" s="39"/>
      <c r="QI54" s="39"/>
      <c r="QJ54" s="39"/>
      <c r="QK54" s="39"/>
      <c r="QL54" s="39"/>
      <c r="QM54" s="39"/>
      <c r="QN54" s="39"/>
      <c r="QO54" s="39"/>
      <c r="QP54" s="39"/>
      <c r="QQ54" s="39"/>
      <c r="QR54" s="39"/>
      <c r="QS54" s="39"/>
      <c r="QT54" s="39"/>
      <c r="QU54" s="39"/>
      <c r="QV54" s="39"/>
      <c r="QW54" s="39"/>
      <c r="QX54" s="39"/>
      <c r="QY54" s="39"/>
      <c r="QZ54" s="39"/>
      <c r="RA54" s="39"/>
      <c r="RB54" s="39"/>
      <c r="RC54" s="39"/>
      <c r="RD54" s="39"/>
      <c r="RE54" s="39"/>
      <c r="RF54" s="39"/>
      <c r="RG54" s="39"/>
      <c r="RH54" s="39"/>
      <c r="RI54" s="39"/>
      <c r="RJ54" s="39"/>
      <c r="RK54" s="39"/>
      <c r="RL54" s="39"/>
      <c r="RM54" s="39"/>
      <c r="RN54" s="39"/>
      <c r="RO54" s="39"/>
      <c r="RP54" s="39"/>
      <c r="RQ54" s="39"/>
      <c r="RR54" s="39"/>
      <c r="RS54" s="39"/>
      <c r="RT54" s="39"/>
      <c r="RU54" s="39"/>
      <c r="RV54" s="39"/>
      <c r="RW54" s="39"/>
      <c r="RX54" s="39"/>
      <c r="RY54" s="39"/>
      <c r="RZ54" s="39"/>
      <c r="SA54" s="39"/>
      <c r="SB54" s="39"/>
      <c r="SC54" s="39"/>
      <c r="SD54" s="39"/>
      <c r="SE54" s="39"/>
      <c r="SF54" s="39"/>
      <c r="SG54" s="39"/>
      <c r="SH54" s="39"/>
      <c r="SI54" s="39"/>
      <c r="SJ54" s="39"/>
      <c r="SK54" s="39"/>
      <c r="SL54" s="39"/>
      <c r="SM54" s="39"/>
      <c r="SN54" s="39"/>
      <c r="SO54" s="39"/>
      <c r="SP54" s="39"/>
      <c r="SQ54" s="39"/>
      <c r="SR54" s="39"/>
      <c r="SS54" s="39"/>
      <c r="ST54" s="39"/>
      <c r="SU54" s="39"/>
      <c r="SV54" s="39"/>
      <c r="SW54" s="39"/>
      <c r="SX54" s="39"/>
      <c r="SY54" s="39"/>
      <c r="SZ54" s="39"/>
      <c r="TA54" s="39"/>
      <c r="TB54" s="39"/>
      <c r="TC54" s="39"/>
      <c r="TD54" s="39"/>
      <c r="TE54" s="39"/>
      <c r="TF54" s="39"/>
      <c r="TG54" s="39"/>
      <c r="TH54" s="39"/>
      <c r="TI54" s="39"/>
    </row>
    <row r="55" spans="1:529" s="23" customFormat="1" ht="46.5" customHeight="1" x14ac:dyDescent="0.25">
      <c r="A55" s="43" t="s">
        <v>198</v>
      </c>
      <c r="B55" s="44" t="str">
        <f>'дод 4'!A20</f>
        <v>0160</v>
      </c>
      <c r="C55" s="44" t="str">
        <f>'дод 4'!B20</f>
        <v>0111</v>
      </c>
      <c r="D55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55" s="69">
        <f t="shared" ref="E55:E78" si="18">F55+I55</f>
        <v>3547900</v>
      </c>
      <c r="F55" s="69">
        <f>3470000+3900-161800+242800-7000</f>
        <v>3547900</v>
      </c>
      <c r="G55" s="69">
        <f>2711100-132600-5700</f>
        <v>2572800</v>
      </c>
      <c r="H55" s="69">
        <v>48700</v>
      </c>
      <c r="I55" s="69"/>
      <c r="J55" s="69">
        <f>L55+O55</f>
        <v>0</v>
      </c>
      <c r="K55" s="69"/>
      <c r="L55" s="69"/>
      <c r="M55" s="69"/>
      <c r="N55" s="69"/>
      <c r="O55" s="69"/>
      <c r="P55" s="69">
        <f t="shared" ref="P55:P78" si="19">E55+J55</f>
        <v>3547900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</row>
    <row r="56" spans="1:529" s="23" customFormat="1" ht="21.75" customHeight="1" x14ac:dyDescent="0.25">
      <c r="A56" s="43" t="s">
        <v>199</v>
      </c>
      <c r="B56" s="44" t="str">
        <f>'дод 4'!A24</f>
        <v>1010</v>
      </c>
      <c r="C56" s="44" t="str">
        <f>'дод 4'!B24</f>
        <v>0910</v>
      </c>
      <c r="D56" s="24" t="str">
        <f>'дод 4'!C24</f>
        <v>Надання дошкільної освіти</v>
      </c>
      <c r="E56" s="69">
        <f t="shared" si="18"/>
        <v>243244632</v>
      </c>
      <c r="F56" s="69">
        <f>244339090+176336+1322957+112300-3000000-13457+307406</f>
        <v>243244632</v>
      </c>
      <c r="G56" s="69">
        <f>159350000+144540-11030</f>
        <v>159483510</v>
      </c>
      <c r="H56" s="69">
        <v>26923940</v>
      </c>
      <c r="I56" s="69"/>
      <c r="J56" s="69">
        <f>L56+O56</f>
        <v>22916603</v>
      </c>
      <c r="K56" s="69">
        <f>4200000+500000+88136+760000+703043+347304-7536</f>
        <v>6590947</v>
      </c>
      <c r="L56" s="69">
        <v>16325656</v>
      </c>
      <c r="M56" s="69"/>
      <c r="N56" s="69"/>
      <c r="O56" s="69">
        <f>4200000+500000+88136+760000+703043+347304-7536</f>
        <v>6590947</v>
      </c>
      <c r="P56" s="69">
        <f t="shared" si="19"/>
        <v>266161235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</row>
    <row r="57" spans="1:529" s="23" customFormat="1" ht="21.75" customHeight="1" x14ac:dyDescent="0.25">
      <c r="A57" s="43"/>
      <c r="B57" s="44"/>
      <c r="C57" s="44"/>
      <c r="D57" s="22" t="s">
        <v>308</v>
      </c>
      <c r="E57" s="69">
        <f t="shared" si="18"/>
        <v>162879</v>
      </c>
      <c r="F57" s="69">
        <f>176336-13457</f>
        <v>162879</v>
      </c>
      <c r="G57" s="69">
        <f>144540-11030</f>
        <v>133510</v>
      </c>
      <c r="H57" s="69"/>
      <c r="I57" s="69"/>
      <c r="J57" s="69">
        <f>L57+O57</f>
        <v>80600</v>
      </c>
      <c r="K57" s="69">
        <f>88136-7536</f>
        <v>80600</v>
      </c>
      <c r="L57" s="69"/>
      <c r="M57" s="69"/>
      <c r="N57" s="69"/>
      <c r="O57" s="69">
        <f>88136-7536</f>
        <v>80600</v>
      </c>
      <c r="P57" s="69">
        <f t="shared" si="19"/>
        <v>243479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</row>
    <row r="58" spans="1:529" s="23" customFormat="1" ht="54" customHeight="1" x14ac:dyDescent="0.25">
      <c r="A58" s="43" t="s">
        <v>200</v>
      </c>
      <c r="B58" s="44" t="str">
        <f>'дод 4'!A26</f>
        <v>1020</v>
      </c>
      <c r="C58" s="44" t="str">
        <f>'дод 4'!B26</f>
        <v>0921</v>
      </c>
      <c r="D58" s="24" t="str">
        <f>'дод 4'!C26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E58" s="69">
        <f t="shared" si="18"/>
        <v>539963903</v>
      </c>
      <c r="F58" s="69">
        <f>533365430-2738900+2738900-50000+2067000+1396248+800+1533444+15313000-11301200+106000+50000+70000+213600-7000000+208752+5996529+274015-25839-2303876+50000</f>
        <v>539963903</v>
      </c>
      <c r="G58" s="69">
        <f>373446500+1144470+657+12572250-9278430+171100</f>
        <v>378056547</v>
      </c>
      <c r="H58" s="69">
        <f>40458440-2303876</f>
        <v>38154564</v>
      </c>
      <c r="I58" s="69"/>
      <c r="J58" s="69">
        <f t="shared" ref="J58:J78" si="20">L58+O58</f>
        <v>53104835.640000001</v>
      </c>
      <c r="K58" s="69">
        <f>11599400+2199897+739872+3050000+2916586+700000-106000-7502.36+202738-76472+742539+19558-21229+2283702-50000</f>
        <v>24193088.640000001</v>
      </c>
      <c r="L58" s="69">
        <v>28911747</v>
      </c>
      <c r="M58" s="69">
        <v>1713303</v>
      </c>
      <c r="N58" s="69">
        <v>147329</v>
      </c>
      <c r="O58" s="69">
        <f>11599400+2199897+739872+3050000+2916586+700000-106000-7502.36+202738-76472+742539+19558-21229+2283702-50000</f>
        <v>24193088.640000001</v>
      </c>
      <c r="P58" s="69">
        <f t="shared" si="19"/>
        <v>593068738.63999999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</row>
    <row r="59" spans="1:529" s="23" customFormat="1" x14ac:dyDescent="0.25">
      <c r="A59" s="43"/>
      <c r="B59" s="44"/>
      <c r="C59" s="44"/>
      <c r="D59" s="22" t="s">
        <v>308</v>
      </c>
      <c r="E59" s="69">
        <f t="shared" si="18"/>
        <v>356792090</v>
      </c>
      <c r="F59" s="69">
        <f>331836400+2067000+1396248+15313000+208752+5996529-25839</f>
        <v>356792090</v>
      </c>
      <c r="G59" s="69">
        <f>272443700+1144470+12572250+171100</f>
        <v>286331520</v>
      </c>
      <c r="H59" s="69"/>
      <c r="I59" s="69"/>
      <c r="J59" s="69">
        <f t="shared" si="20"/>
        <v>1384710</v>
      </c>
      <c r="K59" s="69">
        <f>739872-76472+742539-21229</f>
        <v>1384710</v>
      </c>
      <c r="L59" s="69"/>
      <c r="M59" s="69"/>
      <c r="N59" s="69"/>
      <c r="O59" s="69">
        <f>739872+742539-76472-21229</f>
        <v>1384710</v>
      </c>
      <c r="P59" s="69">
        <f t="shared" si="19"/>
        <v>358176800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6"/>
      <c r="NI59" s="26"/>
      <c r="NJ59" s="26"/>
      <c r="NK59" s="26"/>
      <c r="NL59" s="26"/>
      <c r="NM59" s="26"/>
      <c r="NN59" s="26"/>
      <c r="NO59" s="26"/>
      <c r="NP59" s="26"/>
      <c r="NQ59" s="26"/>
      <c r="NR59" s="26"/>
      <c r="NS59" s="26"/>
      <c r="NT59" s="26"/>
      <c r="NU59" s="26"/>
      <c r="NV59" s="26"/>
      <c r="NW59" s="26"/>
      <c r="NX59" s="26"/>
      <c r="NY59" s="26"/>
      <c r="NZ59" s="26"/>
      <c r="OA59" s="26"/>
      <c r="OB59" s="26"/>
      <c r="OC59" s="26"/>
      <c r="OD59" s="26"/>
      <c r="OE59" s="26"/>
      <c r="OF59" s="26"/>
      <c r="OG59" s="26"/>
      <c r="OH59" s="26"/>
      <c r="OI59" s="26"/>
      <c r="OJ59" s="26"/>
      <c r="OK59" s="26"/>
      <c r="OL59" s="26"/>
      <c r="OM59" s="26"/>
      <c r="ON59" s="26"/>
      <c r="OO59" s="26"/>
      <c r="OP59" s="26"/>
      <c r="OQ59" s="26"/>
      <c r="OR59" s="26"/>
      <c r="OS59" s="26"/>
      <c r="OT59" s="26"/>
      <c r="OU59" s="26"/>
      <c r="OV59" s="26"/>
      <c r="OW59" s="26"/>
      <c r="OX59" s="26"/>
      <c r="OY59" s="26"/>
      <c r="OZ59" s="26"/>
      <c r="PA59" s="26"/>
      <c r="PB59" s="26"/>
      <c r="PC59" s="26"/>
      <c r="PD59" s="26"/>
      <c r="PE59" s="26"/>
      <c r="PF59" s="26"/>
      <c r="PG59" s="26"/>
      <c r="PH59" s="26"/>
      <c r="PI59" s="26"/>
      <c r="PJ59" s="26"/>
      <c r="PK59" s="26"/>
      <c r="PL59" s="26"/>
      <c r="PM59" s="26"/>
      <c r="PN59" s="26"/>
      <c r="PO59" s="26"/>
      <c r="PP59" s="26"/>
      <c r="PQ59" s="26"/>
      <c r="PR59" s="26"/>
      <c r="PS59" s="26"/>
      <c r="PT59" s="26"/>
      <c r="PU59" s="26"/>
      <c r="PV59" s="26"/>
      <c r="PW59" s="26"/>
      <c r="PX59" s="26"/>
      <c r="PY59" s="26"/>
      <c r="PZ59" s="26"/>
      <c r="QA59" s="26"/>
      <c r="QB59" s="26"/>
      <c r="QC59" s="26"/>
      <c r="QD59" s="26"/>
      <c r="QE59" s="26"/>
      <c r="QF59" s="26"/>
      <c r="QG59" s="26"/>
      <c r="QH59" s="26"/>
      <c r="QI59" s="26"/>
      <c r="QJ59" s="26"/>
      <c r="QK59" s="26"/>
      <c r="QL59" s="26"/>
      <c r="QM59" s="26"/>
      <c r="QN59" s="26"/>
      <c r="QO59" s="26"/>
      <c r="QP59" s="26"/>
      <c r="QQ59" s="26"/>
      <c r="QR59" s="26"/>
      <c r="QS59" s="26"/>
      <c r="QT59" s="26"/>
      <c r="QU59" s="26"/>
      <c r="QV59" s="26"/>
      <c r="QW59" s="26"/>
      <c r="QX59" s="26"/>
      <c r="QY59" s="26"/>
      <c r="QZ59" s="26"/>
      <c r="RA59" s="26"/>
      <c r="RB59" s="26"/>
      <c r="RC59" s="26"/>
      <c r="RD59" s="26"/>
      <c r="RE59" s="26"/>
      <c r="RF59" s="26"/>
      <c r="RG59" s="26"/>
      <c r="RH59" s="26"/>
      <c r="RI59" s="26"/>
      <c r="RJ59" s="26"/>
      <c r="RK59" s="26"/>
      <c r="RL59" s="26"/>
      <c r="RM59" s="26"/>
      <c r="RN59" s="26"/>
      <c r="RO59" s="26"/>
      <c r="RP59" s="26"/>
      <c r="RQ59" s="26"/>
      <c r="RR59" s="26"/>
      <c r="RS59" s="26"/>
      <c r="RT59" s="26"/>
      <c r="RU59" s="26"/>
      <c r="RV59" s="26"/>
      <c r="RW59" s="26"/>
      <c r="RX59" s="26"/>
      <c r="RY59" s="26"/>
      <c r="RZ59" s="26"/>
      <c r="SA59" s="26"/>
      <c r="SB59" s="26"/>
      <c r="SC59" s="26"/>
      <c r="SD59" s="26"/>
      <c r="SE59" s="26"/>
      <c r="SF59" s="26"/>
      <c r="SG59" s="26"/>
      <c r="SH59" s="26"/>
      <c r="SI59" s="26"/>
      <c r="SJ59" s="26"/>
      <c r="SK59" s="26"/>
      <c r="SL59" s="26"/>
      <c r="SM59" s="26"/>
      <c r="SN59" s="26"/>
      <c r="SO59" s="26"/>
      <c r="SP59" s="26"/>
      <c r="SQ59" s="26"/>
      <c r="SR59" s="26"/>
      <c r="SS59" s="26"/>
      <c r="ST59" s="26"/>
      <c r="SU59" s="26"/>
      <c r="SV59" s="26"/>
      <c r="SW59" s="26"/>
      <c r="SX59" s="26"/>
      <c r="SY59" s="26"/>
      <c r="SZ59" s="26"/>
      <c r="TA59" s="26"/>
      <c r="TB59" s="26"/>
      <c r="TC59" s="26"/>
      <c r="TD59" s="26"/>
      <c r="TE59" s="26"/>
      <c r="TF59" s="26"/>
      <c r="TG59" s="26"/>
      <c r="TH59" s="26"/>
      <c r="TI59" s="26"/>
    </row>
    <row r="60" spans="1:529" s="23" customFormat="1" ht="63.75" customHeight="1" x14ac:dyDescent="0.25">
      <c r="A60" s="43" t="s">
        <v>431</v>
      </c>
      <c r="B60" s="44">
        <f>'дод 4'!A28</f>
        <v>1030</v>
      </c>
      <c r="C60" s="44" t="str">
        <f>'дод 4'!B28</f>
        <v>0922</v>
      </c>
      <c r="D60" s="24" t="str">
        <f>'дод 4'!C28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60" s="69">
        <f t="shared" si="18"/>
        <v>9444719</v>
      </c>
      <c r="F60" s="69">
        <f>9152880+50000+110000+106000+25839</f>
        <v>9444719</v>
      </c>
      <c r="G60" s="69">
        <v>6532300</v>
      </c>
      <c r="H60" s="69">
        <v>709270</v>
      </c>
      <c r="I60" s="69">
        <v>0</v>
      </c>
      <c r="J60" s="69">
        <f t="shared" si="20"/>
        <v>213403</v>
      </c>
      <c r="K60" s="69">
        <f>150000+22000+20174+21229</f>
        <v>213403</v>
      </c>
      <c r="L60" s="69"/>
      <c r="M60" s="69"/>
      <c r="N60" s="69"/>
      <c r="O60" s="69">
        <f>150000+22000+20174+21229</f>
        <v>213403</v>
      </c>
      <c r="P60" s="69">
        <f t="shared" si="19"/>
        <v>9658122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</row>
    <row r="61" spans="1:529" s="23" customFormat="1" ht="17.25" customHeight="1" x14ac:dyDescent="0.25">
      <c r="A61" s="43"/>
      <c r="B61" s="44"/>
      <c r="C61" s="44"/>
      <c r="D61" s="22" t="s">
        <v>308</v>
      </c>
      <c r="E61" s="69">
        <f t="shared" si="18"/>
        <v>6240139</v>
      </c>
      <c r="F61" s="69">
        <f>6214300+25839</f>
        <v>6240139</v>
      </c>
      <c r="G61" s="69">
        <v>5102000</v>
      </c>
      <c r="H61" s="69">
        <v>0</v>
      </c>
      <c r="I61" s="69">
        <v>0</v>
      </c>
      <c r="J61" s="69">
        <f t="shared" si="20"/>
        <v>21229</v>
      </c>
      <c r="K61" s="69">
        <v>21229</v>
      </c>
      <c r="L61" s="69"/>
      <c r="M61" s="69"/>
      <c r="N61" s="69"/>
      <c r="O61" s="69">
        <v>21229</v>
      </c>
      <c r="P61" s="69">
        <f t="shared" si="19"/>
        <v>6261368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</row>
    <row r="62" spans="1:529" s="23" customFormat="1" ht="32.25" customHeight="1" x14ac:dyDescent="0.25">
      <c r="A62" s="43" t="s">
        <v>263</v>
      </c>
      <c r="B62" s="44" t="str">
        <f>'дод 4'!A30</f>
        <v>1090</v>
      </c>
      <c r="C62" s="44" t="str">
        <f>'дод 4'!B30</f>
        <v>0960</v>
      </c>
      <c r="D62" s="24" t="str">
        <f>'дод 4'!C30</f>
        <v>Надання позашкільної освіти закладами позашкільної освіти, заходи із позашкільної роботи з дітьми</v>
      </c>
      <c r="E62" s="69">
        <f t="shared" si="18"/>
        <v>28048440</v>
      </c>
      <c r="F62" s="69">
        <f>27792840+230600+25000</f>
        <v>28048440</v>
      </c>
      <c r="G62" s="69">
        <v>19715700</v>
      </c>
      <c r="H62" s="69">
        <v>3358190</v>
      </c>
      <c r="I62" s="69">
        <v>0</v>
      </c>
      <c r="J62" s="69">
        <f t="shared" si="20"/>
        <v>300000</v>
      </c>
      <c r="K62" s="69">
        <v>300000</v>
      </c>
      <c r="L62" s="69"/>
      <c r="M62" s="69"/>
      <c r="N62" s="69"/>
      <c r="O62" s="69">
        <v>300000</v>
      </c>
      <c r="P62" s="69">
        <f t="shared" si="19"/>
        <v>28348440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26"/>
      <c r="NG62" s="26"/>
      <c r="NH62" s="26"/>
      <c r="NI62" s="26"/>
      <c r="NJ62" s="26"/>
      <c r="NK62" s="26"/>
      <c r="NL62" s="26"/>
      <c r="NM62" s="26"/>
      <c r="NN62" s="26"/>
      <c r="NO62" s="26"/>
      <c r="NP62" s="26"/>
      <c r="NQ62" s="26"/>
      <c r="NR62" s="26"/>
      <c r="NS62" s="26"/>
      <c r="NT62" s="26"/>
      <c r="NU62" s="26"/>
      <c r="NV62" s="26"/>
      <c r="NW62" s="26"/>
      <c r="NX62" s="26"/>
      <c r="NY62" s="26"/>
      <c r="NZ62" s="26"/>
      <c r="OA62" s="26"/>
      <c r="OB62" s="26"/>
      <c r="OC62" s="26"/>
      <c r="OD62" s="26"/>
      <c r="OE62" s="26"/>
      <c r="OF62" s="26"/>
      <c r="OG62" s="26"/>
      <c r="OH62" s="26"/>
      <c r="OI62" s="26"/>
      <c r="OJ62" s="26"/>
      <c r="OK62" s="26"/>
      <c r="OL62" s="26"/>
      <c r="OM62" s="26"/>
      <c r="ON62" s="26"/>
      <c r="OO62" s="26"/>
      <c r="OP62" s="26"/>
      <c r="OQ62" s="26"/>
      <c r="OR62" s="26"/>
      <c r="OS62" s="26"/>
      <c r="OT62" s="26"/>
      <c r="OU62" s="26"/>
      <c r="OV62" s="26"/>
      <c r="OW62" s="26"/>
      <c r="OX62" s="26"/>
      <c r="OY62" s="26"/>
      <c r="OZ62" s="26"/>
      <c r="PA62" s="26"/>
      <c r="PB62" s="26"/>
      <c r="PC62" s="26"/>
      <c r="PD62" s="26"/>
      <c r="PE62" s="26"/>
      <c r="PF62" s="26"/>
      <c r="PG62" s="26"/>
      <c r="PH62" s="26"/>
      <c r="PI62" s="26"/>
      <c r="PJ62" s="26"/>
      <c r="PK62" s="26"/>
      <c r="PL62" s="26"/>
      <c r="PM62" s="26"/>
      <c r="PN62" s="26"/>
      <c r="PO62" s="26"/>
      <c r="PP62" s="26"/>
      <c r="PQ62" s="26"/>
      <c r="PR62" s="26"/>
      <c r="PS62" s="26"/>
      <c r="PT62" s="26"/>
      <c r="PU62" s="26"/>
      <c r="PV62" s="26"/>
      <c r="PW62" s="26"/>
      <c r="PX62" s="26"/>
      <c r="PY62" s="26"/>
      <c r="PZ62" s="26"/>
      <c r="QA62" s="26"/>
      <c r="QB62" s="26"/>
      <c r="QC62" s="26"/>
      <c r="QD62" s="26"/>
      <c r="QE62" s="26"/>
      <c r="QF62" s="26"/>
      <c r="QG62" s="26"/>
      <c r="QH62" s="26"/>
      <c r="QI62" s="26"/>
      <c r="QJ62" s="26"/>
      <c r="QK62" s="26"/>
      <c r="QL62" s="26"/>
      <c r="QM62" s="26"/>
      <c r="QN62" s="26"/>
      <c r="QO62" s="26"/>
      <c r="QP62" s="26"/>
      <c r="QQ62" s="26"/>
      <c r="QR62" s="26"/>
      <c r="QS62" s="26"/>
      <c r="QT62" s="26"/>
      <c r="QU62" s="26"/>
      <c r="QV62" s="26"/>
      <c r="QW62" s="26"/>
      <c r="QX62" s="26"/>
      <c r="QY62" s="26"/>
      <c r="QZ62" s="26"/>
      <c r="RA62" s="26"/>
      <c r="RB62" s="26"/>
      <c r="RC62" s="26"/>
      <c r="RD62" s="26"/>
      <c r="RE62" s="26"/>
      <c r="RF62" s="26"/>
      <c r="RG62" s="26"/>
      <c r="RH62" s="26"/>
      <c r="RI62" s="26"/>
      <c r="RJ62" s="26"/>
      <c r="RK62" s="26"/>
      <c r="RL62" s="26"/>
      <c r="RM62" s="26"/>
      <c r="RN62" s="26"/>
      <c r="RO62" s="26"/>
      <c r="RP62" s="26"/>
      <c r="RQ62" s="26"/>
      <c r="RR62" s="26"/>
      <c r="RS62" s="26"/>
      <c r="RT62" s="26"/>
      <c r="RU62" s="26"/>
      <c r="RV62" s="26"/>
      <c r="RW62" s="26"/>
      <c r="RX62" s="26"/>
      <c r="RY62" s="26"/>
      <c r="RZ62" s="26"/>
      <c r="SA62" s="26"/>
      <c r="SB62" s="26"/>
      <c r="SC62" s="26"/>
      <c r="SD62" s="26"/>
      <c r="SE62" s="26"/>
      <c r="SF62" s="26"/>
      <c r="SG62" s="26"/>
      <c r="SH62" s="26"/>
      <c r="SI62" s="26"/>
      <c r="SJ62" s="26"/>
      <c r="SK62" s="26"/>
      <c r="SL62" s="26"/>
      <c r="SM62" s="26"/>
      <c r="SN62" s="26"/>
      <c r="SO62" s="26"/>
      <c r="SP62" s="26"/>
      <c r="SQ62" s="26"/>
      <c r="SR62" s="26"/>
      <c r="SS62" s="26"/>
      <c r="ST62" s="26"/>
      <c r="SU62" s="26"/>
      <c r="SV62" s="26"/>
      <c r="SW62" s="26"/>
      <c r="SX62" s="26"/>
      <c r="SY62" s="26"/>
      <c r="SZ62" s="26"/>
      <c r="TA62" s="26"/>
      <c r="TB62" s="26"/>
      <c r="TC62" s="26"/>
      <c r="TD62" s="26"/>
      <c r="TE62" s="26"/>
      <c r="TF62" s="26"/>
      <c r="TG62" s="26"/>
      <c r="TH62" s="26"/>
      <c r="TI62" s="26"/>
    </row>
    <row r="63" spans="1:529" s="23" customFormat="1" ht="33.75" customHeight="1" x14ac:dyDescent="0.25">
      <c r="A63" s="43" t="s">
        <v>262</v>
      </c>
      <c r="B63" s="44" t="str">
        <f>'дод 4'!A32</f>
        <v>1110</v>
      </c>
      <c r="C63" s="44" t="str">
        <f>'дод 4'!B32</f>
        <v>0930</v>
      </c>
      <c r="D63" s="24" t="str">
        <f>'дод 4'!C32</f>
        <v>Підготовка кадрів закладами професійної (професійно-технічної) освіти та іншими закладами освіти</v>
      </c>
      <c r="E63" s="69">
        <f t="shared" si="18"/>
        <v>116807900</v>
      </c>
      <c r="F63" s="69">
        <f>116310900-341000+217000+621000</f>
        <v>116807900</v>
      </c>
      <c r="G63" s="69">
        <v>69744500</v>
      </c>
      <c r="H63" s="69">
        <f>11348217-341000</f>
        <v>11007217</v>
      </c>
      <c r="I63" s="69"/>
      <c r="J63" s="69">
        <f t="shared" si="20"/>
        <v>8079105</v>
      </c>
      <c r="K63" s="69"/>
      <c r="L63" s="69">
        <v>7974105</v>
      </c>
      <c r="M63" s="69">
        <v>2495573</v>
      </c>
      <c r="N63" s="69">
        <v>2976862</v>
      </c>
      <c r="O63" s="69">
        <v>105000</v>
      </c>
      <c r="P63" s="69">
        <f t="shared" si="19"/>
        <v>124887005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</row>
    <row r="64" spans="1:529" s="23" customFormat="1" ht="15.75" customHeight="1" x14ac:dyDescent="0.25">
      <c r="A64" s="43"/>
      <c r="B64" s="44"/>
      <c r="C64" s="44"/>
      <c r="D64" s="22" t="s">
        <v>308</v>
      </c>
      <c r="E64" s="69">
        <f t="shared" si="18"/>
        <v>17825000</v>
      </c>
      <c r="F64" s="69">
        <v>17825000</v>
      </c>
      <c r="G64" s="69">
        <v>14610650</v>
      </c>
      <c r="H64" s="69"/>
      <c r="I64" s="69"/>
      <c r="J64" s="69">
        <f t="shared" si="20"/>
        <v>0</v>
      </c>
      <c r="K64" s="69"/>
      <c r="L64" s="69"/>
      <c r="M64" s="69"/>
      <c r="N64" s="69"/>
      <c r="O64" s="69"/>
      <c r="P64" s="69">
        <f t="shared" si="19"/>
        <v>17825000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</row>
    <row r="65" spans="1:529" s="23" customFormat="1" ht="21.75" customHeight="1" x14ac:dyDescent="0.25">
      <c r="A65" s="43" t="s">
        <v>201</v>
      </c>
      <c r="B65" s="44" t="str">
        <f>'дод 4'!A34</f>
        <v>1150</v>
      </c>
      <c r="C65" s="44" t="str">
        <f>'дод 4'!B34</f>
        <v>0990</v>
      </c>
      <c r="D65" s="24" t="str">
        <f>'дод 4'!C34</f>
        <v>Методичне забезпечення діяльності закладів освіти</v>
      </c>
      <c r="E65" s="69">
        <f t="shared" si="18"/>
        <v>2893730</v>
      </c>
      <c r="F65" s="69">
        <v>2893730</v>
      </c>
      <c r="G65" s="69">
        <v>2237500</v>
      </c>
      <c r="H65" s="69">
        <v>120380</v>
      </c>
      <c r="I65" s="69"/>
      <c r="J65" s="69">
        <f t="shared" si="20"/>
        <v>0</v>
      </c>
      <c r="K65" s="69"/>
      <c r="L65" s="69"/>
      <c r="M65" s="69"/>
      <c r="N65" s="69"/>
      <c r="O65" s="69"/>
      <c r="P65" s="69">
        <f t="shared" si="19"/>
        <v>2893730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</row>
    <row r="66" spans="1:529" s="23" customFormat="1" ht="16.5" customHeight="1" x14ac:dyDescent="0.25">
      <c r="A66" s="43" t="s">
        <v>357</v>
      </c>
      <c r="B66" s="44" t="str">
        <f>'дод 4'!A35</f>
        <v>1161</v>
      </c>
      <c r="C66" s="44" t="str">
        <f>'дод 4'!B35</f>
        <v>0990</v>
      </c>
      <c r="D66" s="24" t="str">
        <f>'дод 4'!C35</f>
        <v>Забезпечення діяльності інших закладів у сфері освіти</v>
      </c>
      <c r="E66" s="69">
        <f t="shared" si="18"/>
        <v>9388520</v>
      </c>
      <c r="F66" s="69">
        <f>9333170+12000+43350</f>
        <v>9388520</v>
      </c>
      <c r="G66" s="69">
        <v>6782550</v>
      </c>
      <c r="H66" s="69">
        <v>613500</v>
      </c>
      <c r="I66" s="69"/>
      <c r="J66" s="69">
        <f t="shared" si="20"/>
        <v>432000</v>
      </c>
      <c r="K66" s="69">
        <f>100000+200000+132000</f>
        <v>432000</v>
      </c>
      <c r="L66" s="69"/>
      <c r="M66" s="69"/>
      <c r="N66" s="69"/>
      <c r="O66" s="69">
        <f>100000+200000+132000</f>
        <v>432000</v>
      </c>
      <c r="P66" s="69">
        <f t="shared" si="19"/>
        <v>9820520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</row>
    <row r="67" spans="1:529" s="23" customFormat="1" ht="20.25" customHeight="1" x14ac:dyDescent="0.25">
      <c r="A67" s="43" t="s">
        <v>358</v>
      </c>
      <c r="B67" s="44" t="str">
        <f>'дод 4'!A36</f>
        <v>1162</v>
      </c>
      <c r="C67" s="44" t="str">
        <f>'дод 4'!B36</f>
        <v>0990</v>
      </c>
      <c r="D67" s="24" t="str">
        <f>'дод 4'!C36</f>
        <v>Інші програми та заходи у сфері освіти</v>
      </c>
      <c r="E67" s="69">
        <f t="shared" si="18"/>
        <v>107400</v>
      </c>
      <c r="F67" s="69">
        <v>107400</v>
      </c>
      <c r="G67" s="69"/>
      <c r="H67" s="69"/>
      <c r="I67" s="69"/>
      <c r="J67" s="69">
        <f t="shared" si="20"/>
        <v>0</v>
      </c>
      <c r="K67" s="69"/>
      <c r="L67" s="69"/>
      <c r="M67" s="69"/>
      <c r="N67" s="69"/>
      <c r="O67" s="69"/>
      <c r="P67" s="69">
        <f t="shared" si="19"/>
        <v>107400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</row>
    <row r="68" spans="1:529" s="23" customFormat="1" x14ac:dyDescent="0.25">
      <c r="A68" s="43" t="s">
        <v>395</v>
      </c>
      <c r="B68" s="44">
        <v>1170</v>
      </c>
      <c r="C68" s="44" t="s">
        <v>75</v>
      </c>
      <c r="D68" s="22" t="str">
        <f>'дод 4'!C37</f>
        <v>Забезпечення діяльності інклюзивно-ресурсних центрів</v>
      </c>
      <c r="E68" s="69">
        <f t="shared" si="18"/>
        <v>1627940</v>
      </c>
      <c r="F68" s="69">
        <v>1627940</v>
      </c>
      <c r="G68" s="69">
        <v>1224320</v>
      </c>
      <c r="H68" s="69">
        <v>81470</v>
      </c>
      <c r="I68" s="69"/>
      <c r="J68" s="69">
        <f t="shared" si="20"/>
        <v>0</v>
      </c>
      <c r="K68" s="69"/>
      <c r="L68" s="69"/>
      <c r="M68" s="69"/>
      <c r="N68" s="69"/>
      <c r="O68" s="69"/>
      <c r="P68" s="69">
        <f t="shared" si="19"/>
        <v>1627940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</row>
    <row r="69" spans="1:529" s="23" customFormat="1" x14ac:dyDescent="0.25">
      <c r="A69" s="43"/>
      <c r="B69" s="44"/>
      <c r="C69" s="44"/>
      <c r="D69" s="22" t="s">
        <v>308</v>
      </c>
      <c r="E69" s="69">
        <f t="shared" si="18"/>
        <v>1236370</v>
      </c>
      <c r="F69" s="69">
        <v>1236370</v>
      </c>
      <c r="G69" s="69">
        <v>1013420</v>
      </c>
      <c r="H69" s="69"/>
      <c r="I69" s="69"/>
      <c r="J69" s="69"/>
      <c r="K69" s="69"/>
      <c r="L69" s="69"/>
      <c r="M69" s="69"/>
      <c r="N69" s="69"/>
      <c r="O69" s="69"/>
      <c r="P69" s="69">
        <f t="shared" si="19"/>
        <v>1236370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</row>
    <row r="70" spans="1:529" s="23" customFormat="1" ht="64.5" customHeight="1" x14ac:dyDescent="0.25">
      <c r="A70" s="43" t="s">
        <v>202</v>
      </c>
      <c r="B70" s="44" t="str">
        <f>'дод 4'!A66</f>
        <v>3140</v>
      </c>
      <c r="C70" s="44" t="str">
        <f>'дод 4'!B66</f>
        <v>1040</v>
      </c>
      <c r="D70" s="24" t="str">
        <f>'дод 4'!C66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0" s="69">
        <f t="shared" si="18"/>
        <v>7000000</v>
      </c>
      <c r="F70" s="69">
        <v>7000000</v>
      </c>
      <c r="G70" s="69"/>
      <c r="H70" s="69"/>
      <c r="I70" s="69"/>
      <c r="J70" s="69">
        <f t="shared" si="20"/>
        <v>0</v>
      </c>
      <c r="K70" s="69"/>
      <c r="L70" s="69"/>
      <c r="M70" s="69"/>
      <c r="N70" s="69"/>
      <c r="O70" s="69"/>
      <c r="P70" s="69">
        <f t="shared" si="19"/>
        <v>7000000</v>
      </c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  <c r="KP70" s="26"/>
      <c r="KQ70" s="26"/>
      <c r="KR70" s="26"/>
      <c r="KS70" s="26"/>
      <c r="KT70" s="26"/>
      <c r="KU70" s="26"/>
      <c r="KV70" s="26"/>
      <c r="KW70" s="26"/>
      <c r="KX70" s="26"/>
      <c r="KY70" s="26"/>
      <c r="KZ70" s="26"/>
      <c r="LA70" s="26"/>
      <c r="LB70" s="26"/>
      <c r="LC70" s="26"/>
      <c r="LD70" s="26"/>
      <c r="LE70" s="26"/>
      <c r="LF70" s="26"/>
      <c r="LG70" s="26"/>
      <c r="LH70" s="26"/>
      <c r="LI70" s="26"/>
      <c r="LJ70" s="26"/>
      <c r="LK70" s="26"/>
      <c r="LL70" s="26"/>
      <c r="LM70" s="26"/>
      <c r="LN70" s="26"/>
      <c r="LO70" s="26"/>
      <c r="LP70" s="26"/>
      <c r="LQ70" s="26"/>
      <c r="LR70" s="26"/>
      <c r="LS70" s="26"/>
      <c r="LT70" s="26"/>
      <c r="LU70" s="26"/>
      <c r="LV70" s="26"/>
      <c r="LW70" s="26"/>
      <c r="LX70" s="26"/>
      <c r="LY70" s="26"/>
      <c r="LZ70" s="26"/>
      <c r="MA70" s="26"/>
      <c r="MB70" s="26"/>
      <c r="MC70" s="26"/>
      <c r="MD70" s="26"/>
      <c r="ME70" s="26"/>
      <c r="MF70" s="26"/>
      <c r="MG70" s="26"/>
      <c r="MH70" s="26"/>
      <c r="MI70" s="26"/>
      <c r="MJ70" s="26"/>
      <c r="MK70" s="26"/>
      <c r="ML70" s="26"/>
      <c r="MM70" s="26"/>
      <c r="MN70" s="26"/>
      <c r="MO70" s="26"/>
      <c r="MP70" s="26"/>
      <c r="MQ70" s="26"/>
      <c r="MR70" s="26"/>
      <c r="MS70" s="26"/>
      <c r="MT70" s="26"/>
      <c r="MU70" s="26"/>
      <c r="MV70" s="26"/>
      <c r="MW70" s="26"/>
      <c r="MX70" s="26"/>
      <c r="MY70" s="26"/>
      <c r="MZ70" s="26"/>
      <c r="NA70" s="26"/>
      <c r="NB70" s="26"/>
      <c r="NC70" s="26"/>
      <c r="ND70" s="26"/>
      <c r="NE70" s="26"/>
      <c r="NF70" s="26"/>
      <c r="NG70" s="26"/>
      <c r="NH70" s="26"/>
      <c r="NI70" s="26"/>
      <c r="NJ70" s="26"/>
      <c r="NK70" s="26"/>
      <c r="NL70" s="26"/>
      <c r="NM70" s="26"/>
      <c r="NN70" s="26"/>
      <c r="NO70" s="26"/>
      <c r="NP70" s="26"/>
      <c r="NQ70" s="26"/>
      <c r="NR70" s="26"/>
      <c r="NS70" s="26"/>
      <c r="NT70" s="26"/>
      <c r="NU70" s="26"/>
      <c r="NV70" s="26"/>
      <c r="NW70" s="26"/>
      <c r="NX70" s="26"/>
      <c r="NY70" s="26"/>
      <c r="NZ70" s="26"/>
      <c r="OA70" s="26"/>
      <c r="OB70" s="26"/>
      <c r="OC70" s="26"/>
      <c r="OD70" s="26"/>
      <c r="OE70" s="26"/>
      <c r="OF70" s="26"/>
      <c r="OG70" s="26"/>
      <c r="OH70" s="26"/>
      <c r="OI70" s="26"/>
      <c r="OJ70" s="26"/>
      <c r="OK70" s="26"/>
      <c r="OL70" s="26"/>
      <c r="OM70" s="26"/>
      <c r="ON70" s="26"/>
      <c r="OO70" s="26"/>
      <c r="OP70" s="26"/>
      <c r="OQ70" s="26"/>
      <c r="OR70" s="26"/>
      <c r="OS70" s="26"/>
      <c r="OT70" s="26"/>
      <c r="OU70" s="26"/>
      <c r="OV70" s="26"/>
      <c r="OW70" s="26"/>
      <c r="OX70" s="26"/>
      <c r="OY70" s="26"/>
      <c r="OZ70" s="26"/>
      <c r="PA70" s="26"/>
      <c r="PB70" s="26"/>
      <c r="PC70" s="26"/>
      <c r="PD70" s="26"/>
      <c r="PE70" s="26"/>
      <c r="PF70" s="26"/>
      <c r="PG70" s="26"/>
      <c r="PH70" s="26"/>
      <c r="PI70" s="26"/>
      <c r="PJ70" s="26"/>
      <c r="PK70" s="26"/>
      <c r="PL70" s="26"/>
      <c r="PM70" s="26"/>
      <c r="PN70" s="26"/>
      <c r="PO70" s="26"/>
      <c r="PP70" s="26"/>
      <c r="PQ70" s="26"/>
      <c r="PR70" s="26"/>
      <c r="PS70" s="26"/>
      <c r="PT70" s="26"/>
      <c r="PU70" s="26"/>
      <c r="PV70" s="26"/>
      <c r="PW70" s="26"/>
      <c r="PX70" s="26"/>
      <c r="PY70" s="26"/>
      <c r="PZ70" s="26"/>
      <c r="QA70" s="26"/>
      <c r="QB70" s="26"/>
      <c r="QC70" s="26"/>
      <c r="QD70" s="26"/>
      <c r="QE70" s="26"/>
      <c r="QF70" s="26"/>
      <c r="QG70" s="26"/>
      <c r="QH70" s="26"/>
      <c r="QI70" s="26"/>
      <c r="QJ70" s="26"/>
      <c r="QK70" s="26"/>
      <c r="QL70" s="26"/>
      <c r="QM70" s="26"/>
      <c r="QN70" s="26"/>
      <c r="QO70" s="26"/>
      <c r="QP70" s="26"/>
      <c r="QQ70" s="26"/>
      <c r="QR70" s="26"/>
      <c r="QS70" s="26"/>
      <c r="QT70" s="26"/>
      <c r="QU70" s="26"/>
      <c r="QV70" s="26"/>
      <c r="QW70" s="26"/>
      <c r="QX70" s="26"/>
      <c r="QY70" s="26"/>
      <c r="QZ70" s="26"/>
      <c r="RA70" s="26"/>
      <c r="RB70" s="26"/>
      <c r="RC70" s="26"/>
      <c r="RD70" s="26"/>
      <c r="RE70" s="26"/>
      <c r="RF70" s="26"/>
      <c r="RG70" s="26"/>
      <c r="RH70" s="26"/>
      <c r="RI70" s="26"/>
      <c r="RJ70" s="26"/>
      <c r="RK70" s="26"/>
      <c r="RL70" s="26"/>
      <c r="RM70" s="26"/>
      <c r="RN70" s="26"/>
      <c r="RO70" s="26"/>
      <c r="RP70" s="26"/>
      <c r="RQ70" s="26"/>
      <c r="RR70" s="26"/>
      <c r="RS70" s="26"/>
      <c r="RT70" s="26"/>
      <c r="RU70" s="26"/>
      <c r="RV70" s="26"/>
      <c r="RW70" s="26"/>
      <c r="RX70" s="26"/>
      <c r="RY70" s="26"/>
      <c r="RZ70" s="26"/>
      <c r="SA70" s="26"/>
      <c r="SB70" s="26"/>
      <c r="SC70" s="26"/>
      <c r="SD70" s="26"/>
      <c r="SE70" s="26"/>
      <c r="SF70" s="26"/>
      <c r="SG70" s="26"/>
      <c r="SH70" s="26"/>
      <c r="SI70" s="26"/>
      <c r="SJ70" s="26"/>
      <c r="SK70" s="26"/>
      <c r="SL70" s="26"/>
      <c r="SM70" s="26"/>
      <c r="SN70" s="26"/>
      <c r="SO70" s="26"/>
      <c r="SP70" s="26"/>
      <c r="SQ70" s="26"/>
      <c r="SR70" s="26"/>
      <c r="SS70" s="26"/>
      <c r="ST70" s="26"/>
      <c r="SU70" s="26"/>
      <c r="SV70" s="26"/>
      <c r="SW70" s="26"/>
      <c r="SX70" s="26"/>
      <c r="SY70" s="26"/>
      <c r="SZ70" s="26"/>
      <c r="TA70" s="26"/>
      <c r="TB70" s="26"/>
      <c r="TC70" s="26"/>
      <c r="TD70" s="26"/>
      <c r="TE70" s="26"/>
      <c r="TF70" s="26"/>
      <c r="TG70" s="26"/>
      <c r="TH70" s="26"/>
      <c r="TI70" s="26"/>
    </row>
    <row r="71" spans="1:529" s="23" customFormat="1" ht="31.5" customHeight="1" x14ac:dyDescent="0.25">
      <c r="A71" s="43" t="s">
        <v>374</v>
      </c>
      <c r="B71" s="44" t="str">
        <f>'дод 4'!A76</f>
        <v>3242</v>
      </c>
      <c r="C71" s="44" t="str">
        <f>'дод 4'!B76</f>
        <v>1090</v>
      </c>
      <c r="D71" s="24" t="str">
        <f>'дод 4'!C76</f>
        <v>Інші заходи у сфері соціального захисту і соціального забезпечення</v>
      </c>
      <c r="E71" s="69">
        <f t="shared" si="18"/>
        <v>52490</v>
      </c>
      <c r="F71" s="69">
        <v>52490</v>
      </c>
      <c r="G71" s="69"/>
      <c r="H71" s="69"/>
      <c r="I71" s="69"/>
      <c r="J71" s="69">
        <f t="shared" si="20"/>
        <v>0</v>
      </c>
      <c r="K71" s="69"/>
      <c r="L71" s="69"/>
      <c r="M71" s="69"/>
      <c r="N71" s="69"/>
      <c r="O71" s="69"/>
      <c r="P71" s="69">
        <f t="shared" si="19"/>
        <v>52490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</row>
    <row r="72" spans="1:529" s="23" customFormat="1" ht="33" customHeight="1" x14ac:dyDescent="0.25">
      <c r="A72" s="43" t="s">
        <v>203</v>
      </c>
      <c r="B72" s="44" t="str">
        <f>'дод 4'!A85</f>
        <v>5031</v>
      </c>
      <c r="C72" s="44" t="str">
        <f>'дод 4'!B85</f>
        <v>0810</v>
      </c>
      <c r="D72" s="24" t="str">
        <f>'дод 4'!C85</f>
        <v>Утримання та навчально-тренувальна робота комунальних дитячо-юнацьких спортивних шкіл</v>
      </c>
      <c r="E72" s="69">
        <f t="shared" si="18"/>
        <v>6797500</v>
      </c>
      <c r="F72" s="69">
        <f>6725500+60000+2000+10000</f>
        <v>6797500</v>
      </c>
      <c r="G72" s="69">
        <v>5086600</v>
      </c>
      <c r="H72" s="69">
        <v>240700</v>
      </c>
      <c r="I72" s="69"/>
      <c r="J72" s="69">
        <f t="shared" si="20"/>
        <v>750000</v>
      </c>
      <c r="K72" s="69">
        <f>550000+200000</f>
        <v>750000</v>
      </c>
      <c r="L72" s="69"/>
      <c r="M72" s="69"/>
      <c r="N72" s="69"/>
      <c r="O72" s="69">
        <f>550000+200000</f>
        <v>750000</v>
      </c>
      <c r="P72" s="69">
        <f t="shared" si="19"/>
        <v>7547500</v>
      </c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</row>
    <row r="73" spans="1:529" s="23" customFormat="1" ht="33" customHeight="1" x14ac:dyDescent="0.25">
      <c r="A73" s="43" t="s">
        <v>471</v>
      </c>
      <c r="B73" s="44">
        <v>7321</v>
      </c>
      <c r="C73" s="44" t="str">
        <f>'дод 4'!B105</f>
        <v>0443</v>
      </c>
      <c r="D73" s="24" t="str">
        <f>'дод 4'!C105</f>
        <v>Будівництво освітніх установ та закладів</v>
      </c>
      <c r="E73" s="69">
        <f t="shared" si="18"/>
        <v>0</v>
      </c>
      <c r="F73" s="69"/>
      <c r="G73" s="69"/>
      <c r="H73" s="69"/>
      <c r="I73" s="69"/>
      <c r="J73" s="69">
        <f t="shared" si="20"/>
        <v>50000</v>
      </c>
      <c r="K73" s="69">
        <v>50000</v>
      </c>
      <c r="L73" s="69"/>
      <c r="M73" s="69"/>
      <c r="N73" s="69"/>
      <c r="O73" s="69">
        <v>50000</v>
      </c>
      <c r="P73" s="69">
        <f t="shared" si="19"/>
        <v>50000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  <c r="JH73" s="26"/>
      <c r="JI73" s="26"/>
      <c r="JJ73" s="26"/>
      <c r="JK73" s="26"/>
      <c r="JL73" s="26"/>
      <c r="JM73" s="26"/>
      <c r="JN73" s="26"/>
      <c r="JO73" s="26"/>
      <c r="JP73" s="26"/>
      <c r="JQ73" s="26"/>
      <c r="JR73" s="26"/>
      <c r="JS73" s="26"/>
      <c r="JT73" s="26"/>
      <c r="JU73" s="26"/>
      <c r="JV73" s="26"/>
      <c r="JW73" s="26"/>
      <c r="JX73" s="26"/>
      <c r="JY73" s="26"/>
      <c r="JZ73" s="26"/>
      <c r="KA73" s="26"/>
      <c r="KB73" s="26"/>
      <c r="KC73" s="26"/>
      <c r="KD73" s="26"/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26"/>
      <c r="LN73" s="26"/>
      <c r="LO73" s="26"/>
      <c r="LP73" s="26"/>
      <c r="LQ73" s="26"/>
      <c r="LR73" s="26"/>
      <c r="LS73" s="26"/>
      <c r="LT73" s="26"/>
      <c r="LU73" s="26"/>
      <c r="LV73" s="26"/>
      <c r="LW73" s="26"/>
      <c r="LX73" s="26"/>
      <c r="LY73" s="26"/>
      <c r="LZ73" s="26"/>
      <c r="MA73" s="26"/>
      <c r="MB73" s="26"/>
      <c r="MC73" s="26"/>
      <c r="MD73" s="26"/>
      <c r="ME73" s="26"/>
      <c r="MF73" s="26"/>
      <c r="MG73" s="26"/>
      <c r="MH73" s="26"/>
      <c r="MI73" s="26"/>
      <c r="MJ73" s="26"/>
      <c r="MK73" s="26"/>
      <c r="ML73" s="26"/>
      <c r="MM73" s="26"/>
      <c r="MN73" s="26"/>
      <c r="MO73" s="26"/>
      <c r="MP73" s="26"/>
      <c r="MQ73" s="26"/>
      <c r="MR73" s="26"/>
      <c r="MS73" s="26"/>
      <c r="MT73" s="26"/>
      <c r="MU73" s="26"/>
      <c r="MV73" s="26"/>
      <c r="MW73" s="26"/>
      <c r="MX73" s="26"/>
      <c r="MY73" s="26"/>
      <c r="MZ73" s="26"/>
      <c r="NA73" s="26"/>
      <c r="NB73" s="26"/>
      <c r="NC73" s="26"/>
      <c r="ND73" s="26"/>
      <c r="NE73" s="26"/>
      <c r="NF73" s="26"/>
      <c r="NG73" s="26"/>
      <c r="NH73" s="26"/>
      <c r="NI73" s="26"/>
      <c r="NJ73" s="26"/>
      <c r="NK73" s="26"/>
      <c r="NL73" s="26"/>
      <c r="NM73" s="26"/>
      <c r="NN73" s="26"/>
      <c r="NO73" s="26"/>
      <c r="NP73" s="26"/>
      <c r="NQ73" s="26"/>
      <c r="NR73" s="26"/>
      <c r="NS73" s="26"/>
      <c r="NT73" s="26"/>
      <c r="NU73" s="26"/>
      <c r="NV73" s="26"/>
      <c r="NW73" s="26"/>
      <c r="NX73" s="26"/>
      <c r="NY73" s="26"/>
      <c r="NZ73" s="26"/>
      <c r="OA73" s="26"/>
      <c r="OB73" s="26"/>
      <c r="OC73" s="26"/>
      <c r="OD73" s="26"/>
      <c r="OE73" s="26"/>
      <c r="OF73" s="26"/>
      <c r="OG73" s="26"/>
      <c r="OH73" s="26"/>
      <c r="OI73" s="26"/>
      <c r="OJ73" s="26"/>
      <c r="OK73" s="26"/>
      <c r="OL73" s="26"/>
      <c r="OM73" s="26"/>
      <c r="ON73" s="26"/>
      <c r="OO73" s="26"/>
      <c r="OP73" s="26"/>
      <c r="OQ73" s="26"/>
      <c r="OR73" s="26"/>
      <c r="OS73" s="26"/>
      <c r="OT73" s="26"/>
      <c r="OU73" s="26"/>
      <c r="OV73" s="26"/>
      <c r="OW73" s="26"/>
      <c r="OX73" s="26"/>
      <c r="OY73" s="26"/>
      <c r="OZ73" s="26"/>
      <c r="PA73" s="26"/>
      <c r="PB73" s="26"/>
      <c r="PC73" s="26"/>
      <c r="PD73" s="26"/>
      <c r="PE73" s="26"/>
      <c r="PF73" s="26"/>
      <c r="PG73" s="26"/>
      <c r="PH73" s="26"/>
      <c r="PI73" s="26"/>
      <c r="PJ73" s="26"/>
      <c r="PK73" s="26"/>
      <c r="PL73" s="26"/>
      <c r="PM73" s="26"/>
      <c r="PN73" s="26"/>
      <c r="PO73" s="26"/>
      <c r="PP73" s="26"/>
      <c r="PQ73" s="26"/>
      <c r="PR73" s="26"/>
      <c r="PS73" s="26"/>
      <c r="PT73" s="26"/>
      <c r="PU73" s="26"/>
      <c r="PV73" s="26"/>
      <c r="PW73" s="26"/>
      <c r="PX73" s="26"/>
      <c r="PY73" s="26"/>
      <c r="PZ73" s="26"/>
      <c r="QA73" s="26"/>
      <c r="QB73" s="26"/>
      <c r="QC73" s="26"/>
      <c r="QD73" s="26"/>
      <c r="QE73" s="26"/>
      <c r="QF73" s="26"/>
      <c r="QG73" s="26"/>
      <c r="QH73" s="26"/>
      <c r="QI73" s="26"/>
      <c r="QJ73" s="26"/>
      <c r="QK73" s="26"/>
      <c r="QL73" s="26"/>
      <c r="QM73" s="26"/>
      <c r="QN73" s="26"/>
      <c r="QO73" s="26"/>
      <c r="QP73" s="26"/>
      <c r="QQ73" s="26"/>
      <c r="QR73" s="26"/>
      <c r="QS73" s="26"/>
      <c r="QT73" s="26"/>
      <c r="QU73" s="26"/>
      <c r="QV73" s="26"/>
      <c r="QW73" s="26"/>
      <c r="QX73" s="26"/>
      <c r="QY73" s="26"/>
      <c r="QZ73" s="26"/>
      <c r="RA73" s="26"/>
      <c r="RB73" s="26"/>
      <c r="RC73" s="26"/>
      <c r="RD73" s="26"/>
      <c r="RE73" s="26"/>
      <c r="RF73" s="26"/>
      <c r="RG73" s="26"/>
      <c r="RH73" s="26"/>
      <c r="RI73" s="26"/>
      <c r="RJ73" s="26"/>
      <c r="RK73" s="26"/>
      <c r="RL73" s="26"/>
      <c r="RM73" s="26"/>
      <c r="RN73" s="26"/>
      <c r="RO73" s="26"/>
      <c r="RP73" s="26"/>
      <c r="RQ73" s="26"/>
      <c r="RR73" s="26"/>
      <c r="RS73" s="26"/>
      <c r="RT73" s="26"/>
      <c r="RU73" s="26"/>
      <c r="RV73" s="26"/>
      <c r="RW73" s="26"/>
      <c r="RX73" s="26"/>
      <c r="RY73" s="26"/>
      <c r="RZ73" s="26"/>
      <c r="SA73" s="26"/>
      <c r="SB73" s="26"/>
      <c r="SC73" s="26"/>
      <c r="SD73" s="26"/>
      <c r="SE73" s="26"/>
      <c r="SF73" s="26"/>
      <c r="SG73" s="26"/>
      <c r="SH73" s="26"/>
      <c r="SI73" s="26"/>
      <c r="SJ73" s="26"/>
      <c r="SK73" s="26"/>
      <c r="SL73" s="26"/>
      <c r="SM73" s="26"/>
      <c r="SN73" s="26"/>
      <c r="SO73" s="26"/>
      <c r="SP73" s="26"/>
      <c r="SQ73" s="26"/>
      <c r="SR73" s="26"/>
      <c r="SS73" s="26"/>
      <c r="ST73" s="26"/>
      <c r="SU73" s="26"/>
      <c r="SV73" s="26"/>
      <c r="SW73" s="26"/>
      <c r="SX73" s="26"/>
      <c r="SY73" s="26"/>
      <c r="SZ73" s="26"/>
      <c r="TA73" s="26"/>
      <c r="TB73" s="26"/>
      <c r="TC73" s="26"/>
      <c r="TD73" s="26"/>
      <c r="TE73" s="26"/>
      <c r="TF73" s="26"/>
      <c r="TG73" s="26"/>
      <c r="TH73" s="26"/>
      <c r="TI73" s="26"/>
    </row>
    <row r="74" spans="1:529" s="23" customFormat="1" ht="45.75" customHeight="1" x14ac:dyDescent="0.25">
      <c r="A74" s="43" t="s">
        <v>439</v>
      </c>
      <c r="B74" s="44">
        <v>7363</v>
      </c>
      <c r="C74" s="117" t="s">
        <v>102</v>
      </c>
      <c r="D74" s="118" t="s">
        <v>438</v>
      </c>
      <c r="E74" s="69">
        <f t="shared" si="18"/>
        <v>0</v>
      </c>
      <c r="F74" s="69"/>
      <c r="G74" s="69"/>
      <c r="H74" s="69"/>
      <c r="I74" s="69"/>
      <c r="J74" s="69">
        <f t="shared" si="20"/>
        <v>257580.90999999997</v>
      </c>
      <c r="K74" s="69">
        <f>7502.36+250078.55</f>
        <v>257580.90999999997</v>
      </c>
      <c r="L74" s="69"/>
      <c r="M74" s="69"/>
      <c r="N74" s="69"/>
      <c r="O74" s="69">
        <f>7502.36+250078.55</f>
        <v>257580.90999999997</v>
      </c>
      <c r="P74" s="69">
        <f t="shared" si="19"/>
        <v>257580.90999999997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</row>
    <row r="75" spans="1:529" s="23" customFormat="1" x14ac:dyDescent="0.25">
      <c r="A75" s="43"/>
      <c r="B75" s="44"/>
      <c r="C75" s="44"/>
      <c r="D75" s="22" t="s">
        <v>308</v>
      </c>
      <c r="E75" s="69">
        <f t="shared" ref="E75" si="21">F75+I75</f>
        <v>0</v>
      </c>
      <c r="F75" s="69"/>
      <c r="G75" s="69"/>
      <c r="H75" s="69"/>
      <c r="I75" s="69"/>
      <c r="J75" s="69">
        <f t="shared" ref="J75" si="22">L75+O75</f>
        <v>250078.55</v>
      </c>
      <c r="K75" s="69">
        <v>250078.55</v>
      </c>
      <c r="L75" s="69"/>
      <c r="M75" s="69"/>
      <c r="N75" s="69"/>
      <c r="O75" s="69">
        <v>250078.55</v>
      </c>
      <c r="P75" s="69">
        <f t="shared" si="19"/>
        <v>250078.55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</row>
    <row r="76" spans="1:529" s="23" customFormat="1" ht="25.5" customHeight="1" x14ac:dyDescent="0.25">
      <c r="A76" s="43" t="s">
        <v>204</v>
      </c>
      <c r="B76" s="44" t="str">
        <f>'дод 4'!A125</f>
        <v>7640</v>
      </c>
      <c r="C76" s="44" t="str">
        <f>'дод 4'!B125</f>
        <v>0470</v>
      </c>
      <c r="D76" s="24" t="str">
        <f>'дод 4'!C125</f>
        <v>Заходи з енергозбереження</v>
      </c>
      <c r="E76" s="69">
        <f t="shared" si="18"/>
        <v>578800</v>
      </c>
      <c r="F76" s="69">
        <v>578800</v>
      </c>
      <c r="G76" s="69"/>
      <c r="H76" s="69"/>
      <c r="I76" s="69"/>
      <c r="J76" s="69">
        <f t="shared" si="20"/>
        <v>2993200</v>
      </c>
      <c r="K76" s="69">
        <v>2993200</v>
      </c>
      <c r="L76" s="69"/>
      <c r="M76" s="69"/>
      <c r="N76" s="69"/>
      <c r="O76" s="69">
        <v>2993200</v>
      </c>
      <c r="P76" s="69">
        <f t="shared" si="19"/>
        <v>3572000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</row>
    <row r="77" spans="1:529" s="23" customFormat="1" ht="27" customHeight="1" x14ac:dyDescent="0.25">
      <c r="A77" s="43" t="s">
        <v>205</v>
      </c>
      <c r="B77" s="44" t="str">
        <f>'дод 4'!A142</f>
        <v>8340</v>
      </c>
      <c r="C77" s="44" t="str">
        <f>'дод 4'!B142</f>
        <v>0540</v>
      </c>
      <c r="D77" s="24" t="str">
        <f>'дод 4'!C142</f>
        <v>Природоохоронні заходи за рахунок цільових фондів</v>
      </c>
      <c r="E77" s="69">
        <f t="shared" si="18"/>
        <v>0</v>
      </c>
      <c r="F77" s="69"/>
      <c r="G77" s="69"/>
      <c r="H77" s="69"/>
      <c r="I77" s="69"/>
      <c r="J77" s="69">
        <f t="shared" si="20"/>
        <v>400000</v>
      </c>
      <c r="K77" s="69"/>
      <c r="L77" s="69">
        <f>306000+10000</f>
        <v>316000</v>
      </c>
      <c r="M77" s="69"/>
      <c r="N77" s="69"/>
      <c r="O77" s="69">
        <v>84000</v>
      </c>
      <c r="P77" s="69">
        <f t="shared" si="19"/>
        <v>400000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</row>
    <row r="78" spans="1:529" s="23" customFormat="1" ht="48.75" customHeight="1" x14ac:dyDescent="0.25">
      <c r="A78" s="43" t="s">
        <v>440</v>
      </c>
      <c r="B78" s="44">
        <v>9800</v>
      </c>
      <c r="C78" s="45" t="s">
        <v>59</v>
      </c>
      <c r="D78" s="119" t="s">
        <v>441</v>
      </c>
      <c r="E78" s="69">
        <f t="shared" si="18"/>
        <v>84885</v>
      </c>
      <c r="F78" s="69">
        <v>84885</v>
      </c>
      <c r="G78" s="69"/>
      <c r="H78" s="69"/>
      <c r="I78" s="69"/>
      <c r="J78" s="69">
        <f t="shared" si="20"/>
        <v>0</v>
      </c>
      <c r="K78" s="69"/>
      <c r="L78" s="69"/>
      <c r="M78" s="69"/>
      <c r="N78" s="69"/>
      <c r="O78" s="69"/>
      <c r="P78" s="69">
        <f t="shared" si="19"/>
        <v>84885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</row>
    <row r="79" spans="1:529" s="31" customFormat="1" ht="21" customHeight="1" x14ac:dyDescent="0.2">
      <c r="A79" s="76" t="s">
        <v>206</v>
      </c>
      <c r="B79" s="74"/>
      <c r="C79" s="74"/>
      <c r="D79" s="30" t="s">
        <v>36</v>
      </c>
      <c r="E79" s="66">
        <f>E80</f>
        <v>231525748</v>
      </c>
      <c r="F79" s="66">
        <f t="shared" ref="F79:P79" si="23">F80</f>
        <v>231326748</v>
      </c>
      <c r="G79" s="66">
        <f t="shared" si="23"/>
        <v>1637700</v>
      </c>
      <c r="H79" s="66">
        <f t="shared" si="23"/>
        <v>35400</v>
      </c>
      <c r="I79" s="66">
        <f t="shared" si="23"/>
        <v>199000</v>
      </c>
      <c r="J79" s="66">
        <f t="shared" si="23"/>
        <v>104835074</v>
      </c>
      <c r="K79" s="66">
        <f t="shared" si="23"/>
        <v>103950074</v>
      </c>
      <c r="L79" s="66">
        <f t="shared" si="23"/>
        <v>0</v>
      </c>
      <c r="M79" s="66">
        <f t="shared" si="23"/>
        <v>0</v>
      </c>
      <c r="N79" s="66">
        <f t="shared" si="23"/>
        <v>0</v>
      </c>
      <c r="O79" s="66">
        <f t="shared" si="23"/>
        <v>104835074</v>
      </c>
      <c r="P79" s="66">
        <f t="shared" si="23"/>
        <v>336360822</v>
      </c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  <c r="IW79" s="38"/>
      <c r="IX79" s="38"/>
      <c r="IY79" s="38"/>
      <c r="IZ79" s="38"/>
      <c r="JA79" s="38"/>
      <c r="JB79" s="38"/>
      <c r="JC79" s="38"/>
      <c r="JD79" s="38"/>
      <c r="JE79" s="38"/>
      <c r="JF79" s="38"/>
      <c r="JG79" s="38"/>
      <c r="JH79" s="38"/>
      <c r="JI79" s="38"/>
      <c r="JJ79" s="38"/>
      <c r="JK79" s="38"/>
      <c r="JL79" s="38"/>
      <c r="JM79" s="38"/>
      <c r="JN79" s="38"/>
      <c r="JO79" s="38"/>
      <c r="JP79" s="38"/>
      <c r="JQ79" s="38"/>
      <c r="JR79" s="38"/>
      <c r="JS79" s="38"/>
      <c r="JT79" s="38"/>
      <c r="JU79" s="38"/>
      <c r="JV79" s="38"/>
      <c r="JW79" s="38"/>
      <c r="JX79" s="38"/>
      <c r="JY79" s="38"/>
      <c r="JZ79" s="38"/>
      <c r="KA79" s="38"/>
      <c r="KB79" s="38"/>
      <c r="KC79" s="38"/>
      <c r="KD79" s="38"/>
      <c r="KE79" s="38"/>
      <c r="KF79" s="38"/>
      <c r="KG79" s="38"/>
      <c r="KH79" s="38"/>
      <c r="KI79" s="38"/>
      <c r="KJ79" s="38"/>
      <c r="KK79" s="38"/>
      <c r="KL79" s="38"/>
      <c r="KM79" s="38"/>
      <c r="KN79" s="38"/>
      <c r="KO79" s="38"/>
      <c r="KP79" s="38"/>
      <c r="KQ79" s="38"/>
      <c r="KR79" s="38"/>
      <c r="KS79" s="38"/>
      <c r="KT79" s="38"/>
      <c r="KU79" s="38"/>
      <c r="KV79" s="38"/>
      <c r="KW79" s="38"/>
      <c r="KX79" s="38"/>
      <c r="KY79" s="38"/>
      <c r="KZ79" s="38"/>
      <c r="LA79" s="38"/>
      <c r="LB79" s="38"/>
      <c r="LC79" s="38"/>
      <c r="LD79" s="38"/>
      <c r="LE79" s="38"/>
      <c r="LF79" s="38"/>
      <c r="LG79" s="38"/>
      <c r="LH79" s="38"/>
      <c r="LI79" s="38"/>
      <c r="LJ79" s="38"/>
      <c r="LK79" s="38"/>
      <c r="LL79" s="38"/>
      <c r="LM79" s="38"/>
      <c r="LN79" s="38"/>
      <c r="LO79" s="38"/>
      <c r="LP79" s="38"/>
      <c r="LQ79" s="38"/>
      <c r="LR79" s="38"/>
      <c r="LS79" s="38"/>
      <c r="LT79" s="38"/>
      <c r="LU79" s="38"/>
      <c r="LV79" s="38"/>
      <c r="LW79" s="38"/>
      <c r="LX79" s="38"/>
      <c r="LY79" s="38"/>
      <c r="LZ79" s="38"/>
      <c r="MA79" s="38"/>
      <c r="MB79" s="38"/>
      <c r="MC79" s="38"/>
      <c r="MD79" s="38"/>
      <c r="ME79" s="38"/>
      <c r="MF79" s="38"/>
      <c r="MG79" s="38"/>
      <c r="MH79" s="38"/>
      <c r="MI79" s="38"/>
      <c r="MJ79" s="38"/>
      <c r="MK79" s="38"/>
      <c r="ML79" s="38"/>
      <c r="MM79" s="38"/>
      <c r="MN79" s="38"/>
      <c r="MO79" s="38"/>
      <c r="MP79" s="38"/>
      <c r="MQ79" s="38"/>
      <c r="MR79" s="38"/>
      <c r="MS79" s="38"/>
      <c r="MT79" s="38"/>
      <c r="MU79" s="38"/>
      <c r="MV79" s="38"/>
      <c r="MW79" s="38"/>
      <c r="MX79" s="38"/>
      <c r="MY79" s="38"/>
      <c r="MZ79" s="38"/>
      <c r="NA79" s="38"/>
      <c r="NB79" s="38"/>
      <c r="NC79" s="38"/>
      <c r="ND79" s="38"/>
      <c r="NE79" s="38"/>
      <c r="NF79" s="38"/>
      <c r="NG79" s="38"/>
      <c r="NH79" s="38"/>
      <c r="NI79" s="38"/>
      <c r="NJ79" s="38"/>
      <c r="NK79" s="38"/>
      <c r="NL79" s="38"/>
      <c r="NM79" s="38"/>
      <c r="NN79" s="38"/>
      <c r="NO79" s="38"/>
      <c r="NP79" s="38"/>
      <c r="NQ79" s="38"/>
      <c r="NR79" s="38"/>
      <c r="NS79" s="38"/>
      <c r="NT79" s="38"/>
      <c r="NU79" s="38"/>
      <c r="NV79" s="38"/>
      <c r="NW79" s="38"/>
      <c r="NX79" s="38"/>
      <c r="NY79" s="38"/>
      <c r="NZ79" s="38"/>
      <c r="OA79" s="38"/>
      <c r="OB79" s="38"/>
      <c r="OC79" s="38"/>
      <c r="OD79" s="38"/>
      <c r="OE79" s="38"/>
      <c r="OF79" s="38"/>
      <c r="OG79" s="38"/>
      <c r="OH79" s="38"/>
      <c r="OI79" s="38"/>
      <c r="OJ79" s="38"/>
      <c r="OK79" s="38"/>
      <c r="OL79" s="38"/>
      <c r="OM79" s="38"/>
      <c r="ON79" s="38"/>
      <c r="OO79" s="38"/>
      <c r="OP79" s="38"/>
      <c r="OQ79" s="38"/>
      <c r="OR79" s="38"/>
      <c r="OS79" s="38"/>
      <c r="OT79" s="38"/>
      <c r="OU79" s="38"/>
      <c r="OV79" s="38"/>
      <c r="OW79" s="38"/>
      <c r="OX79" s="38"/>
      <c r="OY79" s="38"/>
      <c r="OZ79" s="38"/>
      <c r="PA79" s="38"/>
      <c r="PB79" s="38"/>
      <c r="PC79" s="38"/>
      <c r="PD79" s="38"/>
      <c r="PE79" s="38"/>
      <c r="PF79" s="38"/>
      <c r="PG79" s="38"/>
      <c r="PH79" s="38"/>
      <c r="PI79" s="38"/>
      <c r="PJ79" s="38"/>
      <c r="PK79" s="38"/>
      <c r="PL79" s="38"/>
      <c r="PM79" s="38"/>
      <c r="PN79" s="38"/>
      <c r="PO79" s="38"/>
      <c r="PP79" s="38"/>
      <c r="PQ79" s="38"/>
      <c r="PR79" s="38"/>
      <c r="PS79" s="38"/>
      <c r="PT79" s="38"/>
      <c r="PU79" s="38"/>
      <c r="PV79" s="38"/>
      <c r="PW79" s="38"/>
      <c r="PX79" s="38"/>
      <c r="PY79" s="38"/>
      <c r="PZ79" s="38"/>
      <c r="QA79" s="38"/>
      <c r="QB79" s="38"/>
      <c r="QC79" s="38"/>
      <c r="QD79" s="38"/>
      <c r="QE79" s="38"/>
      <c r="QF79" s="38"/>
      <c r="QG79" s="38"/>
      <c r="QH79" s="38"/>
      <c r="QI79" s="38"/>
      <c r="QJ79" s="38"/>
      <c r="QK79" s="38"/>
      <c r="QL79" s="38"/>
      <c r="QM79" s="38"/>
      <c r="QN79" s="38"/>
      <c r="QO79" s="38"/>
      <c r="QP79" s="38"/>
      <c r="QQ79" s="38"/>
      <c r="QR79" s="38"/>
      <c r="QS79" s="38"/>
      <c r="QT79" s="38"/>
      <c r="QU79" s="38"/>
      <c r="QV79" s="38"/>
      <c r="QW79" s="38"/>
      <c r="QX79" s="38"/>
      <c r="QY79" s="38"/>
      <c r="QZ79" s="38"/>
      <c r="RA79" s="38"/>
      <c r="RB79" s="38"/>
      <c r="RC79" s="38"/>
      <c r="RD79" s="38"/>
      <c r="RE79" s="38"/>
      <c r="RF79" s="38"/>
      <c r="RG79" s="38"/>
      <c r="RH79" s="38"/>
      <c r="RI79" s="38"/>
      <c r="RJ79" s="38"/>
      <c r="RK79" s="38"/>
      <c r="RL79" s="38"/>
      <c r="RM79" s="38"/>
      <c r="RN79" s="38"/>
      <c r="RO79" s="38"/>
      <c r="RP79" s="38"/>
      <c r="RQ79" s="38"/>
      <c r="RR79" s="38"/>
      <c r="RS79" s="38"/>
      <c r="RT79" s="38"/>
      <c r="RU79" s="38"/>
      <c r="RV79" s="38"/>
      <c r="RW79" s="38"/>
      <c r="RX79" s="38"/>
      <c r="RY79" s="38"/>
      <c r="RZ79" s="38"/>
      <c r="SA79" s="38"/>
      <c r="SB79" s="38"/>
      <c r="SC79" s="38"/>
      <c r="SD79" s="38"/>
      <c r="SE79" s="38"/>
      <c r="SF79" s="38"/>
      <c r="SG79" s="38"/>
      <c r="SH79" s="38"/>
      <c r="SI79" s="38"/>
      <c r="SJ79" s="38"/>
      <c r="SK79" s="38"/>
      <c r="SL79" s="38"/>
      <c r="SM79" s="38"/>
      <c r="SN79" s="38"/>
      <c r="SO79" s="38"/>
      <c r="SP79" s="38"/>
      <c r="SQ79" s="38"/>
      <c r="SR79" s="38"/>
      <c r="SS79" s="38"/>
      <c r="ST79" s="38"/>
      <c r="SU79" s="38"/>
      <c r="SV79" s="38"/>
      <c r="SW79" s="38"/>
      <c r="SX79" s="38"/>
      <c r="SY79" s="38"/>
      <c r="SZ79" s="38"/>
      <c r="TA79" s="38"/>
      <c r="TB79" s="38"/>
      <c r="TC79" s="38"/>
      <c r="TD79" s="38"/>
      <c r="TE79" s="38"/>
      <c r="TF79" s="38"/>
      <c r="TG79" s="38"/>
      <c r="TH79" s="38"/>
      <c r="TI79" s="38"/>
    </row>
    <row r="80" spans="1:529" s="40" customFormat="1" ht="18.75" customHeight="1" x14ac:dyDescent="0.25">
      <c r="A80" s="77" t="s">
        <v>207</v>
      </c>
      <c r="B80" s="75"/>
      <c r="C80" s="75"/>
      <c r="D80" s="33" t="s">
        <v>36</v>
      </c>
      <c r="E80" s="68">
        <f>E82+E83+E85+E87+E89+E91+E93+E94+E95+E96+E97</f>
        <v>231525748</v>
      </c>
      <c r="F80" s="68">
        <f t="shared" ref="F80:P80" si="24">F82+F83+F85+F87+F89+F91+F93+F94+F95+F96+F97</f>
        <v>231326748</v>
      </c>
      <c r="G80" s="68">
        <f t="shared" si="24"/>
        <v>1637700</v>
      </c>
      <c r="H80" s="68">
        <f t="shared" si="24"/>
        <v>35400</v>
      </c>
      <c r="I80" s="68">
        <f t="shared" si="24"/>
        <v>199000</v>
      </c>
      <c r="J80" s="68">
        <f t="shared" si="24"/>
        <v>104835074</v>
      </c>
      <c r="K80" s="68">
        <f t="shared" si="24"/>
        <v>103950074</v>
      </c>
      <c r="L80" s="68">
        <f t="shared" si="24"/>
        <v>0</v>
      </c>
      <c r="M80" s="68">
        <f t="shared" si="24"/>
        <v>0</v>
      </c>
      <c r="N80" s="68">
        <f t="shared" si="24"/>
        <v>0</v>
      </c>
      <c r="O80" s="68">
        <f t="shared" si="24"/>
        <v>104835074</v>
      </c>
      <c r="P80" s="68">
        <f t="shared" si="24"/>
        <v>336360822</v>
      </c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  <c r="IW80" s="39"/>
      <c r="IX80" s="39"/>
      <c r="IY80" s="39"/>
      <c r="IZ80" s="39"/>
      <c r="JA80" s="39"/>
      <c r="JB80" s="39"/>
      <c r="JC80" s="39"/>
      <c r="JD80" s="39"/>
      <c r="JE80" s="39"/>
      <c r="JF80" s="39"/>
      <c r="JG80" s="39"/>
      <c r="JH80" s="39"/>
      <c r="JI80" s="39"/>
      <c r="JJ80" s="39"/>
      <c r="JK80" s="39"/>
      <c r="JL80" s="39"/>
      <c r="JM80" s="39"/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  <c r="KK80" s="39"/>
      <c r="KL80" s="39"/>
      <c r="KM80" s="39"/>
      <c r="KN80" s="39"/>
      <c r="KO80" s="39"/>
      <c r="KP80" s="39"/>
      <c r="KQ80" s="39"/>
      <c r="KR80" s="39"/>
      <c r="KS80" s="39"/>
      <c r="KT80" s="39"/>
      <c r="KU80" s="39"/>
      <c r="KV80" s="39"/>
      <c r="KW80" s="39"/>
      <c r="KX80" s="39"/>
      <c r="KY80" s="39"/>
      <c r="KZ80" s="39"/>
      <c r="LA80" s="39"/>
      <c r="LB80" s="39"/>
      <c r="LC80" s="39"/>
      <c r="LD80" s="39"/>
      <c r="LE80" s="39"/>
      <c r="LF80" s="39"/>
      <c r="LG80" s="39"/>
      <c r="LH80" s="39"/>
      <c r="LI80" s="39"/>
      <c r="LJ80" s="39"/>
      <c r="LK80" s="39"/>
      <c r="LL80" s="39"/>
      <c r="LM80" s="39"/>
      <c r="LN80" s="39"/>
      <c r="LO80" s="39"/>
      <c r="LP80" s="39"/>
      <c r="LQ80" s="39"/>
      <c r="LR80" s="39"/>
      <c r="LS80" s="39"/>
      <c r="LT80" s="39"/>
      <c r="LU80" s="39"/>
      <c r="LV80" s="39"/>
      <c r="LW80" s="39"/>
      <c r="LX80" s="39"/>
      <c r="LY80" s="39"/>
      <c r="LZ80" s="39"/>
      <c r="MA80" s="39"/>
      <c r="MB80" s="39"/>
      <c r="MC80" s="39"/>
      <c r="MD80" s="39"/>
      <c r="ME80" s="39"/>
      <c r="MF80" s="39"/>
      <c r="MG80" s="39"/>
      <c r="MH80" s="39"/>
      <c r="MI80" s="39"/>
      <c r="MJ80" s="39"/>
      <c r="MK80" s="39"/>
      <c r="ML80" s="39"/>
      <c r="MM80" s="39"/>
      <c r="MN80" s="39"/>
      <c r="MO80" s="39"/>
      <c r="MP80" s="39"/>
      <c r="MQ80" s="39"/>
      <c r="MR80" s="39"/>
      <c r="MS80" s="39"/>
      <c r="MT80" s="39"/>
      <c r="MU80" s="39"/>
      <c r="MV80" s="39"/>
      <c r="MW80" s="39"/>
      <c r="MX80" s="39"/>
      <c r="MY80" s="39"/>
      <c r="MZ80" s="39"/>
      <c r="NA80" s="39"/>
      <c r="NB80" s="39"/>
      <c r="NC80" s="39"/>
      <c r="ND80" s="39"/>
      <c r="NE80" s="39"/>
      <c r="NF80" s="39"/>
      <c r="NG80" s="39"/>
      <c r="NH80" s="39"/>
      <c r="NI80" s="39"/>
      <c r="NJ80" s="39"/>
      <c r="NK80" s="39"/>
      <c r="NL80" s="39"/>
      <c r="NM80" s="39"/>
      <c r="NN80" s="39"/>
      <c r="NO80" s="39"/>
      <c r="NP80" s="39"/>
      <c r="NQ80" s="39"/>
      <c r="NR80" s="39"/>
      <c r="NS80" s="39"/>
      <c r="NT80" s="39"/>
      <c r="NU80" s="39"/>
      <c r="NV80" s="39"/>
      <c r="NW80" s="39"/>
      <c r="NX80" s="39"/>
      <c r="NY80" s="39"/>
      <c r="NZ80" s="39"/>
      <c r="OA80" s="39"/>
      <c r="OB80" s="39"/>
      <c r="OC80" s="39"/>
      <c r="OD80" s="39"/>
      <c r="OE80" s="39"/>
      <c r="OF80" s="39"/>
      <c r="OG80" s="39"/>
      <c r="OH80" s="39"/>
      <c r="OI80" s="39"/>
      <c r="OJ80" s="39"/>
      <c r="OK80" s="39"/>
      <c r="OL80" s="39"/>
      <c r="OM80" s="39"/>
      <c r="ON80" s="39"/>
      <c r="OO80" s="39"/>
      <c r="OP80" s="39"/>
      <c r="OQ80" s="39"/>
      <c r="OR80" s="39"/>
      <c r="OS80" s="39"/>
      <c r="OT80" s="39"/>
      <c r="OU80" s="39"/>
      <c r="OV80" s="39"/>
      <c r="OW80" s="39"/>
      <c r="OX80" s="39"/>
      <c r="OY80" s="39"/>
      <c r="OZ80" s="39"/>
      <c r="PA80" s="39"/>
      <c r="PB80" s="39"/>
      <c r="PC80" s="39"/>
      <c r="PD80" s="39"/>
      <c r="PE80" s="39"/>
      <c r="PF80" s="39"/>
      <c r="PG80" s="39"/>
      <c r="PH80" s="39"/>
      <c r="PI80" s="39"/>
      <c r="PJ80" s="39"/>
      <c r="PK80" s="39"/>
      <c r="PL80" s="39"/>
      <c r="PM80" s="39"/>
      <c r="PN80" s="39"/>
      <c r="PO80" s="39"/>
      <c r="PP80" s="39"/>
      <c r="PQ80" s="39"/>
      <c r="PR80" s="39"/>
      <c r="PS80" s="39"/>
      <c r="PT80" s="39"/>
      <c r="PU80" s="39"/>
      <c r="PV80" s="39"/>
      <c r="PW80" s="39"/>
      <c r="PX80" s="39"/>
      <c r="PY80" s="39"/>
      <c r="PZ80" s="39"/>
      <c r="QA80" s="39"/>
      <c r="QB80" s="39"/>
      <c r="QC80" s="39"/>
      <c r="QD80" s="39"/>
      <c r="QE80" s="39"/>
      <c r="QF80" s="39"/>
      <c r="QG80" s="39"/>
      <c r="QH80" s="39"/>
      <c r="QI80" s="39"/>
      <c r="QJ80" s="39"/>
      <c r="QK80" s="39"/>
      <c r="QL80" s="39"/>
      <c r="QM80" s="39"/>
      <c r="QN80" s="39"/>
      <c r="QO80" s="39"/>
      <c r="QP80" s="39"/>
      <c r="QQ80" s="39"/>
      <c r="QR80" s="39"/>
      <c r="QS80" s="39"/>
      <c r="QT80" s="39"/>
      <c r="QU80" s="39"/>
      <c r="QV80" s="39"/>
      <c r="QW80" s="39"/>
      <c r="QX80" s="39"/>
      <c r="QY80" s="39"/>
      <c r="QZ80" s="39"/>
      <c r="RA80" s="39"/>
      <c r="RB80" s="39"/>
      <c r="RC80" s="39"/>
      <c r="RD80" s="39"/>
      <c r="RE80" s="39"/>
      <c r="RF80" s="39"/>
      <c r="RG80" s="39"/>
      <c r="RH80" s="39"/>
      <c r="RI80" s="39"/>
      <c r="RJ80" s="39"/>
      <c r="RK80" s="39"/>
      <c r="RL80" s="39"/>
      <c r="RM80" s="39"/>
      <c r="RN80" s="39"/>
      <c r="RO80" s="39"/>
      <c r="RP80" s="39"/>
      <c r="RQ80" s="39"/>
      <c r="RR80" s="39"/>
      <c r="RS80" s="39"/>
      <c r="RT80" s="39"/>
      <c r="RU80" s="39"/>
      <c r="RV80" s="39"/>
      <c r="RW80" s="39"/>
      <c r="RX80" s="39"/>
      <c r="RY80" s="39"/>
      <c r="RZ80" s="39"/>
      <c r="SA80" s="39"/>
      <c r="SB80" s="39"/>
      <c r="SC80" s="39"/>
      <c r="SD80" s="39"/>
      <c r="SE80" s="39"/>
      <c r="SF80" s="39"/>
      <c r="SG80" s="39"/>
      <c r="SH80" s="39"/>
      <c r="SI80" s="39"/>
      <c r="SJ80" s="39"/>
      <c r="SK80" s="39"/>
      <c r="SL80" s="39"/>
      <c r="SM80" s="39"/>
      <c r="SN80" s="39"/>
      <c r="SO80" s="39"/>
      <c r="SP80" s="39"/>
      <c r="SQ80" s="39"/>
      <c r="SR80" s="39"/>
      <c r="SS80" s="39"/>
      <c r="ST80" s="39"/>
      <c r="SU80" s="39"/>
      <c r="SV80" s="39"/>
      <c r="SW80" s="39"/>
      <c r="SX80" s="39"/>
      <c r="SY80" s="39"/>
      <c r="SZ80" s="39"/>
      <c r="TA80" s="39"/>
      <c r="TB80" s="39"/>
      <c r="TC80" s="39"/>
      <c r="TD80" s="39"/>
      <c r="TE80" s="39"/>
      <c r="TF80" s="39"/>
      <c r="TG80" s="39"/>
      <c r="TH80" s="39"/>
      <c r="TI80" s="39"/>
    </row>
    <row r="81" spans="1:529" s="40" customFormat="1" ht="18.75" customHeight="1" x14ac:dyDescent="0.25">
      <c r="A81" s="77"/>
      <c r="B81" s="75"/>
      <c r="C81" s="75"/>
      <c r="D81" s="33" t="s">
        <v>308</v>
      </c>
      <c r="E81" s="68">
        <f>E84+E86+E88+E90+E92</f>
        <v>61502848</v>
      </c>
      <c r="F81" s="68">
        <f t="shared" ref="F81:P81" si="25">F84+F86+F88+F90+F92</f>
        <v>61502848</v>
      </c>
      <c r="G81" s="68">
        <f t="shared" si="25"/>
        <v>0</v>
      </c>
      <c r="H81" s="68">
        <f t="shared" si="25"/>
        <v>0</v>
      </c>
      <c r="I81" s="68">
        <f t="shared" si="25"/>
        <v>0</v>
      </c>
      <c r="J81" s="68">
        <f t="shared" si="25"/>
        <v>0</v>
      </c>
      <c r="K81" s="68">
        <f t="shared" si="25"/>
        <v>0</v>
      </c>
      <c r="L81" s="68">
        <f t="shared" si="25"/>
        <v>0</v>
      </c>
      <c r="M81" s="68">
        <f t="shared" si="25"/>
        <v>0</v>
      </c>
      <c r="N81" s="68">
        <f t="shared" si="25"/>
        <v>0</v>
      </c>
      <c r="O81" s="68">
        <f t="shared" si="25"/>
        <v>0</v>
      </c>
      <c r="P81" s="68">
        <f t="shared" si="25"/>
        <v>61502848</v>
      </c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/>
      <c r="JH81" s="39"/>
      <c r="JI81" s="39"/>
      <c r="JJ81" s="39"/>
      <c r="JK81" s="39"/>
      <c r="JL81" s="39"/>
      <c r="JM81" s="39"/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  <c r="KK81" s="39"/>
      <c r="KL81" s="39"/>
      <c r="KM81" s="39"/>
      <c r="KN81" s="39"/>
      <c r="KO81" s="39"/>
      <c r="KP81" s="39"/>
      <c r="KQ81" s="39"/>
      <c r="KR81" s="39"/>
      <c r="KS81" s="39"/>
      <c r="KT81" s="39"/>
      <c r="KU81" s="39"/>
      <c r="KV81" s="39"/>
      <c r="KW81" s="39"/>
      <c r="KX81" s="39"/>
      <c r="KY81" s="39"/>
      <c r="KZ81" s="39"/>
      <c r="LA81" s="39"/>
      <c r="LB81" s="39"/>
      <c r="LC81" s="39"/>
      <c r="LD81" s="39"/>
      <c r="LE81" s="39"/>
      <c r="LF81" s="39"/>
      <c r="LG81" s="39"/>
      <c r="LH81" s="39"/>
      <c r="LI81" s="39"/>
      <c r="LJ81" s="39"/>
      <c r="LK81" s="39"/>
      <c r="LL81" s="39"/>
      <c r="LM81" s="39"/>
      <c r="LN81" s="39"/>
      <c r="LO81" s="39"/>
      <c r="LP81" s="39"/>
      <c r="LQ81" s="39"/>
      <c r="LR81" s="39"/>
      <c r="LS81" s="39"/>
      <c r="LT81" s="39"/>
      <c r="LU81" s="39"/>
      <c r="LV81" s="39"/>
      <c r="LW81" s="39"/>
      <c r="LX81" s="39"/>
      <c r="LY81" s="39"/>
      <c r="LZ81" s="39"/>
      <c r="MA81" s="39"/>
      <c r="MB81" s="39"/>
      <c r="MC81" s="39"/>
      <c r="MD81" s="39"/>
      <c r="ME81" s="39"/>
      <c r="MF81" s="39"/>
      <c r="MG81" s="39"/>
      <c r="MH81" s="39"/>
      <c r="MI81" s="39"/>
      <c r="MJ81" s="39"/>
      <c r="MK81" s="39"/>
      <c r="ML81" s="39"/>
      <c r="MM81" s="39"/>
      <c r="MN81" s="39"/>
      <c r="MO81" s="39"/>
      <c r="MP81" s="39"/>
      <c r="MQ81" s="39"/>
      <c r="MR81" s="39"/>
      <c r="MS81" s="39"/>
      <c r="MT81" s="39"/>
      <c r="MU81" s="39"/>
      <c r="MV81" s="39"/>
      <c r="MW81" s="39"/>
      <c r="MX81" s="39"/>
      <c r="MY81" s="39"/>
      <c r="MZ81" s="39"/>
      <c r="NA81" s="39"/>
      <c r="NB81" s="39"/>
      <c r="NC81" s="39"/>
      <c r="ND81" s="39"/>
      <c r="NE81" s="39"/>
      <c r="NF81" s="39"/>
      <c r="NG81" s="39"/>
      <c r="NH81" s="39"/>
      <c r="NI81" s="39"/>
      <c r="NJ81" s="39"/>
      <c r="NK81" s="39"/>
      <c r="NL81" s="39"/>
      <c r="NM81" s="39"/>
      <c r="NN81" s="39"/>
      <c r="NO81" s="39"/>
      <c r="NP81" s="39"/>
      <c r="NQ81" s="39"/>
      <c r="NR81" s="39"/>
      <c r="NS81" s="39"/>
      <c r="NT81" s="39"/>
      <c r="NU81" s="39"/>
      <c r="NV81" s="39"/>
      <c r="NW81" s="39"/>
      <c r="NX81" s="39"/>
      <c r="NY81" s="39"/>
      <c r="NZ81" s="39"/>
      <c r="OA81" s="39"/>
      <c r="OB81" s="39"/>
      <c r="OC81" s="39"/>
      <c r="OD81" s="39"/>
      <c r="OE81" s="39"/>
      <c r="OF81" s="39"/>
      <c r="OG81" s="39"/>
      <c r="OH81" s="39"/>
      <c r="OI81" s="39"/>
      <c r="OJ81" s="39"/>
      <c r="OK81" s="39"/>
      <c r="OL81" s="39"/>
      <c r="OM81" s="39"/>
      <c r="ON81" s="39"/>
      <c r="OO81" s="39"/>
      <c r="OP81" s="39"/>
      <c r="OQ81" s="39"/>
      <c r="OR81" s="39"/>
      <c r="OS81" s="39"/>
      <c r="OT81" s="39"/>
      <c r="OU81" s="39"/>
      <c r="OV81" s="39"/>
      <c r="OW81" s="39"/>
      <c r="OX81" s="39"/>
      <c r="OY81" s="39"/>
      <c r="OZ81" s="39"/>
      <c r="PA81" s="39"/>
      <c r="PB81" s="39"/>
      <c r="PC81" s="39"/>
      <c r="PD81" s="39"/>
      <c r="PE81" s="39"/>
      <c r="PF81" s="39"/>
      <c r="PG81" s="39"/>
      <c r="PH81" s="39"/>
      <c r="PI81" s="39"/>
      <c r="PJ81" s="39"/>
      <c r="PK81" s="39"/>
      <c r="PL81" s="39"/>
      <c r="PM81" s="39"/>
      <c r="PN81" s="39"/>
      <c r="PO81" s="39"/>
      <c r="PP81" s="39"/>
      <c r="PQ81" s="39"/>
      <c r="PR81" s="39"/>
      <c r="PS81" s="39"/>
      <c r="PT81" s="39"/>
      <c r="PU81" s="39"/>
      <c r="PV81" s="39"/>
      <c r="PW81" s="39"/>
      <c r="PX81" s="39"/>
      <c r="PY81" s="39"/>
      <c r="PZ81" s="39"/>
      <c r="QA81" s="39"/>
      <c r="QB81" s="39"/>
      <c r="QC81" s="39"/>
      <c r="QD81" s="39"/>
      <c r="QE81" s="39"/>
      <c r="QF81" s="39"/>
      <c r="QG81" s="39"/>
      <c r="QH81" s="39"/>
      <c r="QI81" s="39"/>
      <c r="QJ81" s="39"/>
      <c r="QK81" s="39"/>
      <c r="QL81" s="39"/>
      <c r="QM81" s="39"/>
      <c r="QN81" s="39"/>
      <c r="QO81" s="39"/>
      <c r="QP81" s="39"/>
      <c r="QQ81" s="39"/>
      <c r="QR81" s="39"/>
      <c r="QS81" s="39"/>
      <c r="QT81" s="39"/>
      <c r="QU81" s="39"/>
      <c r="QV81" s="39"/>
      <c r="QW81" s="39"/>
      <c r="QX81" s="39"/>
      <c r="QY81" s="39"/>
      <c r="QZ81" s="39"/>
      <c r="RA81" s="39"/>
      <c r="RB81" s="39"/>
      <c r="RC81" s="39"/>
      <c r="RD81" s="39"/>
      <c r="RE81" s="39"/>
      <c r="RF81" s="39"/>
      <c r="RG81" s="39"/>
      <c r="RH81" s="39"/>
      <c r="RI81" s="39"/>
      <c r="RJ81" s="39"/>
      <c r="RK81" s="39"/>
      <c r="RL81" s="39"/>
      <c r="RM81" s="39"/>
      <c r="RN81" s="39"/>
      <c r="RO81" s="39"/>
      <c r="RP81" s="39"/>
      <c r="RQ81" s="39"/>
      <c r="RR81" s="39"/>
      <c r="RS81" s="39"/>
      <c r="RT81" s="39"/>
      <c r="RU81" s="39"/>
      <c r="RV81" s="39"/>
      <c r="RW81" s="39"/>
      <c r="RX81" s="39"/>
      <c r="RY81" s="39"/>
      <c r="RZ81" s="39"/>
      <c r="SA81" s="39"/>
      <c r="SB81" s="39"/>
      <c r="SC81" s="39"/>
      <c r="SD81" s="39"/>
      <c r="SE81" s="39"/>
      <c r="SF81" s="39"/>
      <c r="SG81" s="39"/>
      <c r="SH81" s="39"/>
      <c r="SI81" s="39"/>
      <c r="SJ81" s="39"/>
      <c r="SK81" s="39"/>
      <c r="SL81" s="39"/>
      <c r="SM81" s="39"/>
      <c r="SN81" s="39"/>
      <c r="SO81" s="39"/>
      <c r="SP81" s="39"/>
      <c r="SQ81" s="39"/>
      <c r="SR81" s="39"/>
      <c r="SS81" s="39"/>
      <c r="ST81" s="39"/>
      <c r="SU81" s="39"/>
      <c r="SV81" s="39"/>
      <c r="SW81" s="39"/>
      <c r="SX81" s="39"/>
      <c r="SY81" s="39"/>
      <c r="SZ81" s="39"/>
      <c r="TA81" s="39"/>
      <c r="TB81" s="39"/>
      <c r="TC81" s="39"/>
      <c r="TD81" s="39"/>
      <c r="TE81" s="39"/>
      <c r="TF81" s="39"/>
      <c r="TG81" s="39"/>
      <c r="TH81" s="39"/>
      <c r="TI81" s="39"/>
    </row>
    <row r="82" spans="1:529" s="23" customFormat="1" ht="50.25" customHeight="1" x14ac:dyDescent="0.25">
      <c r="A82" s="43" t="s">
        <v>208</v>
      </c>
      <c r="B82" s="44" t="str">
        <f>'дод 4'!A20</f>
        <v>0160</v>
      </c>
      <c r="C82" s="44" t="str">
        <f>'дод 4'!B20</f>
        <v>0111</v>
      </c>
      <c r="D82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82" s="69">
        <f t="shared" ref="E82:E97" si="26">F82+I82</f>
        <v>2346500</v>
      </c>
      <c r="F82" s="69">
        <f>2218500+30000+3500-97800+196800-4500</f>
        <v>2346500</v>
      </c>
      <c r="G82" s="69">
        <f>1721600-80200-3700</f>
        <v>1637700</v>
      </c>
      <c r="H82" s="69">
        <v>35400</v>
      </c>
      <c r="I82" s="69"/>
      <c r="J82" s="69">
        <f>L82+O82</f>
        <v>0</v>
      </c>
      <c r="K82" s="69"/>
      <c r="L82" s="69"/>
      <c r="M82" s="69"/>
      <c r="N82" s="69"/>
      <c r="O82" s="69"/>
      <c r="P82" s="69">
        <f t="shared" ref="P82:P97" si="27">E82+J82</f>
        <v>2346500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</row>
    <row r="83" spans="1:529" s="23" customFormat="1" ht="14.25" customHeight="1" x14ac:dyDescent="0.25">
      <c r="A83" s="43" t="s">
        <v>209</v>
      </c>
      <c r="B83" s="44" t="str">
        <f>'дод 4'!A41</f>
        <v>2010</v>
      </c>
      <c r="C83" s="44" t="str">
        <f>'дод 4'!B41</f>
        <v>0731</v>
      </c>
      <c r="D83" s="24" t="str">
        <f>'дод 4'!C41</f>
        <v>Багатопрофільна стаціонарна медична допомога населенню</v>
      </c>
      <c r="E83" s="69">
        <f t="shared" si="26"/>
        <v>120917491</v>
      </c>
      <c r="F83" s="69">
        <f>118457491+150000+717000-100000+30000+725000+400000+60000+450000+28000</f>
        <v>120917491</v>
      </c>
      <c r="G83" s="69"/>
      <c r="H83" s="69"/>
      <c r="I83" s="71"/>
      <c r="J83" s="69">
        <f t="shared" ref="J83:J97" si="28">L83+O83</f>
        <v>46795500</v>
      </c>
      <c r="K83" s="69">
        <f>27530000+1100000+1606500-3000000+1500000+10000000+6000000+75000+10000000+454000-16000000+5930000+1500000+100000</f>
        <v>46795500</v>
      </c>
      <c r="L83" s="69"/>
      <c r="M83" s="69"/>
      <c r="N83" s="69"/>
      <c r="O83" s="69">
        <f>27530000+1100000+1606500-3000000+1500000+10000000+6000000+75000+10000000+454000-16000000+5930000+1500000+100000</f>
        <v>46795500</v>
      </c>
      <c r="P83" s="69">
        <f t="shared" si="27"/>
        <v>167712991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</row>
    <row r="84" spans="1:529" s="23" customFormat="1" ht="17.25" customHeight="1" x14ac:dyDescent="0.25">
      <c r="A84" s="43"/>
      <c r="B84" s="44"/>
      <c r="C84" s="44"/>
      <c r="D84" s="22" t="s">
        <v>308</v>
      </c>
      <c r="E84" s="69">
        <f t="shared" si="26"/>
        <v>48187871</v>
      </c>
      <c r="F84" s="69">
        <f>45209900+2680300+147671+150000</f>
        <v>48187871</v>
      </c>
      <c r="G84" s="69"/>
      <c r="H84" s="69"/>
      <c r="I84" s="71"/>
      <c r="J84" s="69">
        <f t="shared" si="28"/>
        <v>0</v>
      </c>
      <c r="K84" s="69"/>
      <c r="L84" s="69"/>
      <c r="M84" s="69"/>
      <c r="N84" s="69"/>
      <c r="O84" s="69"/>
      <c r="P84" s="69">
        <f t="shared" si="27"/>
        <v>48187871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</row>
    <row r="85" spans="1:529" s="23" customFormat="1" ht="36.75" customHeight="1" x14ac:dyDescent="0.25">
      <c r="A85" s="43" t="s">
        <v>214</v>
      </c>
      <c r="B85" s="44" t="str">
        <f>'дод 4'!A43</f>
        <v>2030</v>
      </c>
      <c r="C85" s="44" t="str">
        <f>'дод 4'!B43</f>
        <v>0733</v>
      </c>
      <c r="D85" s="24" t="str">
        <f>'дод 4'!C43</f>
        <v>Лікарсько-акушерська допомога вагітним, породіллям та новонародженим</v>
      </c>
      <c r="E85" s="69">
        <f t="shared" si="26"/>
        <v>15420473</v>
      </c>
      <c r="F85" s="69">
        <f>15275473+50000+95000</f>
        <v>15420473</v>
      </c>
      <c r="G85" s="71"/>
      <c r="H85" s="71"/>
      <c r="I85" s="71"/>
      <c r="J85" s="69">
        <f t="shared" si="28"/>
        <v>15040600</v>
      </c>
      <c r="K85" s="69">
        <v>15040600</v>
      </c>
      <c r="L85" s="69"/>
      <c r="M85" s="69"/>
      <c r="N85" s="69"/>
      <c r="O85" s="69">
        <v>15040600</v>
      </c>
      <c r="P85" s="69">
        <f t="shared" si="27"/>
        <v>30461073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  <c r="IW85" s="26"/>
      <c r="IX85" s="26"/>
      <c r="IY85" s="26"/>
      <c r="IZ85" s="26"/>
      <c r="JA85" s="26"/>
      <c r="JB85" s="26"/>
      <c r="JC85" s="26"/>
      <c r="JD85" s="26"/>
      <c r="JE85" s="26"/>
      <c r="JF85" s="26"/>
      <c r="JG85" s="26"/>
      <c r="JH85" s="26"/>
      <c r="JI85" s="26"/>
      <c r="JJ85" s="26"/>
      <c r="JK85" s="26"/>
      <c r="JL85" s="26"/>
      <c r="JM85" s="26"/>
      <c r="JN85" s="26"/>
      <c r="JO85" s="26"/>
      <c r="JP85" s="26"/>
      <c r="JQ85" s="26"/>
      <c r="JR85" s="26"/>
      <c r="JS85" s="26"/>
      <c r="JT85" s="26"/>
      <c r="JU85" s="26"/>
      <c r="JV85" s="26"/>
      <c r="JW85" s="26"/>
      <c r="JX85" s="26"/>
      <c r="JY85" s="26"/>
      <c r="JZ85" s="26"/>
      <c r="KA85" s="26"/>
      <c r="KB85" s="26"/>
      <c r="KC85" s="26"/>
      <c r="KD85" s="26"/>
      <c r="KE85" s="26"/>
      <c r="KF85" s="26"/>
      <c r="KG85" s="26"/>
      <c r="KH85" s="26"/>
      <c r="KI85" s="26"/>
      <c r="KJ85" s="26"/>
      <c r="KK85" s="26"/>
      <c r="KL85" s="26"/>
      <c r="KM85" s="26"/>
      <c r="KN85" s="26"/>
      <c r="KO85" s="26"/>
      <c r="KP85" s="26"/>
      <c r="KQ85" s="26"/>
      <c r="KR85" s="26"/>
      <c r="KS85" s="26"/>
      <c r="KT85" s="26"/>
      <c r="KU85" s="26"/>
      <c r="KV85" s="26"/>
      <c r="KW85" s="26"/>
      <c r="KX85" s="26"/>
      <c r="KY85" s="26"/>
      <c r="KZ85" s="26"/>
      <c r="LA85" s="26"/>
      <c r="LB85" s="26"/>
      <c r="LC85" s="26"/>
      <c r="LD85" s="26"/>
      <c r="LE85" s="26"/>
      <c r="LF85" s="26"/>
      <c r="LG85" s="26"/>
      <c r="LH85" s="26"/>
      <c r="LI85" s="26"/>
      <c r="LJ85" s="26"/>
      <c r="LK85" s="26"/>
      <c r="LL85" s="26"/>
      <c r="LM85" s="26"/>
      <c r="LN85" s="26"/>
      <c r="LO85" s="26"/>
      <c r="LP85" s="26"/>
      <c r="LQ85" s="26"/>
      <c r="LR85" s="26"/>
      <c r="LS85" s="26"/>
      <c r="LT85" s="26"/>
      <c r="LU85" s="26"/>
      <c r="LV85" s="26"/>
      <c r="LW85" s="26"/>
      <c r="LX85" s="26"/>
      <c r="LY85" s="26"/>
      <c r="LZ85" s="26"/>
      <c r="MA85" s="26"/>
      <c r="MB85" s="26"/>
      <c r="MC85" s="26"/>
      <c r="MD85" s="26"/>
      <c r="ME85" s="26"/>
      <c r="MF85" s="26"/>
      <c r="MG85" s="26"/>
      <c r="MH85" s="26"/>
      <c r="MI85" s="26"/>
      <c r="MJ85" s="26"/>
      <c r="MK85" s="26"/>
      <c r="ML85" s="26"/>
      <c r="MM85" s="26"/>
      <c r="MN85" s="26"/>
      <c r="MO85" s="26"/>
      <c r="MP85" s="26"/>
      <c r="MQ85" s="26"/>
      <c r="MR85" s="26"/>
      <c r="MS85" s="26"/>
      <c r="MT85" s="26"/>
      <c r="MU85" s="26"/>
      <c r="MV85" s="26"/>
      <c r="MW85" s="26"/>
      <c r="MX85" s="26"/>
      <c r="MY85" s="26"/>
      <c r="MZ85" s="26"/>
      <c r="NA85" s="26"/>
      <c r="NB85" s="26"/>
      <c r="NC85" s="26"/>
      <c r="ND85" s="26"/>
      <c r="NE85" s="26"/>
      <c r="NF85" s="26"/>
      <c r="NG85" s="26"/>
      <c r="NH85" s="26"/>
      <c r="NI85" s="26"/>
      <c r="NJ85" s="26"/>
      <c r="NK85" s="26"/>
      <c r="NL85" s="26"/>
      <c r="NM85" s="26"/>
      <c r="NN85" s="26"/>
      <c r="NO85" s="26"/>
      <c r="NP85" s="26"/>
      <c r="NQ85" s="26"/>
      <c r="NR85" s="26"/>
      <c r="NS85" s="26"/>
      <c r="NT85" s="26"/>
      <c r="NU85" s="26"/>
      <c r="NV85" s="26"/>
      <c r="NW85" s="26"/>
      <c r="NX85" s="26"/>
      <c r="NY85" s="26"/>
      <c r="NZ85" s="26"/>
      <c r="OA85" s="26"/>
      <c r="OB85" s="26"/>
      <c r="OC85" s="26"/>
      <c r="OD85" s="26"/>
      <c r="OE85" s="26"/>
      <c r="OF85" s="26"/>
      <c r="OG85" s="26"/>
      <c r="OH85" s="26"/>
      <c r="OI85" s="26"/>
      <c r="OJ85" s="26"/>
      <c r="OK85" s="26"/>
      <c r="OL85" s="26"/>
      <c r="OM85" s="26"/>
      <c r="ON85" s="26"/>
      <c r="OO85" s="26"/>
      <c r="OP85" s="26"/>
      <c r="OQ85" s="26"/>
      <c r="OR85" s="26"/>
      <c r="OS85" s="26"/>
      <c r="OT85" s="26"/>
      <c r="OU85" s="26"/>
      <c r="OV85" s="26"/>
      <c r="OW85" s="26"/>
      <c r="OX85" s="26"/>
      <c r="OY85" s="26"/>
      <c r="OZ85" s="26"/>
      <c r="PA85" s="26"/>
      <c r="PB85" s="26"/>
      <c r="PC85" s="26"/>
      <c r="PD85" s="26"/>
      <c r="PE85" s="26"/>
      <c r="PF85" s="26"/>
      <c r="PG85" s="26"/>
      <c r="PH85" s="26"/>
      <c r="PI85" s="26"/>
      <c r="PJ85" s="26"/>
      <c r="PK85" s="26"/>
      <c r="PL85" s="26"/>
      <c r="PM85" s="26"/>
      <c r="PN85" s="26"/>
      <c r="PO85" s="26"/>
      <c r="PP85" s="26"/>
      <c r="PQ85" s="26"/>
      <c r="PR85" s="26"/>
      <c r="PS85" s="26"/>
      <c r="PT85" s="26"/>
      <c r="PU85" s="26"/>
      <c r="PV85" s="26"/>
      <c r="PW85" s="26"/>
      <c r="PX85" s="26"/>
      <c r="PY85" s="26"/>
      <c r="PZ85" s="26"/>
      <c r="QA85" s="26"/>
      <c r="QB85" s="26"/>
      <c r="QC85" s="26"/>
      <c r="QD85" s="26"/>
      <c r="QE85" s="26"/>
      <c r="QF85" s="26"/>
      <c r="QG85" s="26"/>
      <c r="QH85" s="26"/>
      <c r="QI85" s="26"/>
      <c r="QJ85" s="26"/>
      <c r="QK85" s="26"/>
      <c r="QL85" s="26"/>
      <c r="QM85" s="26"/>
      <c r="QN85" s="26"/>
      <c r="QO85" s="26"/>
      <c r="QP85" s="26"/>
      <c r="QQ85" s="26"/>
      <c r="QR85" s="26"/>
      <c r="QS85" s="26"/>
      <c r="QT85" s="26"/>
      <c r="QU85" s="26"/>
      <c r="QV85" s="26"/>
      <c r="QW85" s="26"/>
      <c r="QX85" s="26"/>
      <c r="QY85" s="26"/>
      <c r="QZ85" s="26"/>
      <c r="RA85" s="26"/>
      <c r="RB85" s="26"/>
      <c r="RC85" s="26"/>
      <c r="RD85" s="26"/>
      <c r="RE85" s="26"/>
      <c r="RF85" s="26"/>
      <c r="RG85" s="26"/>
      <c r="RH85" s="26"/>
      <c r="RI85" s="26"/>
      <c r="RJ85" s="26"/>
      <c r="RK85" s="26"/>
      <c r="RL85" s="26"/>
      <c r="RM85" s="26"/>
      <c r="RN85" s="26"/>
      <c r="RO85" s="26"/>
      <c r="RP85" s="26"/>
      <c r="RQ85" s="26"/>
      <c r="RR85" s="26"/>
      <c r="RS85" s="26"/>
      <c r="RT85" s="26"/>
      <c r="RU85" s="26"/>
      <c r="RV85" s="26"/>
      <c r="RW85" s="26"/>
      <c r="RX85" s="26"/>
      <c r="RY85" s="26"/>
      <c r="RZ85" s="26"/>
      <c r="SA85" s="26"/>
      <c r="SB85" s="26"/>
      <c r="SC85" s="26"/>
      <c r="SD85" s="26"/>
      <c r="SE85" s="26"/>
      <c r="SF85" s="26"/>
      <c r="SG85" s="26"/>
      <c r="SH85" s="26"/>
      <c r="SI85" s="26"/>
      <c r="SJ85" s="26"/>
      <c r="SK85" s="26"/>
      <c r="SL85" s="26"/>
      <c r="SM85" s="26"/>
      <c r="SN85" s="26"/>
      <c r="SO85" s="26"/>
      <c r="SP85" s="26"/>
      <c r="SQ85" s="26"/>
      <c r="SR85" s="26"/>
      <c r="SS85" s="26"/>
      <c r="ST85" s="26"/>
      <c r="SU85" s="26"/>
      <c r="SV85" s="26"/>
      <c r="SW85" s="26"/>
      <c r="SX85" s="26"/>
      <c r="SY85" s="26"/>
      <c r="SZ85" s="26"/>
      <c r="TA85" s="26"/>
      <c r="TB85" s="26"/>
      <c r="TC85" s="26"/>
      <c r="TD85" s="26"/>
      <c r="TE85" s="26"/>
      <c r="TF85" s="26"/>
      <c r="TG85" s="26"/>
      <c r="TH85" s="26"/>
      <c r="TI85" s="26"/>
    </row>
    <row r="86" spans="1:529" s="23" customFormat="1" ht="16.5" customHeight="1" x14ac:dyDescent="0.25">
      <c r="A86" s="43"/>
      <c r="B86" s="44"/>
      <c r="C86" s="44"/>
      <c r="D86" s="22" t="s">
        <v>308</v>
      </c>
      <c r="E86" s="69">
        <f t="shared" si="26"/>
        <v>6347600</v>
      </c>
      <c r="F86" s="69">
        <v>6347600</v>
      </c>
      <c r="G86" s="71"/>
      <c r="H86" s="71"/>
      <c r="I86" s="71"/>
      <c r="J86" s="69">
        <f t="shared" si="28"/>
        <v>0</v>
      </c>
      <c r="K86" s="69"/>
      <c r="L86" s="69"/>
      <c r="M86" s="69"/>
      <c r="N86" s="69"/>
      <c r="O86" s="69"/>
      <c r="P86" s="69">
        <f t="shared" si="27"/>
        <v>6347600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  <c r="JK86" s="26"/>
      <c r="JL86" s="26"/>
      <c r="JM86" s="26"/>
      <c r="JN86" s="26"/>
      <c r="JO86" s="26"/>
      <c r="JP86" s="26"/>
      <c r="JQ86" s="26"/>
      <c r="JR86" s="26"/>
      <c r="JS86" s="26"/>
      <c r="JT86" s="26"/>
      <c r="JU86" s="26"/>
      <c r="JV86" s="26"/>
      <c r="JW86" s="26"/>
      <c r="JX86" s="26"/>
      <c r="JY86" s="26"/>
      <c r="JZ86" s="26"/>
      <c r="KA86" s="26"/>
      <c r="KB86" s="26"/>
      <c r="KC86" s="26"/>
      <c r="KD86" s="26"/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26"/>
      <c r="LN86" s="26"/>
      <c r="LO86" s="26"/>
      <c r="LP86" s="26"/>
      <c r="LQ86" s="26"/>
      <c r="LR86" s="26"/>
      <c r="LS86" s="26"/>
      <c r="LT86" s="26"/>
      <c r="LU86" s="26"/>
      <c r="LV86" s="26"/>
      <c r="LW86" s="26"/>
      <c r="LX86" s="26"/>
      <c r="LY86" s="26"/>
      <c r="LZ86" s="26"/>
      <c r="MA86" s="26"/>
      <c r="MB86" s="26"/>
      <c r="MC86" s="26"/>
      <c r="MD86" s="26"/>
      <c r="ME86" s="26"/>
      <c r="MF86" s="26"/>
      <c r="MG86" s="26"/>
      <c r="MH86" s="26"/>
      <c r="MI86" s="26"/>
      <c r="MJ86" s="26"/>
      <c r="MK86" s="26"/>
      <c r="ML86" s="26"/>
      <c r="MM86" s="26"/>
      <c r="MN86" s="26"/>
      <c r="MO86" s="26"/>
      <c r="MP86" s="26"/>
      <c r="MQ86" s="26"/>
      <c r="MR86" s="26"/>
      <c r="MS86" s="26"/>
      <c r="MT86" s="26"/>
      <c r="MU86" s="26"/>
      <c r="MV86" s="26"/>
      <c r="MW86" s="26"/>
      <c r="MX86" s="26"/>
      <c r="MY86" s="26"/>
      <c r="MZ86" s="26"/>
      <c r="NA86" s="26"/>
      <c r="NB86" s="26"/>
      <c r="NC86" s="26"/>
      <c r="ND86" s="26"/>
      <c r="NE86" s="26"/>
      <c r="NF86" s="26"/>
      <c r="NG86" s="26"/>
      <c r="NH86" s="26"/>
      <c r="NI86" s="26"/>
      <c r="NJ86" s="26"/>
      <c r="NK86" s="26"/>
      <c r="NL86" s="26"/>
      <c r="NM86" s="26"/>
      <c r="NN86" s="26"/>
      <c r="NO86" s="26"/>
      <c r="NP86" s="26"/>
      <c r="NQ86" s="26"/>
      <c r="NR86" s="26"/>
      <c r="NS86" s="26"/>
      <c r="NT86" s="26"/>
      <c r="NU86" s="26"/>
      <c r="NV86" s="26"/>
      <c r="NW86" s="26"/>
      <c r="NX86" s="26"/>
      <c r="NY86" s="26"/>
      <c r="NZ86" s="26"/>
      <c r="OA86" s="26"/>
      <c r="OB86" s="26"/>
      <c r="OC86" s="26"/>
      <c r="OD86" s="26"/>
      <c r="OE86" s="26"/>
      <c r="OF86" s="26"/>
      <c r="OG86" s="26"/>
      <c r="OH86" s="26"/>
      <c r="OI86" s="26"/>
      <c r="OJ86" s="26"/>
      <c r="OK86" s="26"/>
      <c r="OL86" s="26"/>
      <c r="OM86" s="26"/>
      <c r="ON86" s="26"/>
      <c r="OO86" s="26"/>
      <c r="OP86" s="26"/>
      <c r="OQ86" s="26"/>
      <c r="OR86" s="26"/>
      <c r="OS86" s="26"/>
      <c r="OT86" s="26"/>
      <c r="OU86" s="26"/>
      <c r="OV86" s="26"/>
      <c r="OW86" s="26"/>
      <c r="OX86" s="26"/>
      <c r="OY86" s="26"/>
      <c r="OZ86" s="26"/>
      <c r="PA86" s="26"/>
      <c r="PB86" s="26"/>
      <c r="PC86" s="26"/>
      <c r="PD86" s="26"/>
      <c r="PE86" s="26"/>
      <c r="PF86" s="26"/>
      <c r="PG86" s="26"/>
      <c r="PH86" s="26"/>
      <c r="PI86" s="26"/>
      <c r="PJ86" s="26"/>
      <c r="PK86" s="26"/>
      <c r="PL86" s="26"/>
      <c r="PM86" s="26"/>
      <c r="PN86" s="26"/>
      <c r="PO86" s="26"/>
      <c r="PP86" s="26"/>
      <c r="PQ86" s="26"/>
      <c r="PR86" s="26"/>
      <c r="PS86" s="26"/>
      <c r="PT86" s="26"/>
      <c r="PU86" s="26"/>
      <c r="PV86" s="26"/>
      <c r="PW86" s="26"/>
      <c r="PX86" s="26"/>
      <c r="PY86" s="26"/>
      <c r="PZ86" s="26"/>
      <c r="QA86" s="26"/>
      <c r="QB86" s="26"/>
      <c r="QC86" s="26"/>
      <c r="QD86" s="26"/>
      <c r="QE86" s="26"/>
      <c r="QF86" s="26"/>
      <c r="QG86" s="26"/>
      <c r="QH86" s="26"/>
      <c r="QI86" s="26"/>
      <c r="QJ86" s="26"/>
      <c r="QK86" s="26"/>
      <c r="QL86" s="26"/>
      <c r="QM86" s="26"/>
      <c r="QN86" s="26"/>
      <c r="QO86" s="26"/>
      <c r="QP86" s="26"/>
      <c r="QQ86" s="26"/>
      <c r="QR86" s="26"/>
      <c r="QS86" s="26"/>
      <c r="QT86" s="26"/>
      <c r="QU86" s="26"/>
      <c r="QV86" s="26"/>
      <c r="QW86" s="26"/>
      <c r="QX86" s="26"/>
      <c r="QY86" s="26"/>
      <c r="QZ86" s="26"/>
      <c r="RA86" s="26"/>
      <c r="RB86" s="26"/>
      <c r="RC86" s="26"/>
      <c r="RD86" s="26"/>
      <c r="RE86" s="26"/>
      <c r="RF86" s="26"/>
      <c r="RG86" s="26"/>
      <c r="RH86" s="26"/>
      <c r="RI86" s="26"/>
      <c r="RJ86" s="26"/>
      <c r="RK86" s="26"/>
      <c r="RL86" s="26"/>
      <c r="RM86" s="26"/>
      <c r="RN86" s="26"/>
      <c r="RO86" s="26"/>
      <c r="RP86" s="26"/>
      <c r="RQ86" s="26"/>
      <c r="RR86" s="26"/>
      <c r="RS86" s="26"/>
      <c r="RT86" s="26"/>
      <c r="RU86" s="26"/>
      <c r="RV86" s="26"/>
      <c r="RW86" s="26"/>
      <c r="RX86" s="26"/>
      <c r="RY86" s="26"/>
      <c r="RZ86" s="26"/>
      <c r="SA86" s="26"/>
      <c r="SB86" s="26"/>
      <c r="SC86" s="26"/>
      <c r="SD86" s="26"/>
      <c r="SE86" s="26"/>
      <c r="SF86" s="26"/>
      <c r="SG86" s="26"/>
      <c r="SH86" s="26"/>
      <c r="SI86" s="26"/>
      <c r="SJ86" s="26"/>
      <c r="SK86" s="26"/>
      <c r="SL86" s="26"/>
      <c r="SM86" s="26"/>
      <c r="SN86" s="26"/>
      <c r="SO86" s="26"/>
      <c r="SP86" s="26"/>
      <c r="SQ86" s="26"/>
      <c r="SR86" s="26"/>
      <c r="SS86" s="26"/>
      <c r="ST86" s="26"/>
      <c r="SU86" s="26"/>
      <c r="SV86" s="26"/>
      <c r="SW86" s="26"/>
      <c r="SX86" s="26"/>
      <c r="SY86" s="26"/>
      <c r="SZ86" s="26"/>
      <c r="TA86" s="26"/>
      <c r="TB86" s="26"/>
      <c r="TC86" s="26"/>
      <c r="TD86" s="26"/>
      <c r="TE86" s="26"/>
      <c r="TF86" s="26"/>
      <c r="TG86" s="26"/>
      <c r="TH86" s="26"/>
      <c r="TI86" s="26"/>
    </row>
    <row r="87" spans="1:529" s="23" customFormat="1" ht="24" customHeight="1" x14ac:dyDescent="0.25">
      <c r="A87" s="43" t="s">
        <v>213</v>
      </c>
      <c r="B87" s="44" t="str">
        <f>'дод 4'!A45</f>
        <v>2100</v>
      </c>
      <c r="C87" s="44" t="str">
        <f>'дод 4'!B45</f>
        <v>0722</v>
      </c>
      <c r="D87" s="24" t="str">
        <f>'дод 4'!C45</f>
        <v>Стоматологічна допомога населенню</v>
      </c>
      <c r="E87" s="69">
        <f t="shared" si="26"/>
        <v>6663426</v>
      </c>
      <c r="F87" s="69">
        <v>6663426</v>
      </c>
      <c r="G87" s="71"/>
      <c r="H87" s="71"/>
      <c r="I87" s="71"/>
      <c r="J87" s="69">
        <f t="shared" si="28"/>
        <v>1130000</v>
      </c>
      <c r="K87" s="69">
        <f>1210600-80600</f>
        <v>1130000</v>
      </c>
      <c r="L87" s="69"/>
      <c r="M87" s="69"/>
      <c r="N87" s="69"/>
      <c r="O87" s="69">
        <f>1210600-80600</f>
        <v>1130000</v>
      </c>
      <c r="P87" s="69">
        <f t="shared" si="27"/>
        <v>7793426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</row>
    <row r="88" spans="1:529" s="23" customFormat="1" ht="15" customHeight="1" x14ac:dyDescent="0.25">
      <c r="A88" s="43"/>
      <c r="B88" s="44"/>
      <c r="C88" s="44"/>
      <c r="D88" s="22" t="s">
        <v>308</v>
      </c>
      <c r="E88" s="69">
        <f t="shared" si="26"/>
        <v>1132200</v>
      </c>
      <c r="F88" s="69">
        <v>1132200</v>
      </c>
      <c r="G88" s="71"/>
      <c r="H88" s="71"/>
      <c r="I88" s="71"/>
      <c r="J88" s="69">
        <f t="shared" si="28"/>
        <v>0</v>
      </c>
      <c r="K88" s="69"/>
      <c r="L88" s="69"/>
      <c r="M88" s="69"/>
      <c r="N88" s="69"/>
      <c r="O88" s="69"/>
      <c r="P88" s="69">
        <f t="shared" si="27"/>
        <v>1132200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</row>
    <row r="89" spans="1:529" s="23" customFormat="1" ht="40.5" customHeight="1" x14ac:dyDescent="0.25">
      <c r="A89" s="43" t="s">
        <v>212</v>
      </c>
      <c r="B89" s="44" t="str">
        <f>'дод 4'!A47</f>
        <v>2111</v>
      </c>
      <c r="C89" s="44" t="str">
        <f>'дод 4'!B47</f>
        <v>0726</v>
      </c>
      <c r="D89" s="24" t="str">
        <f>'дод 4'!C47</f>
        <v>Первинна медична допомога населенню, що надається центрами первинної медичної (медико-санітарної) допомоги</v>
      </c>
      <c r="E89" s="69">
        <f t="shared" si="26"/>
        <v>1984936</v>
      </c>
      <c r="F89" s="69">
        <f>1672468+173000+25000+12000+2468+100000</f>
        <v>1984936</v>
      </c>
      <c r="G89" s="71"/>
      <c r="H89" s="71"/>
      <c r="I89" s="71"/>
      <c r="J89" s="69">
        <f t="shared" si="28"/>
        <v>0</v>
      </c>
      <c r="K89" s="69"/>
      <c r="L89" s="69"/>
      <c r="M89" s="69"/>
      <c r="N89" s="69"/>
      <c r="O89" s="69"/>
      <c r="P89" s="69">
        <f t="shared" si="27"/>
        <v>1984936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/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  <c r="OR89" s="26"/>
      <c r="OS89" s="26"/>
      <c r="OT89" s="26"/>
      <c r="OU89" s="26"/>
      <c r="OV89" s="26"/>
      <c r="OW89" s="26"/>
      <c r="OX89" s="26"/>
      <c r="OY89" s="26"/>
      <c r="OZ89" s="26"/>
      <c r="PA89" s="26"/>
      <c r="PB89" s="26"/>
      <c r="PC89" s="26"/>
      <c r="PD89" s="26"/>
      <c r="PE89" s="26"/>
      <c r="PF89" s="26"/>
      <c r="PG89" s="26"/>
      <c r="PH89" s="26"/>
      <c r="PI89" s="26"/>
      <c r="PJ89" s="26"/>
      <c r="PK89" s="26"/>
      <c r="PL89" s="26"/>
      <c r="PM89" s="26"/>
      <c r="PN89" s="26"/>
      <c r="PO89" s="26"/>
      <c r="PP89" s="26"/>
      <c r="PQ89" s="26"/>
      <c r="PR89" s="26"/>
      <c r="PS89" s="26"/>
      <c r="PT89" s="26"/>
      <c r="PU89" s="26"/>
      <c r="PV89" s="26"/>
      <c r="PW89" s="26"/>
      <c r="PX89" s="26"/>
      <c r="PY89" s="26"/>
      <c r="PZ89" s="26"/>
      <c r="QA89" s="26"/>
      <c r="QB89" s="26"/>
      <c r="QC89" s="26"/>
      <c r="QD89" s="26"/>
      <c r="QE89" s="26"/>
      <c r="QF89" s="26"/>
      <c r="QG89" s="26"/>
      <c r="QH89" s="26"/>
      <c r="QI89" s="26"/>
      <c r="QJ89" s="26"/>
      <c r="QK89" s="26"/>
      <c r="QL89" s="26"/>
      <c r="QM89" s="26"/>
      <c r="QN89" s="26"/>
      <c r="QO89" s="26"/>
      <c r="QP89" s="26"/>
      <c r="QQ89" s="26"/>
      <c r="QR89" s="26"/>
      <c r="QS89" s="26"/>
      <c r="QT89" s="26"/>
      <c r="QU89" s="26"/>
      <c r="QV89" s="26"/>
      <c r="QW89" s="26"/>
      <c r="QX89" s="26"/>
      <c r="QY89" s="26"/>
      <c r="QZ89" s="26"/>
      <c r="RA89" s="26"/>
      <c r="RB89" s="26"/>
      <c r="RC89" s="26"/>
      <c r="RD89" s="26"/>
      <c r="RE89" s="26"/>
      <c r="RF89" s="26"/>
      <c r="RG89" s="26"/>
      <c r="RH89" s="26"/>
      <c r="RI89" s="26"/>
      <c r="RJ89" s="26"/>
      <c r="RK89" s="26"/>
      <c r="RL89" s="26"/>
      <c r="RM89" s="26"/>
      <c r="RN89" s="26"/>
      <c r="RO89" s="26"/>
      <c r="RP89" s="26"/>
      <c r="RQ89" s="26"/>
      <c r="RR89" s="26"/>
      <c r="RS89" s="26"/>
      <c r="RT89" s="26"/>
      <c r="RU89" s="26"/>
      <c r="RV89" s="26"/>
      <c r="RW89" s="26"/>
      <c r="RX89" s="26"/>
      <c r="RY89" s="26"/>
      <c r="RZ89" s="26"/>
      <c r="SA89" s="26"/>
      <c r="SB89" s="26"/>
      <c r="SC89" s="26"/>
      <c r="SD89" s="26"/>
      <c r="SE89" s="26"/>
      <c r="SF89" s="26"/>
      <c r="SG89" s="26"/>
      <c r="SH89" s="26"/>
      <c r="SI89" s="26"/>
      <c r="SJ89" s="26"/>
      <c r="SK89" s="26"/>
      <c r="SL89" s="26"/>
      <c r="SM89" s="26"/>
      <c r="SN89" s="26"/>
      <c r="SO89" s="26"/>
      <c r="SP89" s="26"/>
      <c r="SQ89" s="26"/>
      <c r="SR89" s="26"/>
      <c r="SS89" s="26"/>
      <c r="ST89" s="26"/>
      <c r="SU89" s="26"/>
      <c r="SV89" s="26"/>
      <c r="SW89" s="26"/>
      <c r="SX89" s="26"/>
      <c r="SY89" s="26"/>
      <c r="SZ89" s="26"/>
      <c r="TA89" s="26"/>
      <c r="TB89" s="26"/>
      <c r="TC89" s="26"/>
      <c r="TD89" s="26"/>
      <c r="TE89" s="26"/>
      <c r="TF89" s="26"/>
      <c r="TG89" s="26"/>
      <c r="TH89" s="26"/>
      <c r="TI89" s="26"/>
    </row>
    <row r="90" spans="1:529" s="23" customFormat="1" ht="18.75" customHeight="1" x14ac:dyDescent="0.25">
      <c r="A90" s="43"/>
      <c r="B90" s="44"/>
      <c r="C90" s="44"/>
      <c r="D90" s="25" t="str">
        <f>'дод 4'!C48</f>
        <v>у т.ч. за рахунок субвенцій з держбюджету</v>
      </c>
      <c r="E90" s="69">
        <f t="shared" ref="E90" si="29">F90+I90</f>
        <v>2468</v>
      </c>
      <c r="F90" s="69">
        <v>2468</v>
      </c>
      <c r="G90" s="71"/>
      <c r="H90" s="71"/>
      <c r="I90" s="71"/>
      <c r="J90" s="69">
        <f t="shared" ref="J90" si="30">L90+O90</f>
        <v>0</v>
      </c>
      <c r="K90" s="69"/>
      <c r="L90" s="69"/>
      <c r="M90" s="69"/>
      <c r="N90" s="69"/>
      <c r="O90" s="69"/>
      <c r="P90" s="69">
        <f t="shared" ref="P90" si="31">E90+J90</f>
        <v>2468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  <c r="IW90" s="26"/>
      <c r="IX90" s="26"/>
      <c r="IY90" s="26"/>
      <c r="IZ90" s="26"/>
      <c r="JA90" s="26"/>
      <c r="JB90" s="26"/>
      <c r="JC90" s="26"/>
      <c r="JD90" s="26"/>
      <c r="JE90" s="26"/>
      <c r="JF90" s="26"/>
      <c r="JG90" s="26"/>
      <c r="JH90" s="26"/>
      <c r="JI90" s="26"/>
      <c r="JJ90" s="26"/>
      <c r="JK90" s="26"/>
      <c r="JL90" s="26"/>
      <c r="JM90" s="26"/>
      <c r="JN90" s="26"/>
      <c r="JO90" s="26"/>
      <c r="JP90" s="26"/>
      <c r="JQ90" s="26"/>
      <c r="JR90" s="26"/>
      <c r="JS90" s="26"/>
      <c r="JT90" s="26"/>
      <c r="JU90" s="26"/>
      <c r="JV90" s="26"/>
      <c r="JW90" s="26"/>
      <c r="JX90" s="26"/>
      <c r="JY90" s="26"/>
      <c r="JZ90" s="26"/>
      <c r="KA90" s="26"/>
      <c r="KB90" s="26"/>
      <c r="KC90" s="26"/>
      <c r="KD90" s="26"/>
      <c r="KE90" s="26"/>
      <c r="KF90" s="26"/>
      <c r="KG90" s="26"/>
      <c r="KH90" s="26"/>
      <c r="KI90" s="26"/>
      <c r="KJ90" s="26"/>
      <c r="KK90" s="26"/>
      <c r="KL90" s="26"/>
      <c r="KM90" s="26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  <c r="OR90" s="26"/>
      <c r="OS90" s="26"/>
      <c r="OT90" s="26"/>
      <c r="OU90" s="26"/>
      <c r="OV90" s="26"/>
      <c r="OW90" s="26"/>
      <c r="OX90" s="26"/>
      <c r="OY90" s="26"/>
      <c r="OZ90" s="26"/>
      <c r="PA90" s="26"/>
      <c r="PB90" s="26"/>
      <c r="PC90" s="26"/>
      <c r="PD90" s="26"/>
      <c r="PE90" s="26"/>
      <c r="PF90" s="26"/>
      <c r="PG90" s="26"/>
      <c r="PH90" s="26"/>
      <c r="PI90" s="26"/>
      <c r="PJ90" s="26"/>
      <c r="PK90" s="26"/>
      <c r="PL90" s="26"/>
      <c r="PM90" s="26"/>
      <c r="PN90" s="26"/>
      <c r="PO90" s="26"/>
      <c r="PP90" s="26"/>
      <c r="PQ90" s="26"/>
      <c r="PR90" s="26"/>
      <c r="PS90" s="26"/>
      <c r="PT90" s="26"/>
      <c r="PU90" s="26"/>
      <c r="PV90" s="26"/>
      <c r="PW90" s="26"/>
      <c r="PX90" s="26"/>
      <c r="PY90" s="26"/>
      <c r="PZ90" s="26"/>
      <c r="QA90" s="26"/>
      <c r="QB90" s="26"/>
      <c r="QC90" s="26"/>
      <c r="QD90" s="26"/>
      <c r="QE90" s="26"/>
      <c r="QF90" s="26"/>
      <c r="QG90" s="26"/>
      <c r="QH90" s="26"/>
      <c r="QI90" s="26"/>
      <c r="QJ90" s="26"/>
      <c r="QK90" s="26"/>
      <c r="QL90" s="26"/>
      <c r="QM90" s="26"/>
      <c r="QN90" s="26"/>
      <c r="QO90" s="26"/>
      <c r="QP90" s="26"/>
      <c r="QQ90" s="26"/>
      <c r="QR90" s="26"/>
      <c r="QS90" s="26"/>
      <c r="QT90" s="26"/>
      <c r="QU90" s="26"/>
      <c r="QV90" s="26"/>
      <c r="QW90" s="26"/>
      <c r="QX90" s="26"/>
      <c r="QY90" s="26"/>
      <c r="QZ90" s="26"/>
      <c r="RA90" s="26"/>
      <c r="RB90" s="26"/>
      <c r="RC90" s="26"/>
      <c r="RD90" s="26"/>
      <c r="RE90" s="26"/>
      <c r="RF90" s="26"/>
      <c r="RG90" s="26"/>
      <c r="RH90" s="26"/>
      <c r="RI90" s="26"/>
      <c r="RJ90" s="26"/>
      <c r="RK90" s="26"/>
      <c r="RL90" s="26"/>
      <c r="RM90" s="26"/>
      <c r="RN90" s="26"/>
      <c r="RO90" s="26"/>
      <c r="RP90" s="26"/>
      <c r="RQ90" s="26"/>
      <c r="RR90" s="26"/>
      <c r="RS90" s="26"/>
      <c r="RT90" s="26"/>
      <c r="RU90" s="26"/>
      <c r="RV90" s="26"/>
      <c r="RW90" s="26"/>
      <c r="RX90" s="26"/>
      <c r="RY90" s="26"/>
      <c r="RZ90" s="26"/>
      <c r="SA90" s="26"/>
      <c r="SB90" s="26"/>
      <c r="SC90" s="26"/>
      <c r="SD90" s="26"/>
      <c r="SE90" s="26"/>
      <c r="SF90" s="26"/>
      <c r="SG90" s="26"/>
      <c r="SH90" s="26"/>
      <c r="SI90" s="26"/>
      <c r="SJ90" s="26"/>
      <c r="SK90" s="26"/>
      <c r="SL90" s="26"/>
      <c r="SM90" s="26"/>
      <c r="SN90" s="26"/>
      <c r="SO90" s="26"/>
      <c r="SP90" s="26"/>
      <c r="SQ90" s="26"/>
      <c r="SR90" s="26"/>
      <c r="SS90" s="26"/>
      <c r="ST90" s="26"/>
      <c r="SU90" s="26"/>
      <c r="SV90" s="26"/>
      <c r="SW90" s="26"/>
      <c r="SX90" s="26"/>
      <c r="SY90" s="26"/>
      <c r="SZ90" s="26"/>
      <c r="TA90" s="26"/>
      <c r="TB90" s="26"/>
      <c r="TC90" s="26"/>
      <c r="TD90" s="26"/>
      <c r="TE90" s="26"/>
      <c r="TF90" s="26"/>
      <c r="TG90" s="26"/>
      <c r="TH90" s="26"/>
      <c r="TI90" s="26"/>
    </row>
    <row r="91" spans="1:529" s="23" customFormat="1" ht="32.25" customHeight="1" x14ac:dyDescent="0.25">
      <c r="A91" s="43" t="s">
        <v>211</v>
      </c>
      <c r="B91" s="44">
        <f>'дод 4'!A49</f>
        <v>2144</v>
      </c>
      <c r="C91" s="44" t="str">
        <f>'дод 4'!B49</f>
        <v>0763</v>
      </c>
      <c r="D91" s="25" t="str">
        <f>'дод 4'!C49</f>
        <v>Централізовані заходи з лікування хворих на цукровий та нецукровий діабет</v>
      </c>
      <c r="E91" s="69">
        <f t="shared" si="26"/>
        <v>7432709</v>
      </c>
      <c r="F91" s="69">
        <f>2090140+1000000+4342569</f>
        <v>7432709</v>
      </c>
      <c r="G91" s="71"/>
      <c r="H91" s="71"/>
      <c r="I91" s="71"/>
      <c r="J91" s="69">
        <f t="shared" si="28"/>
        <v>0</v>
      </c>
      <c r="K91" s="69"/>
      <c r="L91" s="69"/>
      <c r="M91" s="69"/>
      <c r="N91" s="69"/>
      <c r="O91" s="69"/>
      <c r="P91" s="69">
        <f t="shared" si="27"/>
        <v>7432709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  <c r="OR91" s="26"/>
      <c r="OS91" s="26"/>
      <c r="OT91" s="26"/>
      <c r="OU91" s="26"/>
      <c r="OV91" s="26"/>
      <c r="OW91" s="26"/>
      <c r="OX91" s="26"/>
      <c r="OY91" s="26"/>
      <c r="OZ91" s="26"/>
      <c r="PA91" s="26"/>
      <c r="PB91" s="26"/>
      <c r="PC91" s="26"/>
      <c r="PD91" s="26"/>
      <c r="PE91" s="26"/>
      <c r="PF91" s="26"/>
      <c r="PG91" s="26"/>
      <c r="PH91" s="26"/>
      <c r="PI91" s="26"/>
      <c r="PJ91" s="26"/>
      <c r="PK91" s="26"/>
      <c r="PL91" s="26"/>
      <c r="PM91" s="26"/>
      <c r="PN91" s="26"/>
      <c r="PO91" s="26"/>
      <c r="PP91" s="26"/>
      <c r="PQ91" s="26"/>
      <c r="PR91" s="26"/>
      <c r="PS91" s="26"/>
      <c r="PT91" s="26"/>
      <c r="PU91" s="26"/>
      <c r="PV91" s="26"/>
      <c r="PW91" s="26"/>
      <c r="PX91" s="26"/>
      <c r="PY91" s="26"/>
      <c r="PZ91" s="26"/>
      <c r="QA91" s="26"/>
      <c r="QB91" s="26"/>
      <c r="QC91" s="26"/>
      <c r="QD91" s="26"/>
      <c r="QE91" s="26"/>
      <c r="QF91" s="26"/>
      <c r="QG91" s="26"/>
      <c r="QH91" s="26"/>
      <c r="QI91" s="26"/>
      <c r="QJ91" s="26"/>
      <c r="QK91" s="26"/>
      <c r="QL91" s="26"/>
      <c r="QM91" s="26"/>
      <c r="QN91" s="26"/>
      <c r="QO91" s="26"/>
      <c r="QP91" s="26"/>
      <c r="QQ91" s="26"/>
      <c r="QR91" s="26"/>
      <c r="QS91" s="26"/>
      <c r="QT91" s="26"/>
      <c r="QU91" s="26"/>
      <c r="QV91" s="26"/>
      <c r="QW91" s="26"/>
      <c r="QX91" s="26"/>
      <c r="QY91" s="26"/>
      <c r="QZ91" s="26"/>
      <c r="RA91" s="26"/>
      <c r="RB91" s="26"/>
      <c r="RC91" s="26"/>
      <c r="RD91" s="26"/>
      <c r="RE91" s="26"/>
      <c r="RF91" s="26"/>
      <c r="RG91" s="26"/>
      <c r="RH91" s="26"/>
      <c r="RI91" s="26"/>
      <c r="RJ91" s="26"/>
      <c r="RK91" s="26"/>
      <c r="RL91" s="26"/>
      <c r="RM91" s="26"/>
      <c r="RN91" s="26"/>
      <c r="RO91" s="26"/>
      <c r="RP91" s="26"/>
      <c r="RQ91" s="26"/>
      <c r="RR91" s="26"/>
      <c r="RS91" s="26"/>
      <c r="RT91" s="26"/>
      <c r="RU91" s="26"/>
      <c r="RV91" s="26"/>
      <c r="RW91" s="26"/>
      <c r="RX91" s="26"/>
      <c r="RY91" s="26"/>
      <c r="RZ91" s="26"/>
      <c r="SA91" s="26"/>
      <c r="SB91" s="26"/>
      <c r="SC91" s="26"/>
      <c r="SD91" s="26"/>
      <c r="SE91" s="26"/>
      <c r="SF91" s="26"/>
      <c r="SG91" s="26"/>
      <c r="SH91" s="26"/>
      <c r="SI91" s="26"/>
      <c r="SJ91" s="26"/>
      <c r="SK91" s="26"/>
      <c r="SL91" s="26"/>
      <c r="SM91" s="26"/>
      <c r="SN91" s="26"/>
      <c r="SO91" s="26"/>
      <c r="SP91" s="26"/>
      <c r="SQ91" s="26"/>
      <c r="SR91" s="26"/>
      <c r="SS91" s="26"/>
      <c r="ST91" s="26"/>
      <c r="SU91" s="26"/>
      <c r="SV91" s="26"/>
      <c r="SW91" s="26"/>
      <c r="SX91" s="26"/>
      <c r="SY91" s="26"/>
      <c r="SZ91" s="26"/>
      <c r="TA91" s="26"/>
      <c r="TB91" s="26"/>
      <c r="TC91" s="26"/>
      <c r="TD91" s="26"/>
      <c r="TE91" s="26"/>
      <c r="TF91" s="26"/>
      <c r="TG91" s="26"/>
      <c r="TH91" s="26"/>
      <c r="TI91" s="26"/>
    </row>
    <row r="92" spans="1:529" s="23" customFormat="1" ht="18.75" customHeight="1" x14ac:dyDescent="0.25">
      <c r="A92" s="43"/>
      <c r="B92" s="44"/>
      <c r="C92" s="44"/>
      <c r="D92" s="25" t="str">
        <f>'дод 4'!C50</f>
        <v>у т.ч. за рахунок субвенцій з держбюджету</v>
      </c>
      <c r="E92" s="69">
        <f t="shared" si="26"/>
        <v>5832709</v>
      </c>
      <c r="F92" s="69">
        <f>1490140+4342569</f>
        <v>5832709</v>
      </c>
      <c r="G92" s="71"/>
      <c r="H92" s="71"/>
      <c r="I92" s="71"/>
      <c r="J92" s="69">
        <f t="shared" si="28"/>
        <v>0</v>
      </c>
      <c r="K92" s="69"/>
      <c r="L92" s="69"/>
      <c r="M92" s="69"/>
      <c r="N92" s="69"/>
      <c r="O92" s="69"/>
      <c r="P92" s="69">
        <f t="shared" si="27"/>
        <v>5832709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  <c r="IW92" s="26"/>
      <c r="IX92" s="26"/>
      <c r="IY92" s="26"/>
      <c r="IZ92" s="26"/>
      <c r="JA92" s="26"/>
      <c r="JB92" s="26"/>
      <c r="JC92" s="26"/>
      <c r="JD92" s="26"/>
      <c r="JE92" s="26"/>
      <c r="JF92" s="26"/>
      <c r="JG92" s="26"/>
      <c r="JH92" s="26"/>
      <c r="JI92" s="26"/>
      <c r="JJ92" s="26"/>
      <c r="JK92" s="26"/>
      <c r="JL92" s="26"/>
      <c r="JM92" s="26"/>
      <c r="JN92" s="26"/>
      <c r="JO92" s="26"/>
      <c r="JP92" s="26"/>
      <c r="JQ92" s="26"/>
      <c r="JR92" s="26"/>
      <c r="JS92" s="26"/>
      <c r="JT92" s="26"/>
      <c r="JU92" s="26"/>
      <c r="JV92" s="26"/>
      <c r="JW92" s="26"/>
      <c r="JX92" s="26"/>
      <c r="JY92" s="26"/>
      <c r="JZ92" s="26"/>
      <c r="KA92" s="26"/>
      <c r="KB92" s="26"/>
      <c r="KC92" s="26"/>
      <c r="KD92" s="26"/>
      <c r="KE92" s="26"/>
      <c r="KF92" s="26"/>
      <c r="KG92" s="26"/>
      <c r="KH92" s="26"/>
      <c r="KI92" s="26"/>
      <c r="KJ92" s="26"/>
      <c r="KK92" s="26"/>
      <c r="KL92" s="26"/>
      <c r="KM92" s="26"/>
      <c r="KN92" s="26"/>
      <c r="KO92" s="26"/>
      <c r="KP92" s="26"/>
      <c r="KQ92" s="26"/>
      <c r="KR92" s="26"/>
      <c r="KS92" s="26"/>
      <c r="KT92" s="26"/>
      <c r="KU92" s="26"/>
      <c r="KV92" s="26"/>
      <c r="KW92" s="26"/>
      <c r="KX92" s="26"/>
      <c r="KY92" s="26"/>
      <c r="KZ92" s="26"/>
      <c r="LA92" s="26"/>
      <c r="LB92" s="26"/>
      <c r="LC92" s="26"/>
      <c r="LD92" s="26"/>
      <c r="LE92" s="26"/>
      <c r="LF92" s="26"/>
      <c r="LG92" s="26"/>
      <c r="LH92" s="26"/>
      <c r="LI92" s="26"/>
      <c r="LJ92" s="26"/>
      <c r="LK92" s="26"/>
      <c r="LL92" s="26"/>
      <c r="LM92" s="26"/>
      <c r="LN92" s="26"/>
      <c r="LO92" s="26"/>
      <c r="LP92" s="26"/>
      <c r="LQ92" s="26"/>
      <c r="LR92" s="26"/>
      <c r="LS92" s="26"/>
      <c r="LT92" s="26"/>
      <c r="LU92" s="26"/>
      <c r="LV92" s="26"/>
      <c r="LW92" s="26"/>
      <c r="LX92" s="26"/>
      <c r="LY92" s="26"/>
      <c r="LZ92" s="26"/>
      <c r="MA92" s="26"/>
      <c r="MB92" s="26"/>
      <c r="MC92" s="26"/>
      <c r="MD92" s="26"/>
      <c r="ME92" s="26"/>
      <c r="MF92" s="26"/>
      <c r="MG92" s="26"/>
      <c r="MH92" s="26"/>
      <c r="MI92" s="26"/>
      <c r="MJ92" s="26"/>
      <c r="MK92" s="26"/>
      <c r="ML92" s="26"/>
      <c r="MM92" s="26"/>
      <c r="MN92" s="26"/>
      <c r="MO92" s="26"/>
      <c r="MP92" s="26"/>
      <c r="MQ92" s="26"/>
      <c r="MR92" s="26"/>
      <c r="MS92" s="26"/>
      <c r="MT92" s="26"/>
      <c r="MU92" s="26"/>
      <c r="MV92" s="26"/>
      <c r="MW92" s="26"/>
      <c r="MX92" s="26"/>
      <c r="MY92" s="26"/>
      <c r="MZ92" s="26"/>
      <c r="NA92" s="26"/>
      <c r="NB92" s="26"/>
      <c r="NC92" s="26"/>
      <c r="ND92" s="26"/>
      <c r="NE92" s="26"/>
      <c r="NF92" s="26"/>
      <c r="NG92" s="26"/>
      <c r="NH92" s="26"/>
      <c r="NI92" s="26"/>
      <c r="NJ92" s="26"/>
      <c r="NK92" s="26"/>
      <c r="NL92" s="26"/>
      <c r="NM92" s="26"/>
      <c r="NN92" s="26"/>
      <c r="NO92" s="26"/>
      <c r="NP92" s="26"/>
      <c r="NQ92" s="26"/>
      <c r="NR92" s="26"/>
      <c r="NS92" s="26"/>
      <c r="NT92" s="26"/>
      <c r="NU92" s="26"/>
      <c r="NV92" s="26"/>
      <c r="NW92" s="26"/>
      <c r="NX92" s="26"/>
      <c r="NY92" s="26"/>
      <c r="NZ92" s="26"/>
      <c r="OA92" s="26"/>
      <c r="OB92" s="26"/>
      <c r="OC92" s="26"/>
      <c r="OD92" s="26"/>
      <c r="OE92" s="26"/>
      <c r="OF92" s="26"/>
      <c r="OG92" s="26"/>
      <c r="OH92" s="26"/>
      <c r="OI92" s="26"/>
      <c r="OJ92" s="26"/>
      <c r="OK92" s="26"/>
      <c r="OL92" s="26"/>
      <c r="OM92" s="26"/>
      <c r="ON92" s="26"/>
      <c r="OO92" s="26"/>
      <c r="OP92" s="26"/>
      <c r="OQ92" s="26"/>
      <c r="OR92" s="26"/>
      <c r="OS92" s="26"/>
      <c r="OT92" s="26"/>
      <c r="OU92" s="26"/>
      <c r="OV92" s="26"/>
      <c r="OW92" s="26"/>
      <c r="OX92" s="26"/>
      <c r="OY92" s="26"/>
      <c r="OZ92" s="26"/>
      <c r="PA92" s="26"/>
      <c r="PB92" s="26"/>
      <c r="PC92" s="26"/>
      <c r="PD92" s="26"/>
      <c r="PE92" s="26"/>
      <c r="PF92" s="26"/>
      <c r="PG92" s="26"/>
      <c r="PH92" s="26"/>
      <c r="PI92" s="26"/>
      <c r="PJ92" s="26"/>
      <c r="PK92" s="26"/>
      <c r="PL92" s="26"/>
      <c r="PM92" s="26"/>
      <c r="PN92" s="26"/>
      <c r="PO92" s="26"/>
      <c r="PP92" s="26"/>
      <c r="PQ92" s="26"/>
      <c r="PR92" s="26"/>
      <c r="PS92" s="26"/>
      <c r="PT92" s="26"/>
      <c r="PU92" s="26"/>
      <c r="PV92" s="26"/>
      <c r="PW92" s="26"/>
      <c r="PX92" s="26"/>
      <c r="PY92" s="26"/>
      <c r="PZ92" s="26"/>
      <c r="QA92" s="26"/>
      <c r="QB92" s="26"/>
      <c r="QC92" s="26"/>
      <c r="QD92" s="26"/>
      <c r="QE92" s="26"/>
      <c r="QF92" s="26"/>
      <c r="QG92" s="26"/>
      <c r="QH92" s="26"/>
      <c r="QI92" s="26"/>
      <c r="QJ92" s="26"/>
      <c r="QK92" s="26"/>
      <c r="QL92" s="26"/>
      <c r="QM92" s="26"/>
      <c r="QN92" s="26"/>
      <c r="QO92" s="26"/>
      <c r="QP92" s="26"/>
      <c r="QQ92" s="26"/>
      <c r="QR92" s="26"/>
      <c r="QS92" s="26"/>
      <c r="QT92" s="26"/>
      <c r="QU92" s="26"/>
      <c r="QV92" s="26"/>
      <c r="QW92" s="26"/>
      <c r="QX92" s="26"/>
      <c r="QY92" s="26"/>
      <c r="QZ92" s="26"/>
      <c r="RA92" s="26"/>
      <c r="RB92" s="26"/>
      <c r="RC92" s="26"/>
      <c r="RD92" s="26"/>
      <c r="RE92" s="26"/>
      <c r="RF92" s="26"/>
      <c r="RG92" s="26"/>
      <c r="RH92" s="26"/>
      <c r="RI92" s="26"/>
      <c r="RJ92" s="26"/>
      <c r="RK92" s="26"/>
      <c r="RL92" s="26"/>
      <c r="RM92" s="26"/>
      <c r="RN92" s="26"/>
      <c r="RO92" s="26"/>
      <c r="RP92" s="26"/>
      <c r="RQ92" s="26"/>
      <c r="RR92" s="26"/>
      <c r="RS92" s="26"/>
      <c r="RT92" s="26"/>
      <c r="RU92" s="26"/>
      <c r="RV92" s="26"/>
      <c r="RW92" s="26"/>
      <c r="RX92" s="26"/>
      <c r="RY92" s="26"/>
      <c r="RZ92" s="26"/>
      <c r="SA92" s="26"/>
      <c r="SB92" s="26"/>
      <c r="SC92" s="26"/>
      <c r="SD92" s="26"/>
      <c r="SE92" s="26"/>
      <c r="SF92" s="26"/>
      <c r="SG92" s="26"/>
      <c r="SH92" s="26"/>
      <c r="SI92" s="26"/>
      <c r="SJ92" s="26"/>
      <c r="SK92" s="26"/>
      <c r="SL92" s="26"/>
      <c r="SM92" s="26"/>
      <c r="SN92" s="26"/>
      <c r="SO92" s="26"/>
      <c r="SP92" s="26"/>
      <c r="SQ92" s="26"/>
      <c r="SR92" s="26"/>
      <c r="SS92" s="26"/>
      <c r="ST92" s="26"/>
      <c r="SU92" s="26"/>
      <c r="SV92" s="26"/>
      <c r="SW92" s="26"/>
      <c r="SX92" s="26"/>
      <c r="SY92" s="26"/>
      <c r="SZ92" s="26"/>
      <c r="TA92" s="26"/>
      <c r="TB92" s="26"/>
      <c r="TC92" s="26"/>
      <c r="TD92" s="26"/>
      <c r="TE92" s="26"/>
      <c r="TF92" s="26"/>
      <c r="TG92" s="26"/>
      <c r="TH92" s="26"/>
      <c r="TI92" s="26"/>
    </row>
    <row r="93" spans="1:529" s="23" customFormat="1" ht="30" customHeight="1" x14ac:dyDescent="0.25">
      <c r="A93" s="43" t="s">
        <v>382</v>
      </c>
      <c r="B93" s="45" t="str">
        <f>'дод 4'!A51</f>
        <v>2151</v>
      </c>
      <c r="C93" s="45" t="str">
        <f>'дод 4'!B51</f>
        <v>0763</v>
      </c>
      <c r="D93" s="24" t="str">
        <f>'дод 4'!C51</f>
        <v>Забезпечення діяльності інших закладів у сфері охорони здоров’я</v>
      </c>
      <c r="E93" s="69">
        <f t="shared" si="26"/>
        <v>2894213</v>
      </c>
      <c r="F93" s="69">
        <v>2894213</v>
      </c>
      <c r="G93" s="71"/>
      <c r="H93" s="71"/>
      <c r="I93" s="71"/>
      <c r="J93" s="69">
        <f t="shared" si="28"/>
        <v>0</v>
      </c>
      <c r="K93" s="69"/>
      <c r="L93" s="69"/>
      <c r="M93" s="69"/>
      <c r="N93" s="69"/>
      <c r="O93" s="69"/>
      <c r="P93" s="69">
        <f t="shared" si="27"/>
        <v>2894213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</row>
    <row r="94" spans="1:529" s="23" customFormat="1" ht="24.75" customHeight="1" x14ac:dyDescent="0.25">
      <c r="A94" s="43" t="s">
        <v>383</v>
      </c>
      <c r="B94" s="45" t="str">
        <f>'дод 4'!A52</f>
        <v>2152</v>
      </c>
      <c r="C94" s="45" t="str">
        <f>'дод 4'!B52</f>
        <v>0763</v>
      </c>
      <c r="D94" s="22" t="str">
        <f>'дод 4'!C52</f>
        <v>Інші програми та заходи у сфері охорони здоров’я</v>
      </c>
      <c r="E94" s="69">
        <f t="shared" si="26"/>
        <v>73667000</v>
      </c>
      <c r="F94" s="69">
        <f>18815000+3000000+7000000+625000+63490000-8000000-1500000-5930000-1883000-1950000</f>
        <v>73667000</v>
      </c>
      <c r="G94" s="69"/>
      <c r="H94" s="69"/>
      <c r="I94" s="69"/>
      <c r="J94" s="69">
        <f t="shared" si="28"/>
        <v>16000000</v>
      </c>
      <c r="K94" s="69">
        <v>16000000</v>
      </c>
      <c r="L94" s="69"/>
      <c r="M94" s="69"/>
      <c r="N94" s="69"/>
      <c r="O94" s="69">
        <v>16000000</v>
      </c>
      <c r="P94" s="69">
        <f t="shared" si="27"/>
        <v>89667000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</row>
    <row r="95" spans="1:529" s="23" customFormat="1" ht="44.25" customHeight="1" x14ac:dyDescent="0.25">
      <c r="A95" s="43" t="s">
        <v>449</v>
      </c>
      <c r="B95" s="45">
        <f>'дод 4'!A110</f>
        <v>7361</v>
      </c>
      <c r="C95" s="45" t="str">
        <f>'дод 4'!B110</f>
        <v>0490</v>
      </c>
      <c r="D95" s="22" t="str">
        <f>'дод 4'!C110</f>
        <v>Співфінансування інвестиційних проектів, що реалізуються за рахунок коштів державного фонду регіонального розвитку</v>
      </c>
      <c r="E95" s="69">
        <f t="shared" si="26"/>
        <v>0</v>
      </c>
      <c r="F95" s="69"/>
      <c r="G95" s="69"/>
      <c r="H95" s="69"/>
      <c r="I95" s="69"/>
      <c r="J95" s="69">
        <f t="shared" si="28"/>
        <v>3000000</v>
      </c>
      <c r="K95" s="69">
        <v>3000000</v>
      </c>
      <c r="L95" s="69"/>
      <c r="M95" s="69"/>
      <c r="N95" s="69"/>
      <c r="O95" s="69">
        <v>3000000</v>
      </c>
      <c r="P95" s="69">
        <f t="shared" si="27"/>
        <v>3000000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</row>
    <row r="96" spans="1:529" s="23" customFormat="1" ht="18.75" customHeight="1" x14ac:dyDescent="0.25">
      <c r="A96" s="43" t="s">
        <v>210</v>
      </c>
      <c r="B96" s="44" t="str">
        <f>'дод 4'!A125</f>
        <v>7640</v>
      </c>
      <c r="C96" s="44" t="str">
        <f>'дод 4'!B125</f>
        <v>0470</v>
      </c>
      <c r="D96" s="24" t="str">
        <f>'дод 4'!C125</f>
        <v>Заходи з енергозбереження</v>
      </c>
      <c r="E96" s="69">
        <f t="shared" si="26"/>
        <v>199000</v>
      </c>
      <c r="F96" s="69"/>
      <c r="G96" s="69"/>
      <c r="H96" s="69"/>
      <c r="I96" s="69">
        <v>199000</v>
      </c>
      <c r="J96" s="69">
        <f t="shared" si="28"/>
        <v>21983974</v>
      </c>
      <c r="K96" s="69">
        <f>17559604+14714700-6500000+1200000-1100000+9670-1500000-2400000</f>
        <v>21983974</v>
      </c>
      <c r="L96" s="69"/>
      <c r="M96" s="69"/>
      <c r="N96" s="69"/>
      <c r="O96" s="69">
        <f>17559604+14714700-6500000+1200000-1100000+9670-1500000-2400000</f>
        <v>21983974</v>
      </c>
      <c r="P96" s="69">
        <f t="shared" si="27"/>
        <v>22182974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</row>
    <row r="97" spans="1:529" s="23" customFormat="1" ht="45" customHeight="1" x14ac:dyDescent="0.25">
      <c r="A97" s="43" t="s">
        <v>425</v>
      </c>
      <c r="B97" s="44">
        <v>7700</v>
      </c>
      <c r="C97" s="43" t="s">
        <v>113</v>
      </c>
      <c r="D97" s="24" t="s">
        <v>426</v>
      </c>
      <c r="E97" s="69">
        <f t="shared" si="26"/>
        <v>0</v>
      </c>
      <c r="F97" s="69"/>
      <c r="G97" s="69"/>
      <c r="H97" s="69"/>
      <c r="I97" s="69"/>
      <c r="J97" s="69">
        <f t="shared" si="28"/>
        <v>885000</v>
      </c>
      <c r="K97" s="69"/>
      <c r="L97" s="69"/>
      <c r="M97" s="69"/>
      <c r="N97" s="69"/>
      <c r="O97" s="69">
        <v>885000</v>
      </c>
      <c r="P97" s="69">
        <f t="shared" si="27"/>
        <v>885000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</row>
    <row r="98" spans="1:529" s="31" customFormat="1" ht="36" customHeight="1" x14ac:dyDescent="0.2">
      <c r="A98" s="76" t="s">
        <v>215</v>
      </c>
      <c r="B98" s="74"/>
      <c r="C98" s="74"/>
      <c r="D98" s="30" t="s">
        <v>51</v>
      </c>
      <c r="E98" s="66">
        <f>E99</f>
        <v>169984226.63</v>
      </c>
      <c r="F98" s="66">
        <f t="shared" ref="F98:J98" si="32">F99</f>
        <v>169984226.63</v>
      </c>
      <c r="G98" s="66">
        <f t="shared" si="32"/>
        <v>55494025</v>
      </c>
      <c r="H98" s="66">
        <f t="shared" si="32"/>
        <v>1564490</v>
      </c>
      <c r="I98" s="66">
        <f t="shared" si="32"/>
        <v>0</v>
      </c>
      <c r="J98" s="66">
        <f t="shared" si="32"/>
        <v>1267640</v>
      </c>
      <c r="K98" s="66">
        <f t="shared" ref="K98" si="33">K99</f>
        <v>1159540</v>
      </c>
      <c r="L98" s="66">
        <f t="shared" ref="L98" si="34">L99</f>
        <v>108100</v>
      </c>
      <c r="M98" s="66">
        <f t="shared" ref="M98" si="35">M99</f>
        <v>85100</v>
      </c>
      <c r="N98" s="66">
        <f t="shared" ref="N98" si="36">N99</f>
        <v>0</v>
      </c>
      <c r="O98" s="66">
        <f t="shared" ref="O98:P98" si="37">O99</f>
        <v>1159540</v>
      </c>
      <c r="P98" s="66">
        <f t="shared" si="37"/>
        <v>171251866.63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  <c r="MC98" s="38"/>
      <c r="MD98" s="38"/>
      <c r="ME98" s="38"/>
      <c r="MF98" s="38"/>
      <c r="MG98" s="38"/>
      <c r="MH98" s="38"/>
      <c r="MI98" s="38"/>
      <c r="MJ98" s="38"/>
      <c r="MK98" s="38"/>
      <c r="ML98" s="38"/>
      <c r="MM98" s="38"/>
      <c r="MN98" s="38"/>
      <c r="MO98" s="38"/>
      <c r="MP98" s="38"/>
      <c r="MQ98" s="38"/>
      <c r="MR98" s="38"/>
      <c r="MS98" s="38"/>
      <c r="MT98" s="38"/>
      <c r="MU98" s="38"/>
      <c r="MV98" s="38"/>
      <c r="MW98" s="38"/>
      <c r="MX98" s="38"/>
      <c r="MY98" s="38"/>
      <c r="MZ98" s="38"/>
      <c r="NA98" s="38"/>
      <c r="NB98" s="38"/>
      <c r="NC98" s="38"/>
      <c r="ND98" s="38"/>
      <c r="NE98" s="38"/>
      <c r="NF98" s="38"/>
      <c r="NG98" s="38"/>
      <c r="NH98" s="3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8"/>
      <c r="OC98" s="38"/>
      <c r="OD98" s="38"/>
      <c r="OE98" s="38"/>
      <c r="OF98" s="38"/>
      <c r="OG98" s="38"/>
      <c r="OH98" s="38"/>
      <c r="OI98" s="38"/>
      <c r="OJ98" s="38"/>
      <c r="OK98" s="38"/>
      <c r="OL98" s="38"/>
      <c r="OM98" s="38"/>
      <c r="ON98" s="38"/>
      <c r="OO98" s="38"/>
      <c r="OP98" s="38"/>
      <c r="OQ98" s="38"/>
      <c r="OR98" s="38"/>
      <c r="OS98" s="38"/>
      <c r="OT98" s="38"/>
      <c r="OU98" s="38"/>
      <c r="OV98" s="38"/>
      <c r="OW98" s="38"/>
      <c r="OX98" s="38"/>
      <c r="OY98" s="38"/>
      <c r="OZ98" s="38"/>
      <c r="PA98" s="38"/>
      <c r="PB98" s="38"/>
      <c r="PC98" s="38"/>
      <c r="PD98" s="38"/>
      <c r="PE98" s="38"/>
      <c r="PF98" s="38"/>
      <c r="PG98" s="38"/>
      <c r="PH98" s="38"/>
      <c r="PI98" s="38"/>
      <c r="PJ98" s="38"/>
      <c r="PK98" s="38"/>
      <c r="PL98" s="38"/>
      <c r="PM98" s="38"/>
      <c r="PN98" s="38"/>
      <c r="PO98" s="38"/>
      <c r="PP98" s="38"/>
      <c r="PQ98" s="38"/>
      <c r="PR98" s="38"/>
      <c r="PS98" s="38"/>
      <c r="PT98" s="38"/>
      <c r="PU98" s="38"/>
      <c r="PV98" s="38"/>
      <c r="PW98" s="38"/>
      <c r="PX98" s="38"/>
      <c r="PY98" s="38"/>
      <c r="PZ98" s="38"/>
      <c r="QA98" s="38"/>
      <c r="QB98" s="38"/>
      <c r="QC98" s="38"/>
      <c r="QD98" s="38"/>
      <c r="QE98" s="38"/>
      <c r="QF98" s="38"/>
      <c r="QG98" s="38"/>
      <c r="QH98" s="38"/>
      <c r="QI98" s="38"/>
      <c r="QJ98" s="38"/>
      <c r="QK98" s="38"/>
      <c r="QL98" s="38"/>
      <c r="QM98" s="38"/>
      <c r="QN98" s="38"/>
      <c r="QO98" s="38"/>
      <c r="QP98" s="38"/>
      <c r="QQ98" s="38"/>
      <c r="QR98" s="38"/>
      <c r="QS98" s="38"/>
      <c r="QT98" s="38"/>
      <c r="QU98" s="38"/>
      <c r="QV98" s="38"/>
      <c r="QW98" s="38"/>
      <c r="QX98" s="38"/>
      <c r="QY98" s="38"/>
      <c r="QZ98" s="38"/>
      <c r="RA98" s="38"/>
      <c r="RB98" s="38"/>
      <c r="RC98" s="38"/>
      <c r="RD98" s="38"/>
      <c r="RE98" s="38"/>
      <c r="RF98" s="38"/>
      <c r="RG98" s="38"/>
      <c r="RH98" s="38"/>
      <c r="RI98" s="38"/>
      <c r="RJ98" s="38"/>
      <c r="RK98" s="38"/>
      <c r="RL98" s="38"/>
      <c r="RM98" s="38"/>
      <c r="RN98" s="38"/>
      <c r="RO98" s="38"/>
      <c r="RP98" s="38"/>
      <c r="RQ98" s="38"/>
      <c r="RR98" s="38"/>
      <c r="RS98" s="38"/>
      <c r="RT98" s="38"/>
      <c r="RU98" s="38"/>
      <c r="RV98" s="38"/>
      <c r="RW98" s="38"/>
      <c r="RX98" s="38"/>
      <c r="RY98" s="38"/>
      <c r="RZ98" s="38"/>
      <c r="SA98" s="38"/>
      <c r="SB98" s="38"/>
      <c r="SC98" s="38"/>
      <c r="SD98" s="38"/>
      <c r="SE98" s="38"/>
      <c r="SF98" s="38"/>
      <c r="SG98" s="38"/>
      <c r="SH98" s="38"/>
      <c r="SI98" s="38"/>
      <c r="SJ98" s="38"/>
      <c r="SK98" s="38"/>
      <c r="SL98" s="38"/>
      <c r="SM98" s="38"/>
      <c r="SN98" s="38"/>
      <c r="SO98" s="38"/>
      <c r="SP98" s="38"/>
      <c r="SQ98" s="38"/>
      <c r="SR98" s="38"/>
      <c r="SS98" s="38"/>
      <c r="ST98" s="38"/>
      <c r="SU98" s="38"/>
      <c r="SV98" s="38"/>
      <c r="SW98" s="38"/>
      <c r="SX98" s="38"/>
      <c r="SY98" s="38"/>
      <c r="SZ98" s="38"/>
      <c r="TA98" s="38"/>
      <c r="TB98" s="38"/>
      <c r="TC98" s="38"/>
      <c r="TD98" s="38"/>
      <c r="TE98" s="38"/>
      <c r="TF98" s="38"/>
      <c r="TG98" s="38"/>
      <c r="TH98" s="38"/>
      <c r="TI98" s="38"/>
    </row>
    <row r="99" spans="1:529" s="40" customFormat="1" ht="32.25" customHeight="1" x14ac:dyDescent="0.25">
      <c r="A99" s="77" t="s">
        <v>216</v>
      </c>
      <c r="B99" s="75"/>
      <c r="C99" s="75"/>
      <c r="D99" s="33" t="s">
        <v>51</v>
      </c>
      <c r="E99" s="68">
        <f>E100+E101+E102+E103+E104+E105+E106+E107+E108+E109+E110+E111+E112+E113+E114+E115+E116+E117+E118+E119</f>
        <v>169984226.63</v>
      </c>
      <c r="F99" s="68">
        <f t="shared" ref="F99:P99" si="38">F100+F101+F102+F103+F104+F105+F106+F107+F108+F109+F110+F111+F112+F113+F114+F115+F116+F117+F118+F119</f>
        <v>169984226.63</v>
      </c>
      <c r="G99" s="68">
        <f t="shared" si="38"/>
        <v>55494025</v>
      </c>
      <c r="H99" s="68">
        <f t="shared" si="38"/>
        <v>1564490</v>
      </c>
      <c r="I99" s="68">
        <f t="shared" si="38"/>
        <v>0</v>
      </c>
      <c r="J99" s="68">
        <f t="shared" si="38"/>
        <v>1267640</v>
      </c>
      <c r="K99" s="68">
        <f>K100+K101+K102+K103+K104+K105+K106+K107+K108+K109+K110+K111+K112+K113+K114+K115+K116+K117+K118+K119</f>
        <v>1159540</v>
      </c>
      <c r="L99" s="68">
        <f t="shared" si="38"/>
        <v>108100</v>
      </c>
      <c r="M99" s="68">
        <f t="shared" si="38"/>
        <v>85100</v>
      </c>
      <c r="N99" s="68">
        <f t="shared" si="38"/>
        <v>0</v>
      </c>
      <c r="O99" s="68">
        <f t="shared" si="38"/>
        <v>1159540</v>
      </c>
      <c r="P99" s="68">
        <f t="shared" si="38"/>
        <v>171251866.63</v>
      </c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  <c r="IW99" s="39"/>
      <c r="IX99" s="39"/>
      <c r="IY99" s="39"/>
      <c r="IZ99" s="39"/>
      <c r="JA99" s="39"/>
      <c r="JB99" s="39"/>
      <c r="JC99" s="39"/>
      <c r="JD99" s="39"/>
      <c r="JE99" s="39"/>
      <c r="JF99" s="39"/>
      <c r="JG99" s="39"/>
      <c r="JH99" s="39"/>
      <c r="JI99" s="39"/>
      <c r="JJ99" s="39"/>
      <c r="JK99" s="39"/>
      <c r="JL99" s="39"/>
      <c r="JM99" s="39"/>
      <c r="JN99" s="39"/>
      <c r="JO99" s="39"/>
      <c r="JP99" s="39"/>
      <c r="JQ99" s="39"/>
      <c r="JR99" s="39"/>
      <c r="JS99" s="39"/>
      <c r="JT99" s="39"/>
      <c r="JU99" s="39"/>
      <c r="JV99" s="39"/>
      <c r="JW99" s="39"/>
      <c r="JX99" s="39"/>
      <c r="JY99" s="39"/>
      <c r="JZ99" s="39"/>
      <c r="KA99" s="39"/>
      <c r="KB99" s="39"/>
      <c r="KC99" s="39"/>
      <c r="KD99" s="39"/>
      <c r="KE99" s="39"/>
      <c r="KF99" s="39"/>
      <c r="KG99" s="39"/>
      <c r="KH99" s="39"/>
      <c r="KI99" s="39"/>
      <c r="KJ99" s="39"/>
      <c r="KK99" s="39"/>
      <c r="KL99" s="39"/>
      <c r="KM99" s="39"/>
      <c r="KN99" s="39"/>
      <c r="KO99" s="39"/>
      <c r="KP99" s="39"/>
      <c r="KQ99" s="39"/>
      <c r="KR99" s="39"/>
      <c r="KS99" s="39"/>
      <c r="KT99" s="39"/>
      <c r="KU99" s="39"/>
      <c r="KV99" s="39"/>
      <c r="KW99" s="39"/>
      <c r="KX99" s="39"/>
      <c r="KY99" s="39"/>
      <c r="KZ99" s="39"/>
      <c r="LA99" s="39"/>
      <c r="LB99" s="39"/>
      <c r="LC99" s="39"/>
      <c r="LD99" s="39"/>
      <c r="LE99" s="39"/>
      <c r="LF99" s="39"/>
      <c r="LG99" s="39"/>
      <c r="LH99" s="39"/>
      <c r="LI99" s="39"/>
      <c r="LJ99" s="39"/>
      <c r="LK99" s="39"/>
      <c r="LL99" s="39"/>
      <c r="LM99" s="39"/>
      <c r="LN99" s="39"/>
      <c r="LO99" s="39"/>
      <c r="LP99" s="39"/>
      <c r="LQ99" s="39"/>
      <c r="LR99" s="39"/>
      <c r="LS99" s="39"/>
      <c r="LT99" s="39"/>
      <c r="LU99" s="39"/>
      <c r="LV99" s="39"/>
      <c r="LW99" s="39"/>
      <c r="LX99" s="39"/>
      <c r="LY99" s="39"/>
      <c r="LZ99" s="39"/>
      <c r="MA99" s="39"/>
      <c r="MB99" s="39"/>
      <c r="MC99" s="39"/>
      <c r="MD99" s="39"/>
      <c r="ME99" s="39"/>
      <c r="MF99" s="39"/>
      <c r="MG99" s="39"/>
      <c r="MH99" s="39"/>
      <c r="MI99" s="39"/>
      <c r="MJ99" s="39"/>
      <c r="MK99" s="39"/>
      <c r="ML99" s="39"/>
      <c r="MM99" s="39"/>
      <c r="MN99" s="39"/>
      <c r="MO99" s="39"/>
      <c r="MP99" s="39"/>
      <c r="MQ99" s="39"/>
      <c r="MR99" s="39"/>
      <c r="MS99" s="39"/>
      <c r="MT99" s="39"/>
      <c r="MU99" s="39"/>
      <c r="MV99" s="39"/>
      <c r="MW99" s="39"/>
      <c r="MX99" s="39"/>
      <c r="MY99" s="39"/>
      <c r="MZ99" s="39"/>
      <c r="NA99" s="39"/>
      <c r="NB99" s="39"/>
      <c r="NC99" s="39"/>
      <c r="ND99" s="39"/>
      <c r="NE99" s="39"/>
      <c r="NF99" s="39"/>
      <c r="NG99" s="39"/>
      <c r="NH99" s="39"/>
      <c r="NI99" s="39"/>
      <c r="NJ99" s="39"/>
      <c r="NK99" s="39"/>
      <c r="NL99" s="39"/>
      <c r="NM99" s="39"/>
      <c r="NN99" s="39"/>
      <c r="NO99" s="39"/>
      <c r="NP99" s="39"/>
      <c r="NQ99" s="39"/>
      <c r="NR99" s="39"/>
      <c r="NS99" s="39"/>
      <c r="NT99" s="39"/>
      <c r="NU99" s="39"/>
      <c r="NV99" s="39"/>
      <c r="NW99" s="39"/>
      <c r="NX99" s="39"/>
      <c r="NY99" s="39"/>
      <c r="NZ99" s="39"/>
      <c r="OA99" s="39"/>
      <c r="OB99" s="39"/>
      <c r="OC99" s="39"/>
      <c r="OD99" s="39"/>
      <c r="OE99" s="39"/>
      <c r="OF99" s="39"/>
      <c r="OG99" s="39"/>
      <c r="OH99" s="39"/>
      <c r="OI99" s="39"/>
      <c r="OJ99" s="39"/>
      <c r="OK99" s="39"/>
      <c r="OL99" s="39"/>
      <c r="OM99" s="39"/>
      <c r="ON99" s="39"/>
      <c r="OO99" s="39"/>
      <c r="OP99" s="39"/>
      <c r="OQ99" s="39"/>
      <c r="OR99" s="39"/>
      <c r="OS99" s="39"/>
      <c r="OT99" s="39"/>
      <c r="OU99" s="39"/>
      <c r="OV99" s="39"/>
      <c r="OW99" s="39"/>
      <c r="OX99" s="39"/>
      <c r="OY99" s="39"/>
      <c r="OZ99" s="39"/>
      <c r="PA99" s="39"/>
      <c r="PB99" s="39"/>
      <c r="PC99" s="39"/>
      <c r="PD99" s="39"/>
      <c r="PE99" s="39"/>
      <c r="PF99" s="39"/>
      <c r="PG99" s="39"/>
      <c r="PH99" s="39"/>
      <c r="PI99" s="39"/>
      <c r="PJ99" s="39"/>
      <c r="PK99" s="39"/>
      <c r="PL99" s="39"/>
      <c r="PM99" s="39"/>
      <c r="PN99" s="39"/>
      <c r="PO99" s="39"/>
      <c r="PP99" s="39"/>
      <c r="PQ99" s="39"/>
      <c r="PR99" s="39"/>
      <c r="PS99" s="39"/>
      <c r="PT99" s="39"/>
      <c r="PU99" s="39"/>
      <c r="PV99" s="39"/>
      <c r="PW99" s="39"/>
      <c r="PX99" s="39"/>
      <c r="PY99" s="39"/>
      <c r="PZ99" s="39"/>
      <c r="QA99" s="39"/>
      <c r="QB99" s="39"/>
      <c r="QC99" s="39"/>
      <c r="QD99" s="39"/>
      <c r="QE99" s="39"/>
      <c r="QF99" s="39"/>
      <c r="QG99" s="39"/>
      <c r="QH99" s="39"/>
      <c r="QI99" s="39"/>
      <c r="QJ99" s="39"/>
      <c r="QK99" s="39"/>
      <c r="QL99" s="39"/>
      <c r="QM99" s="39"/>
      <c r="QN99" s="39"/>
      <c r="QO99" s="39"/>
      <c r="QP99" s="39"/>
      <c r="QQ99" s="39"/>
      <c r="QR99" s="39"/>
      <c r="QS99" s="39"/>
      <c r="QT99" s="39"/>
      <c r="QU99" s="39"/>
      <c r="QV99" s="39"/>
      <c r="QW99" s="39"/>
      <c r="QX99" s="39"/>
      <c r="QY99" s="39"/>
      <c r="QZ99" s="39"/>
      <c r="RA99" s="39"/>
      <c r="RB99" s="39"/>
      <c r="RC99" s="39"/>
      <c r="RD99" s="39"/>
      <c r="RE99" s="39"/>
      <c r="RF99" s="39"/>
      <c r="RG99" s="39"/>
      <c r="RH99" s="39"/>
      <c r="RI99" s="39"/>
      <c r="RJ99" s="39"/>
      <c r="RK99" s="39"/>
      <c r="RL99" s="39"/>
      <c r="RM99" s="39"/>
      <c r="RN99" s="39"/>
      <c r="RO99" s="39"/>
      <c r="RP99" s="39"/>
      <c r="RQ99" s="39"/>
      <c r="RR99" s="39"/>
      <c r="RS99" s="39"/>
      <c r="RT99" s="39"/>
      <c r="RU99" s="39"/>
      <c r="RV99" s="39"/>
      <c r="RW99" s="39"/>
      <c r="RX99" s="39"/>
      <c r="RY99" s="39"/>
      <c r="RZ99" s="39"/>
      <c r="SA99" s="39"/>
      <c r="SB99" s="39"/>
      <c r="SC99" s="39"/>
      <c r="SD99" s="39"/>
      <c r="SE99" s="39"/>
      <c r="SF99" s="39"/>
      <c r="SG99" s="39"/>
      <c r="SH99" s="39"/>
      <c r="SI99" s="39"/>
      <c r="SJ99" s="39"/>
      <c r="SK99" s="39"/>
      <c r="SL99" s="39"/>
      <c r="SM99" s="39"/>
      <c r="SN99" s="39"/>
      <c r="SO99" s="39"/>
      <c r="SP99" s="39"/>
      <c r="SQ99" s="39"/>
      <c r="SR99" s="39"/>
      <c r="SS99" s="39"/>
      <c r="ST99" s="39"/>
      <c r="SU99" s="39"/>
      <c r="SV99" s="39"/>
      <c r="SW99" s="39"/>
      <c r="SX99" s="39"/>
      <c r="SY99" s="39"/>
      <c r="SZ99" s="39"/>
      <c r="TA99" s="39"/>
      <c r="TB99" s="39"/>
      <c r="TC99" s="39"/>
      <c r="TD99" s="39"/>
      <c r="TE99" s="39"/>
      <c r="TF99" s="39"/>
      <c r="TG99" s="39"/>
      <c r="TH99" s="39"/>
      <c r="TI99" s="39"/>
    </row>
    <row r="100" spans="1:529" s="23" customFormat="1" ht="45.75" customHeight="1" x14ac:dyDescent="0.25">
      <c r="A100" s="43" t="s">
        <v>217</v>
      </c>
      <c r="B100" s="44" t="str">
        <f>'дод 4'!A20</f>
        <v>0160</v>
      </c>
      <c r="C100" s="44" t="str">
        <f>'дод 4'!B20</f>
        <v>0111</v>
      </c>
      <c r="D100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00" s="69">
        <f t="shared" ref="E100:E119" si="39">F100+I100</f>
        <v>53321100</v>
      </c>
      <c r="F100" s="69">
        <f>55432800+254000-2496600+234900-104000</f>
        <v>53321100</v>
      </c>
      <c r="G100" s="69">
        <f>43728800-2046400-85200</f>
        <v>41597200</v>
      </c>
      <c r="H100" s="69">
        <v>841800</v>
      </c>
      <c r="I100" s="69"/>
      <c r="J100" s="69">
        <f>L100+O100</f>
        <v>0</v>
      </c>
      <c r="K100" s="69"/>
      <c r="L100" s="69"/>
      <c r="M100" s="69"/>
      <c r="N100" s="69"/>
      <c r="O100" s="69"/>
      <c r="P100" s="69">
        <f t="shared" ref="P100:P119" si="40">E100+J100</f>
        <v>53321100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</row>
    <row r="101" spans="1:529" s="26" customFormat="1" ht="36" customHeight="1" x14ac:dyDescent="0.25">
      <c r="A101" s="43" t="s">
        <v>218</v>
      </c>
      <c r="B101" s="44" t="str">
        <f>'дод 4'!A54</f>
        <v>3031</v>
      </c>
      <c r="C101" s="44" t="str">
        <f>'дод 4'!B54</f>
        <v>1030</v>
      </c>
      <c r="D101" s="24" t="str">
        <f>'дод 4'!C54</f>
        <v>Надання інших пільг окремим категоріям громадян відповідно до законодавства</v>
      </c>
      <c r="E101" s="69">
        <f t="shared" si="39"/>
        <v>582400</v>
      </c>
      <c r="F101" s="69">
        <v>582400</v>
      </c>
      <c r="G101" s="69"/>
      <c r="H101" s="69"/>
      <c r="I101" s="69"/>
      <c r="J101" s="69">
        <f t="shared" ref="J101:J116" si="41">L101+O101</f>
        <v>0</v>
      </c>
      <c r="K101" s="69">
        <f>232600-190600-42000</f>
        <v>0</v>
      </c>
      <c r="L101" s="69"/>
      <c r="M101" s="69"/>
      <c r="N101" s="69"/>
      <c r="O101" s="69">
        <f>232600-190600-42000</f>
        <v>0</v>
      </c>
      <c r="P101" s="69">
        <f t="shared" si="40"/>
        <v>582400</v>
      </c>
    </row>
    <row r="102" spans="1:529" s="26" customFormat="1" ht="42.75" customHeight="1" x14ac:dyDescent="0.25">
      <c r="A102" s="43" t="s">
        <v>219</v>
      </c>
      <c r="B102" s="44" t="str">
        <f>'дод 4'!A55</f>
        <v>3032</v>
      </c>
      <c r="C102" s="44" t="str">
        <f>'дод 4'!B55</f>
        <v>1070</v>
      </c>
      <c r="D102" s="24" t="str">
        <f>'дод 4'!C55</f>
        <v>Надання пільг окремим категоріям громадян з оплати послуг зв'язку</v>
      </c>
      <c r="E102" s="69">
        <f t="shared" si="39"/>
        <v>1259894</v>
      </c>
      <c r="F102" s="69">
        <f>1300000-4876-35230</f>
        <v>1259894</v>
      </c>
      <c r="G102" s="69"/>
      <c r="H102" s="69"/>
      <c r="I102" s="69"/>
      <c r="J102" s="69">
        <f t="shared" si="41"/>
        <v>0</v>
      </c>
      <c r="K102" s="69"/>
      <c r="L102" s="69"/>
      <c r="M102" s="69"/>
      <c r="N102" s="69"/>
      <c r="O102" s="69"/>
      <c r="P102" s="69">
        <f t="shared" si="40"/>
        <v>1259894</v>
      </c>
    </row>
    <row r="103" spans="1:529" s="26" customFormat="1" ht="51.75" customHeight="1" x14ac:dyDescent="0.25">
      <c r="A103" s="43" t="s">
        <v>413</v>
      </c>
      <c r="B103" s="44" t="str">
        <f>'дод 4'!A56</f>
        <v>3033</v>
      </c>
      <c r="C103" s="44" t="str">
        <f>'дод 4'!B56</f>
        <v>1070</v>
      </c>
      <c r="D103" s="24" t="str">
        <f>'дод 4'!C56</f>
        <v>Компенсаційні виплати на пільговий проїзд автомобільним транспортом окремим категоріям громадян</v>
      </c>
      <c r="E103" s="69">
        <f t="shared" si="39"/>
        <v>24021763.129999999</v>
      </c>
      <c r="F103" s="69">
        <f>24500000+97100+2184757.11+39906.02-2800000</f>
        <v>24021763.129999999</v>
      </c>
      <c r="G103" s="69"/>
      <c r="H103" s="69"/>
      <c r="I103" s="69"/>
      <c r="J103" s="69">
        <f t="shared" si="41"/>
        <v>0</v>
      </c>
      <c r="K103" s="69"/>
      <c r="L103" s="69"/>
      <c r="M103" s="69"/>
      <c r="N103" s="69"/>
      <c r="O103" s="69"/>
      <c r="P103" s="69">
        <f t="shared" si="40"/>
        <v>24021763.129999999</v>
      </c>
    </row>
    <row r="104" spans="1:529" s="26" customFormat="1" ht="30" x14ac:dyDescent="0.25">
      <c r="A104" s="43" t="s">
        <v>381</v>
      </c>
      <c r="B104" s="44" t="str">
        <f>'дод 4'!A57</f>
        <v>3035</v>
      </c>
      <c r="C104" s="44" t="str">
        <f>'дод 4'!B57</f>
        <v>1070</v>
      </c>
      <c r="D104" s="24" t="str">
        <f>'дод 4'!C57</f>
        <v>Компенсаційні виплати за пільговий проїзд окремих категорій громадян на залізничному транспорті</v>
      </c>
      <c r="E104" s="69">
        <f t="shared" si="39"/>
        <v>1000000</v>
      </c>
      <c r="F104" s="69">
        <v>1000000</v>
      </c>
      <c r="G104" s="69"/>
      <c r="H104" s="69"/>
      <c r="I104" s="69"/>
      <c r="J104" s="69">
        <f t="shared" si="41"/>
        <v>0</v>
      </c>
      <c r="K104" s="69"/>
      <c r="L104" s="69"/>
      <c r="M104" s="69"/>
      <c r="N104" s="69"/>
      <c r="O104" s="69"/>
      <c r="P104" s="69">
        <f t="shared" si="40"/>
        <v>1000000</v>
      </c>
    </row>
    <row r="105" spans="1:529" s="26" customFormat="1" ht="36" customHeight="1" x14ac:dyDescent="0.25">
      <c r="A105" s="43" t="s">
        <v>220</v>
      </c>
      <c r="B105" s="44" t="str">
        <f>'дод 4'!A58</f>
        <v>3036</v>
      </c>
      <c r="C105" s="44" t="str">
        <f>'дод 4'!B58</f>
        <v>1070</v>
      </c>
      <c r="D105" s="24" t="str">
        <f>'дод 4'!C58</f>
        <v>Компенсаційні виплати на пільговий проїзд електротранспортом окремим категоріям громадян</v>
      </c>
      <c r="E105" s="69">
        <f t="shared" si="39"/>
        <v>26077955.5</v>
      </c>
      <c r="F105" s="69">
        <f>39098112+1372388+807455.5-15200000</f>
        <v>26077955.5</v>
      </c>
      <c r="G105" s="69"/>
      <c r="H105" s="69"/>
      <c r="I105" s="69"/>
      <c r="J105" s="69">
        <f t="shared" si="41"/>
        <v>0</v>
      </c>
      <c r="K105" s="69"/>
      <c r="L105" s="69"/>
      <c r="M105" s="69"/>
      <c r="N105" s="69"/>
      <c r="O105" s="69"/>
      <c r="P105" s="69">
        <f t="shared" si="40"/>
        <v>26077955.5</v>
      </c>
    </row>
    <row r="106" spans="1:529" s="23" customFormat="1" ht="44.25" customHeight="1" x14ac:dyDescent="0.25">
      <c r="A106" s="43" t="s">
        <v>411</v>
      </c>
      <c r="B106" s="44" t="str">
        <f>'дод 4'!A59</f>
        <v>3050</v>
      </c>
      <c r="C106" s="44" t="str">
        <f>'дод 4'!B59</f>
        <v>1070</v>
      </c>
      <c r="D106" s="24" t="str">
        <f>'дод 4'!C59</f>
        <v>Пільгове медичне обслуговування осіб, які постраждали внаслідок Чорнобильської катастрофи</v>
      </c>
      <c r="E106" s="69">
        <f t="shared" si="39"/>
        <v>853000</v>
      </c>
      <c r="F106" s="69">
        <v>853000</v>
      </c>
      <c r="G106" s="69"/>
      <c r="H106" s="69"/>
      <c r="I106" s="69"/>
      <c r="J106" s="69">
        <f t="shared" si="41"/>
        <v>0</v>
      </c>
      <c r="K106" s="69"/>
      <c r="L106" s="69"/>
      <c r="M106" s="69"/>
      <c r="N106" s="69"/>
      <c r="O106" s="69"/>
      <c r="P106" s="69">
        <f t="shared" si="40"/>
        <v>853000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</row>
    <row r="107" spans="1:529" s="23" customFormat="1" ht="38.25" customHeight="1" x14ac:dyDescent="0.25">
      <c r="A107" s="43" t="s">
        <v>412</v>
      </c>
      <c r="B107" s="44" t="str">
        <f>'дод 4'!A60</f>
        <v>3090</v>
      </c>
      <c r="C107" s="44" t="str">
        <f>'дод 4'!B60</f>
        <v>1030</v>
      </c>
      <c r="D107" s="24" t="str">
        <f>'дод 4'!C60</f>
        <v>Видатки на поховання учасників бойових дій та осіб з інвалідністю внаслідок війни</v>
      </c>
      <c r="E107" s="69">
        <f t="shared" si="39"/>
        <v>228400</v>
      </c>
      <c r="F107" s="69">
        <v>228400</v>
      </c>
      <c r="G107" s="69"/>
      <c r="H107" s="69"/>
      <c r="I107" s="69"/>
      <c r="J107" s="69">
        <f t="shared" si="41"/>
        <v>0</v>
      </c>
      <c r="K107" s="69"/>
      <c r="L107" s="69"/>
      <c r="M107" s="69"/>
      <c r="N107" s="69"/>
      <c r="O107" s="69"/>
      <c r="P107" s="69">
        <f t="shared" si="40"/>
        <v>228400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  <c r="IW107" s="26"/>
      <c r="IX107" s="26"/>
      <c r="IY107" s="26"/>
      <c r="IZ107" s="26"/>
      <c r="JA107" s="26"/>
      <c r="JB107" s="26"/>
      <c r="JC107" s="26"/>
      <c r="JD107" s="26"/>
      <c r="JE107" s="26"/>
      <c r="JF107" s="26"/>
      <c r="JG107" s="26"/>
      <c r="JH107" s="26"/>
      <c r="JI107" s="26"/>
      <c r="JJ107" s="26"/>
      <c r="JK107" s="26"/>
      <c r="JL107" s="26"/>
      <c r="JM107" s="26"/>
      <c r="JN107" s="26"/>
      <c r="JO107" s="26"/>
      <c r="JP107" s="26"/>
      <c r="JQ107" s="26"/>
      <c r="JR107" s="26"/>
      <c r="JS107" s="26"/>
      <c r="JT107" s="26"/>
      <c r="JU107" s="26"/>
      <c r="JV107" s="26"/>
      <c r="JW107" s="26"/>
      <c r="JX107" s="26"/>
      <c r="JY107" s="26"/>
      <c r="JZ107" s="26"/>
      <c r="KA107" s="26"/>
      <c r="KB107" s="26"/>
      <c r="KC107" s="26"/>
      <c r="KD107" s="26"/>
      <c r="KE107" s="26"/>
      <c r="KF107" s="26"/>
      <c r="KG107" s="26"/>
      <c r="KH107" s="26"/>
      <c r="KI107" s="26"/>
      <c r="KJ107" s="26"/>
      <c r="KK107" s="26"/>
      <c r="KL107" s="26"/>
      <c r="KM107" s="26"/>
      <c r="KN107" s="26"/>
      <c r="KO107" s="26"/>
      <c r="KP107" s="26"/>
      <c r="KQ107" s="26"/>
      <c r="KR107" s="26"/>
      <c r="KS107" s="26"/>
      <c r="KT107" s="26"/>
      <c r="KU107" s="26"/>
      <c r="KV107" s="26"/>
      <c r="KW107" s="26"/>
      <c r="KX107" s="26"/>
      <c r="KY107" s="26"/>
      <c r="KZ107" s="26"/>
      <c r="LA107" s="26"/>
      <c r="LB107" s="26"/>
      <c r="LC107" s="26"/>
      <c r="LD107" s="26"/>
      <c r="LE107" s="26"/>
      <c r="LF107" s="26"/>
      <c r="LG107" s="26"/>
      <c r="LH107" s="26"/>
      <c r="LI107" s="26"/>
      <c r="LJ107" s="26"/>
      <c r="LK107" s="26"/>
      <c r="LL107" s="26"/>
      <c r="LM107" s="26"/>
      <c r="LN107" s="26"/>
      <c r="LO107" s="26"/>
      <c r="LP107" s="26"/>
      <c r="LQ107" s="26"/>
      <c r="LR107" s="26"/>
      <c r="LS107" s="26"/>
      <c r="LT107" s="26"/>
      <c r="LU107" s="26"/>
      <c r="LV107" s="26"/>
      <c r="LW107" s="26"/>
      <c r="LX107" s="26"/>
      <c r="LY107" s="26"/>
      <c r="LZ107" s="26"/>
      <c r="MA107" s="26"/>
      <c r="MB107" s="26"/>
      <c r="MC107" s="26"/>
      <c r="MD107" s="26"/>
      <c r="ME107" s="26"/>
      <c r="MF107" s="26"/>
      <c r="MG107" s="26"/>
      <c r="MH107" s="26"/>
      <c r="MI107" s="26"/>
      <c r="MJ107" s="26"/>
      <c r="MK107" s="26"/>
      <c r="ML107" s="26"/>
      <c r="MM107" s="26"/>
      <c r="MN107" s="26"/>
      <c r="MO107" s="26"/>
      <c r="MP107" s="26"/>
      <c r="MQ107" s="26"/>
      <c r="MR107" s="26"/>
      <c r="MS107" s="26"/>
      <c r="MT107" s="26"/>
      <c r="MU107" s="26"/>
      <c r="MV107" s="26"/>
      <c r="MW107" s="26"/>
      <c r="MX107" s="26"/>
      <c r="MY107" s="26"/>
      <c r="MZ107" s="26"/>
      <c r="NA107" s="26"/>
      <c r="NB107" s="26"/>
      <c r="NC107" s="26"/>
      <c r="ND107" s="26"/>
      <c r="NE107" s="26"/>
      <c r="NF107" s="26"/>
      <c r="NG107" s="26"/>
      <c r="NH107" s="26"/>
      <c r="NI107" s="26"/>
      <c r="NJ107" s="26"/>
      <c r="NK107" s="26"/>
      <c r="NL107" s="26"/>
      <c r="NM107" s="26"/>
      <c r="NN107" s="26"/>
      <c r="NO107" s="26"/>
      <c r="NP107" s="26"/>
      <c r="NQ107" s="26"/>
      <c r="NR107" s="26"/>
      <c r="NS107" s="26"/>
      <c r="NT107" s="26"/>
      <c r="NU107" s="26"/>
      <c r="NV107" s="26"/>
      <c r="NW107" s="26"/>
      <c r="NX107" s="26"/>
      <c r="NY107" s="26"/>
      <c r="NZ107" s="26"/>
      <c r="OA107" s="26"/>
      <c r="OB107" s="26"/>
      <c r="OC107" s="26"/>
      <c r="OD107" s="26"/>
      <c r="OE107" s="26"/>
      <c r="OF107" s="26"/>
      <c r="OG107" s="26"/>
      <c r="OH107" s="26"/>
      <c r="OI107" s="26"/>
      <c r="OJ107" s="26"/>
      <c r="OK107" s="26"/>
      <c r="OL107" s="26"/>
      <c r="OM107" s="26"/>
      <c r="ON107" s="26"/>
      <c r="OO107" s="26"/>
      <c r="OP107" s="26"/>
      <c r="OQ107" s="26"/>
      <c r="OR107" s="26"/>
      <c r="OS107" s="26"/>
      <c r="OT107" s="26"/>
      <c r="OU107" s="26"/>
      <c r="OV107" s="26"/>
      <c r="OW107" s="26"/>
      <c r="OX107" s="26"/>
      <c r="OY107" s="26"/>
      <c r="OZ107" s="26"/>
      <c r="PA107" s="26"/>
      <c r="PB107" s="26"/>
      <c r="PC107" s="26"/>
      <c r="PD107" s="26"/>
      <c r="PE107" s="26"/>
      <c r="PF107" s="26"/>
      <c r="PG107" s="26"/>
      <c r="PH107" s="26"/>
      <c r="PI107" s="26"/>
      <c r="PJ107" s="26"/>
      <c r="PK107" s="26"/>
      <c r="PL107" s="26"/>
      <c r="PM107" s="26"/>
      <c r="PN107" s="26"/>
      <c r="PO107" s="26"/>
      <c r="PP107" s="26"/>
      <c r="PQ107" s="26"/>
      <c r="PR107" s="26"/>
      <c r="PS107" s="26"/>
      <c r="PT107" s="26"/>
      <c r="PU107" s="26"/>
      <c r="PV107" s="26"/>
      <c r="PW107" s="26"/>
      <c r="PX107" s="26"/>
      <c r="PY107" s="26"/>
      <c r="PZ107" s="26"/>
      <c r="QA107" s="26"/>
      <c r="QB107" s="26"/>
      <c r="QC107" s="26"/>
      <c r="QD107" s="26"/>
      <c r="QE107" s="26"/>
      <c r="QF107" s="26"/>
      <c r="QG107" s="26"/>
      <c r="QH107" s="26"/>
      <c r="QI107" s="26"/>
      <c r="QJ107" s="26"/>
      <c r="QK107" s="26"/>
      <c r="QL107" s="26"/>
      <c r="QM107" s="26"/>
      <c r="QN107" s="26"/>
      <c r="QO107" s="26"/>
      <c r="QP107" s="26"/>
      <c r="QQ107" s="26"/>
      <c r="QR107" s="26"/>
      <c r="QS107" s="26"/>
      <c r="QT107" s="26"/>
      <c r="QU107" s="26"/>
      <c r="QV107" s="26"/>
      <c r="QW107" s="26"/>
      <c r="QX107" s="26"/>
      <c r="QY107" s="26"/>
      <c r="QZ107" s="26"/>
      <c r="RA107" s="26"/>
      <c r="RB107" s="26"/>
      <c r="RC107" s="26"/>
      <c r="RD107" s="26"/>
      <c r="RE107" s="26"/>
      <c r="RF107" s="26"/>
      <c r="RG107" s="26"/>
      <c r="RH107" s="26"/>
      <c r="RI107" s="26"/>
      <c r="RJ107" s="26"/>
      <c r="RK107" s="26"/>
      <c r="RL107" s="26"/>
      <c r="RM107" s="26"/>
      <c r="RN107" s="26"/>
      <c r="RO107" s="26"/>
      <c r="RP107" s="26"/>
      <c r="RQ107" s="26"/>
      <c r="RR107" s="26"/>
      <c r="RS107" s="26"/>
      <c r="RT107" s="26"/>
      <c r="RU107" s="26"/>
      <c r="RV107" s="26"/>
      <c r="RW107" s="26"/>
      <c r="RX107" s="26"/>
      <c r="RY107" s="26"/>
      <c r="RZ107" s="26"/>
      <c r="SA107" s="26"/>
      <c r="SB107" s="26"/>
      <c r="SC107" s="26"/>
      <c r="SD107" s="26"/>
      <c r="SE107" s="26"/>
      <c r="SF107" s="26"/>
      <c r="SG107" s="26"/>
      <c r="SH107" s="26"/>
      <c r="SI107" s="26"/>
      <c r="SJ107" s="26"/>
      <c r="SK107" s="26"/>
      <c r="SL107" s="26"/>
      <c r="SM107" s="26"/>
      <c r="SN107" s="26"/>
      <c r="SO107" s="26"/>
      <c r="SP107" s="26"/>
      <c r="SQ107" s="26"/>
      <c r="SR107" s="26"/>
      <c r="SS107" s="26"/>
      <c r="ST107" s="26"/>
      <c r="SU107" s="26"/>
      <c r="SV107" s="26"/>
      <c r="SW107" s="26"/>
      <c r="SX107" s="26"/>
      <c r="SY107" s="26"/>
      <c r="SZ107" s="26"/>
      <c r="TA107" s="26"/>
      <c r="TB107" s="26"/>
      <c r="TC107" s="26"/>
      <c r="TD107" s="26"/>
      <c r="TE107" s="26"/>
      <c r="TF107" s="26"/>
      <c r="TG107" s="26"/>
      <c r="TH107" s="26"/>
      <c r="TI107" s="26"/>
    </row>
    <row r="108" spans="1:529" s="23" customFormat="1" ht="60.75" customHeight="1" x14ac:dyDescent="0.25">
      <c r="A108" s="43" t="s">
        <v>221</v>
      </c>
      <c r="B108" s="44" t="str">
        <f>'дод 4'!A61</f>
        <v>3104</v>
      </c>
      <c r="C108" s="44" t="str">
        <f>'дод 4'!B61</f>
        <v>1020</v>
      </c>
      <c r="D108" s="24" t="str">
        <f>'дод 4'!C61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08" s="69">
        <f t="shared" si="39"/>
        <v>13559330</v>
      </c>
      <c r="F108" s="69">
        <f>13527630+2100+29600</f>
        <v>13559330</v>
      </c>
      <c r="G108" s="69">
        <v>10389550</v>
      </c>
      <c r="H108" s="69">
        <v>230060</v>
      </c>
      <c r="I108" s="69"/>
      <c r="J108" s="69">
        <f t="shared" si="41"/>
        <v>471000</v>
      </c>
      <c r="K108" s="69">
        <f>342900+20000</f>
        <v>362900</v>
      </c>
      <c r="L108" s="69">
        <v>108100</v>
      </c>
      <c r="M108" s="69">
        <v>85100</v>
      </c>
      <c r="N108" s="69"/>
      <c r="O108" s="69">
        <f>342900+20000</f>
        <v>362900</v>
      </c>
      <c r="P108" s="69">
        <f t="shared" si="40"/>
        <v>14030330</v>
      </c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  <c r="IW108" s="26"/>
      <c r="IX108" s="26"/>
      <c r="IY108" s="26"/>
      <c r="IZ108" s="26"/>
      <c r="JA108" s="26"/>
      <c r="JB108" s="26"/>
      <c r="JC108" s="26"/>
      <c r="JD108" s="26"/>
      <c r="JE108" s="26"/>
      <c r="JF108" s="26"/>
      <c r="JG108" s="26"/>
      <c r="JH108" s="26"/>
      <c r="JI108" s="26"/>
      <c r="JJ108" s="26"/>
      <c r="JK108" s="26"/>
      <c r="JL108" s="26"/>
      <c r="JM108" s="26"/>
      <c r="JN108" s="26"/>
      <c r="JO108" s="26"/>
      <c r="JP108" s="26"/>
      <c r="JQ108" s="26"/>
      <c r="JR108" s="26"/>
      <c r="JS108" s="26"/>
      <c r="JT108" s="26"/>
      <c r="JU108" s="26"/>
      <c r="JV108" s="26"/>
      <c r="JW108" s="26"/>
      <c r="JX108" s="26"/>
      <c r="JY108" s="26"/>
      <c r="JZ108" s="26"/>
      <c r="KA108" s="26"/>
      <c r="KB108" s="26"/>
      <c r="KC108" s="26"/>
      <c r="KD108" s="26"/>
      <c r="KE108" s="26"/>
      <c r="KF108" s="26"/>
      <c r="KG108" s="26"/>
      <c r="KH108" s="26"/>
      <c r="KI108" s="26"/>
      <c r="KJ108" s="26"/>
      <c r="KK108" s="26"/>
      <c r="KL108" s="26"/>
      <c r="KM108" s="26"/>
      <c r="KN108" s="26"/>
      <c r="KO108" s="26"/>
      <c r="KP108" s="26"/>
      <c r="KQ108" s="26"/>
      <c r="KR108" s="26"/>
      <c r="KS108" s="26"/>
      <c r="KT108" s="26"/>
      <c r="KU108" s="26"/>
      <c r="KV108" s="26"/>
      <c r="KW108" s="26"/>
      <c r="KX108" s="26"/>
      <c r="KY108" s="26"/>
      <c r="KZ108" s="26"/>
      <c r="LA108" s="26"/>
      <c r="LB108" s="26"/>
      <c r="LC108" s="26"/>
      <c r="LD108" s="26"/>
      <c r="LE108" s="26"/>
      <c r="LF108" s="26"/>
      <c r="LG108" s="26"/>
      <c r="LH108" s="26"/>
      <c r="LI108" s="26"/>
      <c r="LJ108" s="26"/>
      <c r="LK108" s="26"/>
      <c r="LL108" s="26"/>
      <c r="LM108" s="26"/>
      <c r="LN108" s="26"/>
      <c r="LO108" s="26"/>
      <c r="LP108" s="26"/>
      <c r="LQ108" s="26"/>
      <c r="LR108" s="26"/>
      <c r="LS108" s="26"/>
      <c r="LT108" s="26"/>
      <c r="LU108" s="26"/>
      <c r="LV108" s="26"/>
      <c r="LW108" s="26"/>
      <c r="LX108" s="26"/>
      <c r="LY108" s="26"/>
      <c r="LZ108" s="26"/>
      <c r="MA108" s="26"/>
      <c r="MB108" s="26"/>
      <c r="MC108" s="26"/>
      <c r="MD108" s="26"/>
      <c r="ME108" s="26"/>
      <c r="MF108" s="26"/>
      <c r="MG108" s="26"/>
      <c r="MH108" s="26"/>
      <c r="MI108" s="26"/>
      <c r="MJ108" s="26"/>
      <c r="MK108" s="26"/>
      <c r="ML108" s="26"/>
      <c r="MM108" s="26"/>
      <c r="MN108" s="26"/>
      <c r="MO108" s="26"/>
      <c r="MP108" s="26"/>
      <c r="MQ108" s="26"/>
      <c r="MR108" s="26"/>
      <c r="MS108" s="26"/>
      <c r="MT108" s="26"/>
      <c r="MU108" s="26"/>
      <c r="MV108" s="26"/>
      <c r="MW108" s="26"/>
      <c r="MX108" s="26"/>
      <c r="MY108" s="26"/>
      <c r="MZ108" s="26"/>
      <c r="NA108" s="26"/>
      <c r="NB108" s="26"/>
      <c r="NC108" s="26"/>
      <c r="ND108" s="26"/>
      <c r="NE108" s="26"/>
      <c r="NF108" s="26"/>
      <c r="NG108" s="26"/>
      <c r="NH108" s="26"/>
      <c r="NI108" s="26"/>
      <c r="NJ108" s="26"/>
      <c r="NK108" s="26"/>
      <c r="NL108" s="26"/>
      <c r="NM108" s="26"/>
      <c r="NN108" s="26"/>
      <c r="NO108" s="26"/>
      <c r="NP108" s="26"/>
      <c r="NQ108" s="26"/>
      <c r="NR108" s="26"/>
      <c r="NS108" s="26"/>
      <c r="NT108" s="26"/>
      <c r="NU108" s="26"/>
      <c r="NV108" s="26"/>
      <c r="NW108" s="26"/>
      <c r="NX108" s="26"/>
      <c r="NY108" s="26"/>
      <c r="NZ108" s="26"/>
      <c r="OA108" s="26"/>
      <c r="OB108" s="26"/>
      <c r="OC108" s="26"/>
      <c r="OD108" s="26"/>
      <c r="OE108" s="26"/>
      <c r="OF108" s="26"/>
      <c r="OG108" s="26"/>
      <c r="OH108" s="26"/>
      <c r="OI108" s="26"/>
      <c r="OJ108" s="26"/>
      <c r="OK108" s="26"/>
      <c r="OL108" s="26"/>
      <c r="OM108" s="26"/>
      <c r="ON108" s="26"/>
      <c r="OO108" s="26"/>
      <c r="OP108" s="26"/>
      <c r="OQ108" s="26"/>
      <c r="OR108" s="26"/>
      <c r="OS108" s="26"/>
      <c r="OT108" s="26"/>
      <c r="OU108" s="26"/>
      <c r="OV108" s="26"/>
      <c r="OW108" s="26"/>
      <c r="OX108" s="26"/>
      <c r="OY108" s="26"/>
      <c r="OZ108" s="26"/>
      <c r="PA108" s="26"/>
      <c r="PB108" s="26"/>
      <c r="PC108" s="26"/>
      <c r="PD108" s="26"/>
      <c r="PE108" s="26"/>
      <c r="PF108" s="26"/>
      <c r="PG108" s="26"/>
      <c r="PH108" s="26"/>
      <c r="PI108" s="26"/>
      <c r="PJ108" s="26"/>
      <c r="PK108" s="26"/>
      <c r="PL108" s="26"/>
      <c r="PM108" s="26"/>
      <c r="PN108" s="26"/>
      <c r="PO108" s="26"/>
      <c r="PP108" s="26"/>
      <c r="PQ108" s="26"/>
      <c r="PR108" s="26"/>
      <c r="PS108" s="26"/>
      <c r="PT108" s="26"/>
      <c r="PU108" s="26"/>
      <c r="PV108" s="26"/>
      <c r="PW108" s="26"/>
      <c r="PX108" s="26"/>
      <c r="PY108" s="26"/>
      <c r="PZ108" s="26"/>
      <c r="QA108" s="26"/>
      <c r="QB108" s="26"/>
      <c r="QC108" s="26"/>
      <c r="QD108" s="26"/>
      <c r="QE108" s="26"/>
      <c r="QF108" s="26"/>
      <c r="QG108" s="26"/>
      <c r="QH108" s="26"/>
      <c r="QI108" s="26"/>
      <c r="QJ108" s="26"/>
      <c r="QK108" s="26"/>
      <c r="QL108" s="26"/>
      <c r="QM108" s="26"/>
      <c r="QN108" s="26"/>
      <c r="QO108" s="26"/>
      <c r="QP108" s="26"/>
      <c r="QQ108" s="26"/>
      <c r="QR108" s="26"/>
      <c r="QS108" s="26"/>
      <c r="QT108" s="26"/>
      <c r="QU108" s="26"/>
      <c r="QV108" s="26"/>
      <c r="QW108" s="26"/>
      <c r="QX108" s="26"/>
      <c r="QY108" s="26"/>
      <c r="QZ108" s="26"/>
      <c r="RA108" s="26"/>
      <c r="RB108" s="26"/>
      <c r="RC108" s="26"/>
      <c r="RD108" s="26"/>
      <c r="RE108" s="26"/>
      <c r="RF108" s="26"/>
      <c r="RG108" s="26"/>
      <c r="RH108" s="26"/>
      <c r="RI108" s="26"/>
      <c r="RJ108" s="26"/>
      <c r="RK108" s="26"/>
      <c r="RL108" s="26"/>
      <c r="RM108" s="26"/>
      <c r="RN108" s="26"/>
      <c r="RO108" s="26"/>
      <c r="RP108" s="26"/>
      <c r="RQ108" s="26"/>
      <c r="RR108" s="26"/>
      <c r="RS108" s="26"/>
      <c r="RT108" s="26"/>
      <c r="RU108" s="26"/>
      <c r="RV108" s="26"/>
      <c r="RW108" s="26"/>
      <c r="RX108" s="26"/>
      <c r="RY108" s="26"/>
      <c r="RZ108" s="26"/>
      <c r="SA108" s="26"/>
      <c r="SB108" s="26"/>
      <c r="SC108" s="26"/>
      <c r="SD108" s="26"/>
      <c r="SE108" s="26"/>
      <c r="SF108" s="26"/>
      <c r="SG108" s="26"/>
      <c r="SH108" s="26"/>
      <c r="SI108" s="26"/>
      <c r="SJ108" s="26"/>
      <c r="SK108" s="26"/>
      <c r="SL108" s="26"/>
      <c r="SM108" s="26"/>
      <c r="SN108" s="26"/>
      <c r="SO108" s="26"/>
      <c r="SP108" s="26"/>
      <c r="SQ108" s="26"/>
      <c r="SR108" s="26"/>
      <c r="SS108" s="26"/>
      <c r="ST108" s="26"/>
      <c r="SU108" s="26"/>
      <c r="SV108" s="26"/>
      <c r="SW108" s="26"/>
      <c r="SX108" s="26"/>
      <c r="SY108" s="26"/>
      <c r="SZ108" s="26"/>
      <c r="TA108" s="26"/>
      <c r="TB108" s="26"/>
      <c r="TC108" s="26"/>
      <c r="TD108" s="26"/>
      <c r="TE108" s="26"/>
      <c r="TF108" s="26"/>
      <c r="TG108" s="26"/>
      <c r="TH108" s="26"/>
      <c r="TI108" s="26"/>
    </row>
    <row r="109" spans="1:529" s="23" customFormat="1" ht="87" customHeight="1" x14ac:dyDescent="0.25">
      <c r="A109" s="43" t="s">
        <v>222</v>
      </c>
      <c r="B109" s="44" t="str">
        <f>'дод 4'!A67</f>
        <v>3160</v>
      </c>
      <c r="C109" s="44">
        <f>'дод 4'!B67</f>
        <v>1010</v>
      </c>
      <c r="D109" s="24" t="str">
        <f>'дод 4'!C67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09" s="69">
        <f t="shared" si="39"/>
        <v>1884220</v>
      </c>
      <c r="F109" s="69">
        <f>1911000-16000-10780</f>
        <v>1884220</v>
      </c>
      <c r="G109" s="69"/>
      <c r="H109" s="69"/>
      <c r="I109" s="69"/>
      <c r="J109" s="69">
        <f t="shared" si="41"/>
        <v>0</v>
      </c>
      <c r="K109" s="69"/>
      <c r="L109" s="69"/>
      <c r="M109" s="69"/>
      <c r="N109" s="69"/>
      <c r="O109" s="69"/>
      <c r="P109" s="69">
        <f t="shared" si="40"/>
        <v>1884220</v>
      </c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</row>
    <row r="110" spans="1:529" s="23" customFormat="1" ht="63.75" customHeight="1" x14ac:dyDescent="0.25">
      <c r="A110" s="43" t="s">
        <v>414</v>
      </c>
      <c r="B110" s="44" t="str">
        <f>'дод 4'!A68</f>
        <v>3171</v>
      </c>
      <c r="C110" s="44">
        <f>'дод 4'!B68</f>
        <v>1010</v>
      </c>
      <c r="D110" s="24" t="str">
        <f>'дод 4'!C68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10" s="69">
        <f t="shared" si="39"/>
        <v>228095</v>
      </c>
      <c r="F110" s="69">
        <v>228095</v>
      </c>
      <c r="G110" s="69"/>
      <c r="H110" s="69"/>
      <c r="I110" s="69"/>
      <c r="J110" s="69">
        <f t="shared" si="41"/>
        <v>0</v>
      </c>
      <c r="K110" s="69"/>
      <c r="L110" s="69"/>
      <c r="M110" s="69"/>
      <c r="N110" s="69"/>
      <c r="O110" s="69"/>
      <c r="P110" s="69">
        <f t="shared" si="40"/>
        <v>228095</v>
      </c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</row>
    <row r="111" spans="1:529" s="23" customFormat="1" ht="43.5" customHeight="1" x14ac:dyDescent="0.25">
      <c r="A111" s="43" t="s">
        <v>415</v>
      </c>
      <c r="B111" s="44" t="str">
        <f>'дод 4'!A69</f>
        <v>3172</v>
      </c>
      <c r="C111" s="44">
        <f>'дод 4'!B69</f>
        <v>1010</v>
      </c>
      <c r="D111" s="24" t="str">
        <f>'дод 4'!C69</f>
        <v>Встановлення телефонів особам з інвалідністю I і II груп</v>
      </c>
      <c r="E111" s="69">
        <f t="shared" si="39"/>
        <v>90</v>
      </c>
      <c r="F111" s="69">
        <v>90</v>
      </c>
      <c r="G111" s="69"/>
      <c r="H111" s="69"/>
      <c r="I111" s="69"/>
      <c r="J111" s="69">
        <f t="shared" si="41"/>
        <v>0</v>
      </c>
      <c r="K111" s="69"/>
      <c r="L111" s="69"/>
      <c r="M111" s="69"/>
      <c r="N111" s="69"/>
      <c r="O111" s="69"/>
      <c r="P111" s="69">
        <f t="shared" si="40"/>
        <v>90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  <c r="IW111" s="26"/>
      <c r="IX111" s="26"/>
      <c r="IY111" s="26"/>
      <c r="IZ111" s="26"/>
      <c r="JA111" s="26"/>
      <c r="JB111" s="26"/>
      <c r="JC111" s="26"/>
      <c r="JD111" s="26"/>
      <c r="JE111" s="26"/>
      <c r="JF111" s="26"/>
      <c r="JG111" s="26"/>
      <c r="JH111" s="26"/>
      <c r="JI111" s="26"/>
      <c r="JJ111" s="26"/>
      <c r="JK111" s="26"/>
      <c r="JL111" s="26"/>
      <c r="JM111" s="26"/>
      <c r="JN111" s="26"/>
      <c r="JO111" s="26"/>
      <c r="JP111" s="26"/>
      <c r="JQ111" s="26"/>
      <c r="JR111" s="26"/>
      <c r="JS111" s="26"/>
      <c r="JT111" s="26"/>
      <c r="JU111" s="26"/>
      <c r="JV111" s="26"/>
      <c r="JW111" s="26"/>
      <c r="JX111" s="26"/>
      <c r="JY111" s="26"/>
      <c r="JZ111" s="26"/>
      <c r="KA111" s="26"/>
      <c r="KB111" s="26"/>
      <c r="KC111" s="26"/>
      <c r="KD111" s="26"/>
      <c r="KE111" s="26"/>
      <c r="KF111" s="26"/>
      <c r="KG111" s="26"/>
      <c r="KH111" s="26"/>
      <c r="KI111" s="26"/>
      <c r="KJ111" s="26"/>
      <c r="KK111" s="26"/>
      <c r="KL111" s="26"/>
      <c r="KM111" s="26"/>
      <c r="KN111" s="26"/>
      <c r="KO111" s="26"/>
      <c r="KP111" s="26"/>
      <c r="KQ111" s="26"/>
      <c r="KR111" s="26"/>
      <c r="KS111" s="26"/>
      <c r="KT111" s="26"/>
      <c r="KU111" s="26"/>
      <c r="KV111" s="26"/>
      <c r="KW111" s="26"/>
      <c r="KX111" s="26"/>
      <c r="KY111" s="26"/>
      <c r="KZ111" s="26"/>
      <c r="LA111" s="26"/>
      <c r="LB111" s="26"/>
      <c r="LC111" s="26"/>
      <c r="LD111" s="26"/>
      <c r="LE111" s="26"/>
      <c r="LF111" s="26"/>
      <c r="LG111" s="26"/>
      <c r="LH111" s="26"/>
      <c r="LI111" s="26"/>
      <c r="LJ111" s="26"/>
      <c r="LK111" s="26"/>
      <c r="LL111" s="26"/>
      <c r="LM111" s="26"/>
      <c r="LN111" s="26"/>
      <c r="LO111" s="26"/>
      <c r="LP111" s="26"/>
      <c r="LQ111" s="26"/>
      <c r="LR111" s="26"/>
      <c r="LS111" s="26"/>
      <c r="LT111" s="26"/>
      <c r="LU111" s="26"/>
      <c r="LV111" s="26"/>
      <c r="LW111" s="26"/>
      <c r="LX111" s="26"/>
      <c r="LY111" s="26"/>
      <c r="LZ111" s="26"/>
      <c r="MA111" s="26"/>
      <c r="MB111" s="26"/>
      <c r="MC111" s="26"/>
      <c r="MD111" s="26"/>
      <c r="ME111" s="26"/>
      <c r="MF111" s="26"/>
      <c r="MG111" s="26"/>
      <c r="MH111" s="26"/>
      <c r="MI111" s="26"/>
      <c r="MJ111" s="26"/>
      <c r="MK111" s="26"/>
      <c r="ML111" s="26"/>
      <c r="MM111" s="26"/>
      <c r="MN111" s="26"/>
      <c r="MO111" s="26"/>
      <c r="MP111" s="26"/>
      <c r="MQ111" s="26"/>
      <c r="MR111" s="26"/>
      <c r="MS111" s="26"/>
      <c r="MT111" s="26"/>
      <c r="MU111" s="26"/>
      <c r="MV111" s="26"/>
      <c r="MW111" s="26"/>
      <c r="MX111" s="26"/>
      <c r="MY111" s="26"/>
      <c r="MZ111" s="26"/>
      <c r="NA111" s="26"/>
      <c r="NB111" s="26"/>
      <c r="NC111" s="26"/>
      <c r="ND111" s="26"/>
      <c r="NE111" s="26"/>
      <c r="NF111" s="26"/>
      <c r="NG111" s="26"/>
      <c r="NH111" s="26"/>
      <c r="NI111" s="26"/>
      <c r="NJ111" s="26"/>
      <c r="NK111" s="26"/>
      <c r="NL111" s="26"/>
      <c r="NM111" s="26"/>
      <c r="NN111" s="26"/>
      <c r="NO111" s="26"/>
      <c r="NP111" s="26"/>
      <c r="NQ111" s="26"/>
      <c r="NR111" s="26"/>
      <c r="NS111" s="26"/>
      <c r="NT111" s="26"/>
      <c r="NU111" s="26"/>
      <c r="NV111" s="26"/>
      <c r="NW111" s="26"/>
      <c r="NX111" s="26"/>
      <c r="NY111" s="26"/>
      <c r="NZ111" s="26"/>
      <c r="OA111" s="26"/>
      <c r="OB111" s="26"/>
      <c r="OC111" s="26"/>
      <c r="OD111" s="26"/>
      <c r="OE111" s="26"/>
      <c r="OF111" s="26"/>
      <c r="OG111" s="26"/>
      <c r="OH111" s="26"/>
      <c r="OI111" s="26"/>
      <c r="OJ111" s="26"/>
      <c r="OK111" s="26"/>
      <c r="OL111" s="26"/>
      <c r="OM111" s="26"/>
      <c r="ON111" s="26"/>
      <c r="OO111" s="26"/>
      <c r="OP111" s="26"/>
      <c r="OQ111" s="26"/>
      <c r="OR111" s="26"/>
      <c r="OS111" s="26"/>
      <c r="OT111" s="26"/>
      <c r="OU111" s="26"/>
      <c r="OV111" s="26"/>
      <c r="OW111" s="26"/>
      <c r="OX111" s="26"/>
      <c r="OY111" s="26"/>
      <c r="OZ111" s="26"/>
      <c r="PA111" s="26"/>
      <c r="PB111" s="26"/>
      <c r="PC111" s="26"/>
      <c r="PD111" s="26"/>
      <c r="PE111" s="26"/>
      <c r="PF111" s="26"/>
      <c r="PG111" s="26"/>
      <c r="PH111" s="26"/>
      <c r="PI111" s="26"/>
      <c r="PJ111" s="26"/>
      <c r="PK111" s="26"/>
      <c r="PL111" s="26"/>
      <c r="PM111" s="26"/>
      <c r="PN111" s="26"/>
      <c r="PO111" s="26"/>
      <c r="PP111" s="26"/>
      <c r="PQ111" s="26"/>
      <c r="PR111" s="26"/>
      <c r="PS111" s="26"/>
      <c r="PT111" s="26"/>
      <c r="PU111" s="26"/>
      <c r="PV111" s="26"/>
      <c r="PW111" s="26"/>
      <c r="PX111" s="26"/>
      <c r="PY111" s="26"/>
      <c r="PZ111" s="26"/>
      <c r="QA111" s="26"/>
      <c r="QB111" s="26"/>
      <c r="QC111" s="26"/>
      <c r="QD111" s="26"/>
      <c r="QE111" s="26"/>
      <c r="QF111" s="26"/>
      <c r="QG111" s="26"/>
      <c r="QH111" s="26"/>
      <c r="QI111" s="26"/>
      <c r="QJ111" s="26"/>
      <c r="QK111" s="26"/>
      <c r="QL111" s="26"/>
      <c r="QM111" s="26"/>
      <c r="QN111" s="26"/>
      <c r="QO111" s="26"/>
      <c r="QP111" s="26"/>
      <c r="QQ111" s="26"/>
      <c r="QR111" s="26"/>
      <c r="QS111" s="26"/>
      <c r="QT111" s="26"/>
      <c r="QU111" s="26"/>
      <c r="QV111" s="26"/>
      <c r="QW111" s="26"/>
      <c r="QX111" s="26"/>
      <c r="QY111" s="26"/>
      <c r="QZ111" s="26"/>
      <c r="RA111" s="26"/>
      <c r="RB111" s="26"/>
      <c r="RC111" s="26"/>
      <c r="RD111" s="26"/>
      <c r="RE111" s="26"/>
      <c r="RF111" s="26"/>
      <c r="RG111" s="26"/>
      <c r="RH111" s="26"/>
      <c r="RI111" s="26"/>
      <c r="RJ111" s="26"/>
      <c r="RK111" s="26"/>
      <c r="RL111" s="26"/>
      <c r="RM111" s="26"/>
      <c r="RN111" s="26"/>
      <c r="RO111" s="26"/>
      <c r="RP111" s="26"/>
      <c r="RQ111" s="26"/>
      <c r="RR111" s="26"/>
      <c r="RS111" s="26"/>
      <c r="RT111" s="26"/>
      <c r="RU111" s="26"/>
      <c r="RV111" s="26"/>
      <c r="RW111" s="26"/>
      <c r="RX111" s="26"/>
      <c r="RY111" s="26"/>
      <c r="RZ111" s="26"/>
      <c r="SA111" s="26"/>
      <c r="SB111" s="26"/>
      <c r="SC111" s="26"/>
      <c r="SD111" s="26"/>
      <c r="SE111" s="26"/>
      <c r="SF111" s="26"/>
      <c r="SG111" s="26"/>
      <c r="SH111" s="26"/>
      <c r="SI111" s="26"/>
      <c r="SJ111" s="26"/>
      <c r="SK111" s="26"/>
      <c r="SL111" s="26"/>
      <c r="SM111" s="26"/>
      <c r="SN111" s="26"/>
      <c r="SO111" s="26"/>
      <c r="SP111" s="26"/>
      <c r="SQ111" s="26"/>
      <c r="SR111" s="26"/>
      <c r="SS111" s="26"/>
      <c r="ST111" s="26"/>
      <c r="SU111" s="26"/>
      <c r="SV111" s="26"/>
      <c r="SW111" s="26"/>
      <c r="SX111" s="26"/>
      <c r="SY111" s="26"/>
      <c r="SZ111" s="26"/>
      <c r="TA111" s="26"/>
      <c r="TB111" s="26"/>
      <c r="TC111" s="26"/>
      <c r="TD111" s="26"/>
      <c r="TE111" s="26"/>
      <c r="TF111" s="26"/>
      <c r="TG111" s="26"/>
      <c r="TH111" s="26"/>
      <c r="TI111" s="26"/>
    </row>
    <row r="112" spans="1:529" s="23" customFormat="1" ht="77.25" customHeight="1" x14ac:dyDescent="0.25">
      <c r="A112" s="43" t="s">
        <v>223</v>
      </c>
      <c r="B112" s="44" t="str">
        <f>'дод 4'!A70</f>
        <v>3180</v>
      </c>
      <c r="C112" s="44" t="str">
        <f>'дод 4'!B70</f>
        <v>1060</v>
      </c>
      <c r="D112" s="24" t="str">
        <f>'дод 4'!C70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12" s="69">
        <f t="shared" si="39"/>
        <v>2075000</v>
      </c>
      <c r="F112" s="69">
        <f>1876300+198700</f>
        <v>2075000</v>
      </c>
      <c r="G112" s="69"/>
      <c r="H112" s="69"/>
      <c r="I112" s="69"/>
      <c r="J112" s="69">
        <f t="shared" si="41"/>
        <v>0</v>
      </c>
      <c r="K112" s="69"/>
      <c r="L112" s="69"/>
      <c r="M112" s="69"/>
      <c r="N112" s="69"/>
      <c r="O112" s="69"/>
      <c r="P112" s="69">
        <f t="shared" si="40"/>
        <v>2075000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  <c r="IW112" s="26"/>
      <c r="IX112" s="26"/>
      <c r="IY112" s="26"/>
      <c r="IZ112" s="26"/>
      <c r="JA112" s="26"/>
      <c r="JB112" s="26"/>
      <c r="JC112" s="26"/>
      <c r="JD112" s="26"/>
      <c r="JE112" s="26"/>
      <c r="JF112" s="26"/>
      <c r="JG112" s="26"/>
      <c r="JH112" s="26"/>
      <c r="JI112" s="26"/>
      <c r="JJ112" s="26"/>
      <c r="JK112" s="26"/>
      <c r="JL112" s="26"/>
      <c r="JM112" s="26"/>
      <c r="JN112" s="26"/>
      <c r="JO112" s="26"/>
      <c r="JP112" s="26"/>
      <c r="JQ112" s="26"/>
      <c r="JR112" s="26"/>
      <c r="JS112" s="26"/>
      <c r="JT112" s="26"/>
      <c r="JU112" s="26"/>
      <c r="JV112" s="26"/>
      <c r="JW112" s="26"/>
      <c r="JX112" s="26"/>
      <c r="JY112" s="26"/>
      <c r="JZ112" s="26"/>
      <c r="KA112" s="26"/>
      <c r="KB112" s="26"/>
      <c r="KC112" s="26"/>
      <c r="KD112" s="26"/>
      <c r="KE112" s="26"/>
      <c r="KF112" s="26"/>
      <c r="KG112" s="26"/>
      <c r="KH112" s="26"/>
      <c r="KI112" s="26"/>
      <c r="KJ112" s="26"/>
      <c r="KK112" s="26"/>
      <c r="KL112" s="26"/>
      <c r="KM112" s="26"/>
      <c r="KN112" s="26"/>
      <c r="KO112" s="26"/>
      <c r="KP112" s="26"/>
      <c r="KQ112" s="26"/>
      <c r="KR112" s="26"/>
      <c r="KS112" s="26"/>
      <c r="KT112" s="26"/>
      <c r="KU112" s="26"/>
      <c r="KV112" s="26"/>
      <c r="KW112" s="26"/>
      <c r="KX112" s="26"/>
      <c r="KY112" s="26"/>
      <c r="KZ112" s="26"/>
      <c r="LA112" s="26"/>
      <c r="LB112" s="26"/>
      <c r="LC112" s="26"/>
      <c r="LD112" s="26"/>
      <c r="LE112" s="26"/>
      <c r="LF112" s="26"/>
      <c r="LG112" s="26"/>
      <c r="LH112" s="26"/>
      <c r="LI112" s="26"/>
      <c r="LJ112" s="26"/>
      <c r="LK112" s="26"/>
      <c r="LL112" s="26"/>
      <c r="LM112" s="26"/>
      <c r="LN112" s="26"/>
      <c r="LO112" s="26"/>
      <c r="LP112" s="26"/>
      <c r="LQ112" s="26"/>
      <c r="LR112" s="26"/>
      <c r="LS112" s="26"/>
      <c r="LT112" s="26"/>
      <c r="LU112" s="26"/>
      <c r="LV112" s="26"/>
      <c r="LW112" s="26"/>
      <c r="LX112" s="26"/>
      <c r="LY112" s="26"/>
      <c r="LZ112" s="26"/>
      <c r="MA112" s="26"/>
      <c r="MB112" s="26"/>
      <c r="MC112" s="26"/>
      <c r="MD112" s="26"/>
      <c r="ME112" s="26"/>
      <c r="MF112" s="26"/>
      <c r="MG112" s="26"/>
      <c r="MH112" s="26"/>
      <c r="MI112" s="26"/>
      <c r="MJ112" s="26"/>
      <c r="MK112" s="26"/>
      <c r="ML112" s="26"/>
      <c r="MM112" s="26"/>
      <c r="MN112" s="26"/>
      <c r="MO112" s="26"/>
      <c r="MP112" s="26"/>
      <c r="MQ112" s="26"/>
      <c r="MR112" s="26"/>
      <c r="MS112" s="26"/>
      <c r="MT112" s="26"/>
      <c r="MU112" s="26"/>
      <c r="MV112" s="26"/>
      <c r="MW112" s="26"/>
      <c r="MX112" s="26"/>
      <c r="MY112" s="26"/>
      <c r="MZ112" s="26"/>
      <c r="NA112" s="26"/>
      <c r="NB112" s="26"/>
      <c r="NC112" s="26"/>
      <c r="ND112" s="26"/>
      <c r="NE112" s="26"/>
      <c r="NF112" s="26"/>
      <c r="NG112" s="26"/>
      <c r="NH112" s="26"/>
      <c r="NI112" s="26"/>
      <c r="NJ112" s="26"/>
      <c r="NK112" s="26"/>
      <c r="NL112" s="26"/>
      <c r="NM112" s="26"/>
      <c r="NN112" s="26"/>
      <c r="NO112" s="26"/>
      <c r="NP112" s="26"/>
      <c r="NQ112" s="26"/>
      <c r="NR112" s="26"/>
      <c r="NS112" s="26"/>
      <c r="NT112" s="26"/>
      <c r="NU112" s="26"/>
      <c r="NV112" s="26"/>
      <c r="NW112" s="26"/>
      <c r="NX112" s="26"/>
      <c r="NY112" s="26"/>
      <c r="NZ112" s="26"/>
      <c r="OA112" s="26"/>
      <c r="OB112" s="26"/>
      <c r="OC112" s="26"/>
      <c r="OD112" s="26"/>
      <c r="OE112" s="26"/>
      <c r="OF112" s="26"/>
      <c r="OG112" s="26"/>
      <c r="OH112" s="26"/>
      <c r="OI112" s="26"/>
      <c r="OJ112" s="26"/>
      <c r="OK112" s="26"/>
      <c r="OL112" s="26"/>
      <c r="OM112" s="26"/>
      <c r="ON112" s="26"/>
      <c r="OO112" s="26"/>
      <c r="OP112" s="26"/>
      <c r="OQ112" s="26"/>
      <c r="OR112" s="26"/>
      <c r="OS112" s="26"/>
      <c r="OT112" s="26"/>
      <c r="OU112" s="26"/>
      <c r="OV112" s="26"/>
      <c r="OW112" s="26"/>
      <c r="OX112" s="26"/>
      <c r="OY112" s="26"/>
      <c r="OZ112" s="26"/>
      <c r="PA112" s="26"/>
      <c r="PB112" s="26"/>
      <c r="PC112" s="26"/>
      <c r="PD112" s="26"/>
      <c r="PE112" s="26"/>
      <c r="PF112" s="26"/>
      <c r="PG112" s="26"/>
      <c r="PH112" s="26"/>
      <c r="PI112" s="26"/>
      <c r="PJ112" s="26"/>
      <c r="PK112" s="26"/>
      <c r="PL112" s="26"/>
      <c r="PM112" s="26"/>
      <c r="PN112" s="26"/>
      <c r="PO112" s="26"/>
      <c r="PP112" s="26"/>
      <c r="PQ112" s="26"/>
      <c r="PR112" s="26"/>
      <c r="PS112" s="26"/>
      <c r="PT112" s="26"/>
      <c r="PU112" s="26"/>
      <c r="PV112" s="26"/>
      <c r="PW112" s="26"/>
      <c r="PX112" s="26"/>
      <c r="PY112" s="26"/>
      <c r="PZ112" s="26"/>
      <c r="QA112" s="26"/>
      <c r="QB112" s="26"/>
      <c r="QC112" s="26"/>
      <c r="QD112" s="26"/>
      <c r="QE112" s="26"/>
      <c r="QF112" s="26"/>
      <c r="QG112" s="26"/>
      <c r="QH112" s="26"/>
      <c r="QI112" s="26"/>
      <c r="QJ112" s="26"/>
      <c r="QK112" s="26"/>
      <c r="QL112" s="26"/>
      <c r="QM112" s="26"/>
      <c r="QN112" s="26"/>
      <c r="QO112" s="26"/>
      <c r="QP112" s="26"/>
      <c r="QQ112" s="26"/>
      <c r="QR112" s="26"/>
      <c r="QS112" s="26"/>
      <c r="QT112" s="26"/>
      <c r="QU112" s="26"/>
      <c r="QV112" s="26"/>
      <c r="QW112" s="26"/>
      <c r="QX112" s="26"/>
      <c r="QY112" s="26"/>
      <c r="QZ112" s="26"/>
      <c r="RA112" s="26"/>
      <c r="RB112" s="26"/>
      <c r="RC112" s="26"/>
      <c r="RD112" s="26"/>
      <c r="RE112" s="26"/>
      <c r="RF112" s="26"/>
      <c r="RG112" s="26"/>
      <c r="RH112" s="26"/>
      <c r="RI112" s="26"/>
      <c r="RJ112" s="26"/>
      <c r="RK112" s="26"/>
      <c r="RL112" s="26"/>
      <c r="RM112" s="26"/>
      <c r="RN112" s="26"/>
      <c r="RO112" s="26"/>
      <c r="RP112" s="26"/>
      <c r="RQ112" s="26"/>
      <c r="RR112" s="26"/>
      <c r="RS112" s="26"/>
      <c r="RT112" s="26"/>
      <c r="RU112" s="26"/>
      <c r="RV112" s="26"/>
      <c r="RW112" s="26"/>
      <c r="RX112" s="26"/>
      <c r="RY112" s="26"/>
      <c r="RZ112" s="26"/>
      <c r="SA112" s="26"/>
      <c r="SB112" s="26"/>
      <c r="SC112" s="26"/>
      <c r="SD112" s="26"/>
      <c r="SE112" s="26"/>
      <c r="SF112" s="26"/>
      <c r="SG112" s="26"/>
      <c r="SH112" s="26"/>
      <c r="SI112" s="26"/>
      <c r="SJ112" s="26"/>
      <c r="SK112" s="26"/>
      <c r="SL112" s="26"/>
      <c r="SM112" s="26"/>
      <c r="SN112" s="26"/>
      <c r="SO112" s="26"/>
      <c r="SP112" s="26"/>
      <c r="SQ112" s="26"/>
      <c r="SR112" s="26"/>
      <c r="SS112" s="26"/>
      <c r="ST112" s="26"/>
      <c r="SU112" s="26"/>
      <c r="SV112" s="26"/>
      <c r="SW112" s="26"/>
      <c r="SX112" s="26"/>
      <c r="SY112" s="26"/>
      <c r="SZ112" s="26"/>
      <c r="TA112" s="26"/>
      <c r="TB112" s="26"/>
      <c r="TC112" s="26"/>
      <c r="TD112" s="26"/>
      <c r="TE112" s="26"/>
      <c r="TF112" s="26"/>
      <c r="TG112" s="26"/>
      <c r="TH112" s="26"/>
      <c r="TI112" s="26"/>
    </row>
    <row r="113" spans="1:529" s="23" customFormat="1" ht="27" customHeight="1" x14ac:dyDescent="0.25">
      <c r="A113" s="43" t="s">
        <v>360</v>
      </c>
      <c r="B113" s="44" t="str">
        <f>'дод 4'!A71</f>
        <v>3191</v>
      </c>
      <c r="C113" s="44" t="str">
        <f>'дод 4'!B71</f>
        <v>1030</v>
      </c>
      <c r="D113" s="24" t="str">
        <f>'дод 4'!C71</f>
        <v>Інші видатки на соціальний захист ветеранів війни та праці</v>
      </c>
      <c r="E113" s="69">
        <f t="shared" si="39"/>
        <v>2178000</v>
      </c>
      <c r="F113" s="69">
        <v>2178000</v>
      </c>
      <c r="G113" s="69"/>
      <c r="H113" s="69"/>
      <c r="I113" s="69"/>
      <c r="J113" s="69">
        <f t="shared" si="41"/>
        <v>0</v>
      </c>
      <c r="K113" s="69"/>
      <c r="L113" s="69"/>
      <c r="M113" s="69"/>
      <c r="N113" s="69"/>
      <c r="O113" s="69"/>
      <c r="P113" s="69">
        <f t="shared" si="40"/>
        <v>2178000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  <c r="IW113" s="26"/>
      <c r="IX113" s="26"/>
      <c r="IY113" s="26"/>
      <c r="IZ113" s="26"/>
      <c r="JA113" s="26"/>
      <c r="JB113" s="26"/>
      <c r="JC113" s="26"/>
      <c r="JD113" s="26"/>
      <c r="JE113" s="26"/>
      <c r="JF113" s="26"/>
      <c r="JG113" s="26"/>
      <c r="JH113" s="26"/>
      <c r="JI113" s="26"/>
      <c r="JJ113" s="26"/>
      <c r="JK113" s="26"/>
      <c r="JL113" s="26"/>
      <c r="JM113" s="26"/>
      <c r="JN113" s="26"/>
      <c r="JO113" s="26"/>
      <c r="JP113" s="26"/>
      <c r="JQ113" s="26"/>
      <c r="JR113" s="26"/>
      <c r="JS113" s="26"/>
      <c r="JT113" s="26"/>
      <c r="JU113" s="26"/>
      <c r="JV113" s="26"/>
      <c r="JW113" s="26"/>
      <c r="JX113" s="26"/>
      <c r="JY113" s="26"/>
      <c r="JZ113" s="26"/>
      <c r="KA113" s="26"/>
      <c r="KB113" s="26"/>
      <c r="KC113" s="26"/>
      <c r="KD113" s="26"/>
      <c r="KE113" s="26"/>
      <c r="KF113" s="26"/>
      <c r="KG113" s="26"/>
      <c r="KH113" s="26"/>
      <c r="KI113" s="26"/>
      <c r="KJ113" s="26"/>
      <c r="KK113" s="26"/>
      <c r="KL113" s="26"/>
      <c r="KM113" s="26"/>
      <c r="KN113" s="26"/>
      <c r="KO113" s="26"/>
      <c r="KP113" s="26"/>
      <c r="KQ113" s="26"/>
      <c r="KR113" s="26"/>
      <c r="KS113" s="26"/>
      <c r="KT113" s="26"/>
      <c r="KU113" s="26"/>
      <c r="KV113" s="26"/>
      <c r="KW113" s="26"/>
      <c r="KX113" s="26"/>
      <c r="KY113" s="26"/>
      <c r="KZ113" s="26"/>
      <c r="LA113" s="26"/>
      <c r="LB113" s="26"/>
      <c r="LC113" s="26"/>
      <c r="LD113" s="26"/>
      <c r="LE113" s="26"/>
      <c r="LF113" s="26"/>
      <c r="LG113" s="26"/>
      <c r="LH113" s="26"/>
      <c r="LI113" s="26"/>
      <c r="LJ113" s="26"/>
      <c r="LK113" s="26"/>
      <c r="LL113" s="26"/>
      <c r="LM113" s="26"/>
      <c r="LN113" s="26"/>
      <c r="LO113" s="26"/>
      <c r="LP113" s="26"/>
      <c r="LQ113" s="26"/>
      <c r="LR113" s="26"/>
      <c r="LS113" s="26"/>
      <c r="LT113" s="26"/>
      <c r="LU113" s="26"/>
      <c r="LV113" s="26"/>
      <c r="LW113" s="26"/>
      <c r="LX113" s="26"/>
      <c r="LY113" s="26"/>
      <c r="LZ113" s="26"/>
      <c r="MA113" s="26"/>
      <c r="MB113" s="26"/>
      <c r="MC113" s="26"/>
      <c r="MD113" s="26"/>
      <c r="ME113" s="26"/>
      <c r="MF113" s="26"/>
      <c r="MG113" s="26"/>
      <c r="MH113" s="26"/>
      <c r="MI113" s="26"/>
      <c r="MJ113" s="26"/>
      <c r="MK113" s="26"/>
      <c r="ML113" s="26"/>
      <c r="MM113" s="26"/>
      <c r="MN113" s="26"/>
      <c r="MO113" s="26"/>
      <c r="MP113" s="26"/>
      <c r="MQ113" s="26"/>
      <c r="MR113" s="26"/>
      <c r="MS113" s="26"/>
      <c r="MT113" s="26"/>
      <c r="MU113" s="26"/>
      <c r="MV113" s="26"/>
      <c r="MW113" s="26"/>
      <c r="MX113" s="26"/>
      <c r="MY113" s="26"/>
      <c r="MZ113" s="26"/>
      <c r="NA113" s="26"/>
      <c r="NB113" s="26"/>
      <c r="NC113" s="26"/>
      <c r="ND113" s="26"/>
      <c r="NE113" s="26"/>
      <c r="NF113" s="26"/>
      <c r="NG113" s="26"/>
      <c r="NH113" s="26"/>
      <c r="NI113" s="26"/>
      <c r="NJ113" s="26"/>
      <c r="NK113" s="26"/>
      <c r="NL113" s="26"/>
      <c r="NM113" s="26"/>
      <c r="NN113" s="26"/>
      <c r="NO113" s="26"/>
      <c r="NP113" s="26"/>
      <c r="NQ113" s="26"/>
      <c r="NR113" s="26"/>
      <c r="NS113" s="26"/>
      <c r="NT113" s="26"/>
      <c r="NU113" s="26"/>
      <c r="NV113" s="26"/>
      <c r="NW113" s="26"/>
      <c r="NX113" s="26"/>
      <c r="NY113" s="26"/>
      <c r="NZ113" s="26"/>
      <c r="OA113" s="26"/>
      <c r="OB113" s="26"/>
      <c r="OC113" s="26"/>
      <c r="OD113" s="26"/>
      <c r="OE113" s="26"/>
      <c r="OF113" s="26"/>
      <c r="OG113" s="26"/>
      <c r="OH113" s="26"/>
      <c r="OI113" s="26"/>
      <c r="OJ113" s="26"/>
      <c r="OK113" s="26"/>
      <c r="OL113" s="26"/>
      <c r="OM113" s="26"/>
      <c r="ON113" s="26"/>
      <c r="OO113" s="26"/>
      <c r="OP113" s="26"/>
      <c r="OQ113" s="26"/>
      <c r="OR113" s="26"/>
      <c r="OS113" s="26"/>
      <c r="OT113" s="26"/>
      <c r="OU113" s="26"/>
      <c r="OV113" s="26"/>
      <c r="OW113" s="26"/>
      <c r="OX113" s="26"/>
      <c r="OY113" s="26"/>
      <c r="OZ113" s="26"/>
      <c r="PA113" s="26"/>
      <c r="PB113" s="26"/>
      <c r="PC113" s="26"/>
      <c r="PD113" s="26"/>
      <c r="PE113" s="26"/>
      <c r="PF113" s="26"/>
      <c r="PG113" s="26"/>
      <c r="PH113" s="26"/>
      <c r="PI113" s="26"/>
      <c r="PJ113" s="26"/>
      <c r="PK113" s="26"/>
      <c r="PL113" s="26"/>
      <c r="PM113" s="26"/>
      <c r="PN113" s="26"/>
      <c r="PO113" s="26"/>
      <c r="PP113" s="26"/>
      <c r="PQ113" s="26"/>
      <c r="PR113" s="26"/>
      <c r="PS113" s="26"/>
      <c r="PT113" s="26"/>
      <c r="PU113" s="26"/>
      <c r="PV113" s="26"/>
      <c r="PW113" s="26"/>
      <c r="PX113" s="26"/>
      <c r="PY113" s="26"/>
      <c r="PZ113" s="26"/>
      <c r="QA113" s="26"/>
      <c r="QB113" s="26"/>
      <c r="QC113" s="26"/>
      <c r="QD113" s="26"/>
      <c r="QE113" s="26"/>
      <c r="QF113" s="26"/>
      <c r="QG113" s="26"/>
      <c r="QH113" s="26"/>
      <c r="QI113" s="26"/>
      <c r="QJ113" s="26"/>
      <c r="QK113" s="26"/>
      <c r="QL113" s="26"/>
      <c r="QM113" s="26"/>
      <c r="QN113" s="26"/>
      <c r="QO113" s="26"/>
      <c r="QP113" s="26"/>
      <c r="QQ113" s="26"/>
      <c r="QR113" s="26"/>
      <c r="QS113" s="26"/>
      <c r="QT113" s="26"/>
      <c r="QU113" s="26"/>
      <c r="QV113" s="26"/>
      <c r="QW113" s="26"/>
      <c r="QX113" s="26"/>
      <c r="QY113" s="26"/>
      <c r="QZ113" s="26"/>
      <c r="RA113" s="26"/>
      <c r="RB113" s="26"/>
      <c r="RC113" s="26"/>
      <c r="RD113" s="26"/>
      <c r="RE113" s="26"/>
      <c r="RF113" s="26"/>
      <c r="RG113" s="26"/>
      <c r="RH113" s="26"/>
      <c r="RI113" s="26"/>
      <c r="RJ113" s="26"/>
      <c r="RK113" s="26"/>
      <c r="RL113" s="26"/>
      <c r="RM113" s="26"/>
      <c r="RN113" s="26"/>
      <c r="RO113" s="26"/>
      <c r="RP113" s="26"/>
      <c r="RQ113" s="26"/>
      <c r="RR113" s="26"/>
      <c r="RS113" s="26"/>
      <c r="RT113" s="26"/>
      <c r="RU113" s="26"/>
      <c r="RV113" s="26"/>
      <c r="RW113" s="26"/>
      <c r="RX113" s="26"/>
      <c r="RY113" s="26"/>
      <c r="RZ113" s="26"/>
      <c r="SA113" s="26"/>
      <c r="SB113" s="26"/>
      <c r="SC113" s="26"/>
      <c r="SD113" s="26"/>
      <c r="SE113" s="26"/>
      <c r="SF113" s="26"/>
      <c r="SG113" s="26"/>
      <c r="SH113" s="26"/>
      <c r="SI113" s="26"/>
      <c r="SJ113" s="26"/>
      <c r="SK113" s="26"/>
      <c r="SL113" s="26"/>
      <c r="SM113" s="26"/>
      <c r="SN113" s="26"/>
      <c r="SO113" s="26"/>
      <c r="SP113" s="26"/>
      <c r="SQ113" s="26"/>
      <c r="SR113" s="26"/>
      <c r="SS113" s="26"/>
      <c r="ST113" s="26"/>
      <c r="SU113" s="26"/>
      <c r="SV113" s="26"/>
      <c r="SW113" s="26"/>
      <c r="SX113" s="26"/>
      <c r="SY113" s="26"/>
      <c r="SZ113" s="26"/>
      <c r="TA113" s="26"/>
      <c r="TB113" s="26"/>
      <c r="TC113" s="26"/>
      <c r="TD113" s="26"/>
      <c r="TE113" s="26"/>
      <c r="TF113" s="26"/>
      <c r="TG113" s="26"/>
      <c r="TH113" s="26"/>
      <c r="TI113" s="26"/>
    </row>
    <row r="114" spans="1:529" s="23" customFormat="1" ht="45" x14ac:dyDescent="0.25">
      <c r="A114" s="43" t="s">
        <v>361</v>
      </c>
      <c r="B114" s="44" t="str">
        <f>'дод 4'!A72</f>
        <v>3192</v>
      </c>
      <c r="C114" s="44" t="str">
        <f>'дод 4'!B72</f>
        <v>1030</v>
      </c>
      <c r="D114" s="24" t="str">
        <f>'дод 4'!C72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14" s="69">
        <f t="shared" si="39"/>
        <v>1892237</v>
      </c>
      <c r="F114" s="69">
        <f>1478776+413461</f>
        <v>1892237</v>
      </c>
      <c r="G114" s="69"/>
      <c r="H114" s="69"/>
      <c r="I114" s="69"/>
      <c r="J114" s="69">
        <f t="shared" si="41"/>
        <v>0</v>
      </c>
      <c r="K114" s="69"/>
      <c r="L114" s="69"/>
      <c r="M114" s="69"/>
      <c r="N114" s="69"/>
      <c r="O114" s="69"/>
      <c r="P114" s="69">
        <f t="shared" si="40"/>
        <v>1892237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</row>
    <row r="115" spans="1:529" s="23" customFormat="1" ht="41.25" customHeight="1" x14ac:dyDescent="0.25">
      <c r="A115" s="43" t="s">
        <v>224</v>
      </c>
      <c r="B115" s="44" t="str">
        <f>'дод 4'!A73</f>
        <v>3200</v>
      </c>
      <c r="C115" s="44" t="str">
        <f>'дод 4'!B73</f>
        <v>1090</v>
      </c>
      <c r="D115" s="24" t="str">
        <f>'дод 4'!C73</f>
        <v>Забезпечення обробки інформації з нарахування та виплати допомог і компенсацій</v>
      </c>
      <c r="E115" s="69">
        <f t="shared" si="39"/>
        <v>86500</v>
      </c>
      <c r="F115" s="69">
        <v>86500</v>
      </c>
      <c r="G115" s="69"/>
      <c r="H115" s="69"/>
      <c r="I115" s="69"/>
      <c r="J115" s="69">
        <f t="shared" si="41"/>
        <v>0</v>
      </c>
      <c r="K115" s="69"/>
      <c r="L115" s="69"/>
      <c r="M115" s="69"/>
      <c r="N115" s="69"/>
      <c r="O115" s="69"/>
      <c r="P115" s="69">
        <f t="shared" si="40"/>
        <v>86500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  <c r="IW115" s="26"/>
      <c r="IX115" s="26"/>
      <c r="IY115" s="26"/>
      <c r="IZ115" s="26"/>
      <c r="JA115" s="26"/>
      <c r="JB115" s="26"/>
      <c r="JC115" s="26"/>
      <c r="JD115" s="26"/>
      <c r="JE115" s="26"/>
      <c r="JF115" s="26"/>
      <c r="JG115" s="26"/>
      <c r="JH115" s="26"/>
      <c r="JI115" s="26"/>
      <c r="JJ115" s="26"/>
      <c r="JK115" s="26"/>
      <c r="JL115" s="26"/>
      <c r="JM115" s="26"/>
      <c r="JN115" s="26"/>
      <c r="JO115" s="26"/>
      <c r="JP115" s="26"/>
      <c r="JQ115" s="26"/>
      <c r="JR115" s="26"/>
      <c r="JS115" s="26"/>
      <c r="JT115" s="26"/>
      <c r="JU115" s="26"/>
      <c r="JV115" s="26"/>
      <c r="JW115" s="26"/>
      <c r="JX115" s="26"/>
      <c r="JY115" s="26"/>
      <c r="JZ115" s="26"/>
      <c r="KA115" s="26"/>
      <c r="KB115" s="26"/>
      <c r="KC115" s="26"/>
      <c r="KD115" s="26"/>
      <c r="KE115" s="26"/>
      <c r="KF115" s="26"/>
      <c r="KG115" s="26"/>
      <c r="KH115" s="26"/>
      <c r="KI115" s="26"/>
      <c r="KJ115" s="26"/>
      <c r="KK115" s="26"/>
      <c r="KL115" s="26"/>
      <c r="KM115" s="26"/>
      <c r="KN115" s="26"/>
      <c r="KO115" s="26"/>
      <c r="KP115" s="26"/>
      <c r="KQ115" s="26"/>
      <c r="KR115" s="26"/>
      <c r="KS115" s="26"/>
      <c r="KT115" s="26"/>
      <c r="KU115" s="26"/>
      <c r="KV115" s="26"/>
      <c r="KW115" s="26"/>
      <c r="KX115" s="26"/>
      <c r="KY115" s="26"/>
      <c r="KZ115" s="26"/>
      <c r="LA115" s="26"/>
      <c r="LB115" s="26"/>
      <c r="LC115" s="26"/>
      <c r="LD115" s="26"/>
      <c r="LE115" s="26"/>
      <c r="LF115" s="26"/>
      <c r="LG115" s="26"/>
      <c r="LH115" s="26"/>
      <c r="LI115" s="26"/>
      <c r="LJ115" s="26"/>
      <c r="LK115" s="26"/>
      <c r="LL115" s="26"/>
      <c r="LM115" s="26"/>
      <c r="LN115" s="26"/>
      <c r="LO115" s="26"/>
      <c r="LP115" s="26"/>
      <c r="LQ115" s="26"/>
      <c r="LR115" s="26"/>
      <c r="LS115" s="26"/>
      <c r="LT115" s="26"/>
      <c r="LU115" s="26"/>
      <c r="LV115" s="26"/>
      <c r="LW115" s="26"/>
      <c r="LX115" s="26"/>
      <c r="LY115" s="26"/>
      <c r="LZ115" s="26"/>
      <c r="MA115" s="26"/>
      <c r="MB115" s="26"/>
      <c r="MC115" s="26"/>
      <c r="MD115" s="26"/>
      <c r="ME115" s="26"/>
      <c r="MF115" s="26"/>
      <c r="MG115" s="26"/>
      <c r="MH115" s="26"/>
      <c r="MI115" s="26"/>
      <c r="MJ115" s="26"/>
      <c r="MK115" s="26"/>
      <c r="ML115" s="26"/>
      <c r="MM115" s="26"/>
      <c r="MN115" s="26"/>
      <c r="MO115" s="26"/>
      <c r="MP115" s="26"/>
      <c r="MQ115" s="26"/>
      <c r="MR115" s="26"/>
      <c r="MS115" s="26"/>
      <c r="MT115" s="26"/>
      <c r="MU115" s="26"/>
      <c r="MV115" s="26"/>
      <c r="MW115" s="26"/>
      <c r="MX115" s="26"/>
      <c r="MY115" s="26"/>
      <c r="MZ115" s="26"/>
      <c r="NA115" s="26"/>
      <c r="NB115" s="26"/>
      <c r="NC115" s="26"/>
      <c r="ND115" s="26"/>
      <c r="NE115" s="26"/>
      <c r="NF115" s="26"/>
      <c r="NG115" s="26"/>
      <c r="NH115" s="26"/>
      <c r="NI115" s="26"/>
      <c r="NJ115" s="26"/>
      <c r="NK115" s="26"/>
      <c r="NL115" s="26"/>
      <c r="NM115" s="26"/>
      <c r="NN115" s="26"/>
      <c r="NO115" s="26"/>
      <c r="NP115" s="26"/>
      <c r="NQ115" s="26"/>
      <c r="NR115" s="26"/>
      <c r="NS115" s="26"/>
      <c r="NT115" s="26"/>
      <c r="NU115" s="26"/>
      <c r="NV115" s="26"/>
      <c r="NW115" s="26"/>
      <c r="NX115" s="26"/>
      <c r="NY115" s="26"/>
      <c r="NZ115" s="26"/>
      <c r="OA115" s="26"/>
      <c r="OB115" s="26"/>
      <c r="OC115" s="26"/>
      <c r="OD115" s="26"/>
      <c r="OE115" s="26"/>
      <c r="OF115" s="26"/>
      <c r="OG115" s="26"/>
      <c r="OH115" s="26"/>
      <c r="OI115" s="26"/>
      <c r="OJ115" s="26"/>
      <c r="OK115" s="26"/>
      <c r="OL115" s="26"/>
      <c r="OM115" s="26"/>
      <c r="ON115" s="26"/>
      <c r="OO115" s="26"/>
      <c r="OP115" s="26"/>
      <c r="OQ115" s="26"/>
      <c r="OR115" s="26"/>
      <c r="OS115" s="26"/>
      <c r="OT115" s="26"/>
      <c r="OU115" s="26"/>
      <c r="OV115" s="26"/>
      <c r="OW115" s="26"/>
      <c r="OX115" s="26"/>
      <c r="OY115" s="26"/>
      <c r="OZ115" s="26"/>
      <c r="PA115" s="26"/>
      <c r="PB115" s="26"/>
      <c r="PC115" s="26"/>
      <c r="PD115" s="26"/>
      <c r="PE115" s="26"/>
      <c r="PF115" s="26"/>
      <c r="PG115" s="26"/>
      <c r="PH115" s="26"/>
      <c r="PI115" s="26"/>
      <c r="PJ115" s="26"/>
      <c r="PK115" s="26"/>
      <c r="PL115" s="26"/>
      <c r="PM115" s="26"/>
      <c r="PN115" s="26"/>
      <c r="PO115" s="26"/>
      <c r="PP115" s="26"/>
      <c r="PQ115" s="26"/>
      <c r="PR115" s="26"/>
      <c r="PS115" s="26"/>
      <c r="PT115" s="26"/>
      <c r="PU115" s="26"/>
      <c r="PV115" s="26"/>
      <c r="PW115" s="26"/>
      <c r="PX115" s="26"/>
      <c r="PY115" s="26"/>
      <c r="PZ115" s="26"/>
      <c r="QA115" s="26"/>
      <c r="QB115" s="26"/>
      <c r="QC115" s="26"/>
      <c r="QD115" s="26"/>
      <c r="QE115" s="26"/>
      <c r="QF115" s="26"/>
      <c r="QG115" s="26"/>
      <c r="QH115" s="26"/>
      <c r="QI115" s="26"/>
      <c r="QJ115" s="26"/>
      <c r="QK115" s="26"/>
      <c r="QL115" s="26"/>
      <c r="QM115" s="26"/>
      <c r="QN115" s="26"/>
      <c r="QO115" s="26"/>
      <c r="QP115" s="26"/>
      <c r="QQ115" s="26"/>
      <c r="QR115" s="26"/>
      <c r="QS115" s="26"/>
      <c r="QT115" s="26"/>
      <c r="QU115" s="26"/>
      <c r="QV115" s="26"/>
      <c r="QW115" s="26"/>
      <c r="QX115" s="26"/>
      <c r="QY115" s="26"/>
      <c r="QZ115" s="26"/>
      <c r="RA115" s="26"/>
      <c r="RB115" s="26"/>
      <c r="RC115" s="26"/>
      <c r="RD115" s="26"/>
      <c r="RE115" s="26"/>
      <c r="RF115" s="26"/>
      <c r="RG115" s="26"/>
      <c r="RH115" s="26"/>
      <c r="RI115" s="26"/>
      <c r="RJ115" s="26"/>
      <c r="RK115" s="26"/>
      <c r="RL115" s="26"/>
      <c r="RM115" s="26"/>
      <c r="RN115" s="26"/>
      <c r="RO115" s="26"/>
      <c r="RP115" s="26"/>
      <c r="RQ115" s="26"/>
      <c r="RR115" s="26"/>
      <c r="RS115" s="26"/>
      <c r="RT115" s="26"/>
      <c r="RU115" s="26"/>
      <c r="RV115" s="26"/>
      <c r="RW115" s="26"/>
      <c r="RX115" s="26"/>
      <c r="RY115" s="26"/>
      <c r="RZ115" s="26"/>
      <c r="SA115" s="26"/>
      <c r="SB115" s="26"/>
      <c r="SC115" s="26"/>
      <c r="SD115" s="26"/>
      <c r="SE115" s="26"/>
      <c r="SF115" s="26"/>
      <c r="SG115" s="26"/>
      <c r="SH115" s="26"/>
      <c r="SI115" s="26"/>
      <c r="SJ115" s="26"/>
      <c r="SK115" s="26"/>
      <c r="SL115" s="26"/>
      <c r="SM115" s="26"/>
      <c r="SN115" s="26"/>
      <c r="SO115" s="26"/>
      <c r="SP115" s="26"/>
      <c r="SQ115" s="26"/>
      <c r="SR115" s="26"/>
      <c r="SS115" s="26"/>
      <c r="ST115" s="26"/>
      <c r="SU115" s="26"/>
      <c r="SV115" s="26"/>
      <c r="SW115" s="26"/>
      <c r="SX115" s="26"/>
      <c r="SY115" s="26"/>
      <c r="SZ115" s="26"/>
      <c r="TA115" s="26"/>
      <c r="TB115" s="26"/>
      <c r="TC115" s="26"/>
      <c r="TD115" s="26"/>
      <c r="TE115" s="26"/>
      <c r="TF115" s="26"/>
      <c r="TG115" s="26"/>
      <c r="TH115" s="26"/>
      <c r="TI115" s="26"/>
    </row>
    <row r="116" spans="1:529" s="23" customFormat="1" ht="19.5" customHeight="1" x14ac:dyDescent="0.25">
      <c r="A116" s="52" t="s">
        <v>362</v>
      </c>
      <c r="B116" s="45" t="str">
        <f>'дод 4'!A74</f>
        <v>3210</v>
      </c>
      <c r="C116" s="45" t="str">
        <f>'дод 4'!B74</f>
        <v>1050</v>
      </c>
      <c r="D116" s="22" t="str">
        <f>'дод 4'!C74</f>
        <v>Організація та проведення громадських робіт</v>
      </c>
      <c r="E116" s="69">
        <f t="shared" si="39"/>
        <v>200000</v>
      </c>
      <c r="F116" s="69">
        <v>200000</v>
      </c>
      <c r="G116" s="69">
        <v>163935</v>
      </c>
      <c r="H116" s="69"/>
      <c r="I116" s="69"/>
      <c r="J116" s="69">
        <f t="shared" si="41"/>
        <v>0</v>
      </c>
      <c r="K116" s="69"/>
      <c r="L116" s="69"/>
      <c r="M116" s="69"/>
      <c r="N116" s="69"/>
      <c r="O116" s="69"/>
      <c r="P116" s="69">
        <f t="shared" si="40"/>
        <v>200000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  <c r="IW116" s="26"/>
      <c r="IX116" s="26"/>
      <c r="IY116" s="26"/>
      <c r="IZ116" s="26"/>
      <c r="JA116" s="26"/>
      <c r="JB116" s="26"/>
      <c r="JC116" s="26"/>
      <c r="JD116" s="26"/>
      <c r="JE116" s="26"/>
      <c r="JF116" s="26"/>
      <c r="JG116" s="26"/>
      <c r="JH116" s="26"/>
      <c r="JI116" s="26"/>
      <c r="JJ116" s="26"/>
      <c r="JK116" s="26"/>
      <c r="JL116" s="26"/>
      <c r="JM116" s="26"/>
      <c r="JN116" s="26"/>
      <c r="JO116" s="26"/>
      <c r="JP116" s="26"/>
      <c r="JQ116" s="26"/>
      <c r="JR116" s="26"/>
      <c r="JS116" s="26"/>
      <c r="JT116" s="26"/>
      <c r="JU116" s="26"/>
      <c r="JV116" s="26"/>
      <c r="JW116" s="26"/>
      <c r="JX116" s="26"/>
      <c r="JY116" s="26"/>
      <c r="JZ116" s="26"/>
      <c r="KA116" s="26"/>
      <c r="KB116" s="26"/>
      <c r="KC116" s="26"/>
      <c r="KD116" s="26"/>
      <c r="KE116" s="26"/>
      <c r="KF116" s="26"/>
      <c r="KG116" s="26"/>
      <c r="KH116" s="26"/>
      <c r="KI116" s="26"/>
      <c r="KJ116" s="26"/>
      <c r="KK116" s="26"/>
      <c r="KL116" s="26"/>
      <c r="KM116" s="26"/>
      <c r="KN116" s="26"/>
      <c r="KO116" s="26"/>
      <c r="KP116" s="26"/>
      <c r="KQ116" s="26"/>
      <c r="KR116" s="26"/>
      <c r="KS116" s="26"/>
      <c r="KT116" s="26"/>
      <c r="KU116" s="26"/>
      <c r="KV116" s="26"/>
      <c r="KW116" s="26"/>
      <c r="KX116" s="26"/>
      <c r="KY116" s="26"/>
      <c r="KZ116" s="26"/>
      <c r="LA116" s="26"/>
      <c r="LB116" s="26"/>
      <c r="LC116" s="26"/>
      <c r="LD116" s="26"/>
      <c r="LE116" s="26"/>
      <c r="LF116" s="26"/>
      <c r="LG116" s="26"/>
      <c r="LH116" s="26"/>
      <c r="LI116" s="26"/>
      <c r="LJ116" s="26"/>
      <c r="LK116" s="26"/>
      <c r="LL116" s="26"/>
      <c r="LM116" s="26"/>
      <c r="LN116" s="26"/>
      <c r="LO116" s="26"/>
      <c r="LP116" s="26"/>
      <c r="LQ116" s="26"/>
      <c r="LR116" s="26"/>
      <c r="LS116" s="26"/>
      <c r="LT116" s="26"/>
      <c r="LU116" s="26"/>
      <c r="LV116" s="26"/>
      <c r="LW116" s="26"/>
      <c r="LX116" s="26"/>
      <c r="LY116" s="26"/>
      <c r="LZ116" s="26"/>
      <c r="MA116" s="26"/>
      <c r="MB116" s="26"/>
      <c r="MC116" s="26"/>
      <c r="MD116" s="26"/>
      <c r="ME116" s="26"/>
      <c r="MF116" s="26"/>
      <c r="MG116" s="26"/>
      <c r="MH116" s="26"/>
      <c r="MI116" s="26"/>
      <c r="MJ116" s="26"/>
      <c r="MK116" s="26"/>
      <c r="ML116" s="26"/>
      <c r="MM116" s="26"/>
      <c r="MN116" s="26"/>
      <c r="MO116" s="26"/>
      <c r="MP116" s="26"/>
      <c r="MQ116" s="26"/>
      <c r="MR116" s="26"/>
      <c r="MS116" s="26"/>
      <c r="MT116" s="26"/>
      <c r="MU116" s="26"/>
      <c r="MV116" s="26"/>
      <c r="MW116" s="26"/>
      <c r="MX116" s="26"/>
      <c r="MY116" s="26"/>
      <c r="MZ116" s="26"/>
      <c r="NA116" s="26"/>
      <c r="NB116" s="26"/>
      <c r="NC116" s="26"/>
      <c r="ND116" s="26"/>
      <c r="NE116" s="26"/>
      <c r="NF116" s="26"/>
      <c r="NG116" s="26"/>
      <c r="NH116" s="26"/>
      <c r="NI116" s="26"/>
      <c r="NJ116" s="26"/>
      <c r="NK116" s="26"/>
      <c r="NL116" s="26"/>
      <c r="NM116" s="26"/>
      <c r="NN116" s="26"/>
      <c r="NO116" s="26"/>
      <c r="NP116" s="26"/>
      <c r="NQ116" s="26"/>
      <c r="NR116" s="26"/>
      <c r="NS116" s="26"/>
      <c r="NT116" s="26"/>
      <c r="NU116" s="26"/>
      <c r="NV116" s="26"/>
      <c r="NW116" s="26"/>
      <c r="NX116" s="26"/>
      <c r="NY116" s="26"/>
      <c r="NZ116" s="26"/>
      <c r="OA116" s="26"/>
      <c r="OB116" s="26"/>
      <c r="OC116" s="26"/>
      <c r="OD116" s="26"/>
      <c r="OE116" s="26"/>
      <c r="OF116" s="26"/>
      <c r="OG116" s="26"/>
      <c r="OH116" s="26"/>
      <c r="OI116" s="26"/>
      <c r="OJ116" s="26"/>
      <c r="OK116" s="26"/>
      <c r="OL116" s="26"/>
      <c r="OM116" s="26"/>
      <c r="ON116" s="26"/>
      <c r="OO116" s="26"/>
      <c r="OP116" s="26"/>
      <c r="OQ116" s="26"/>
      <c r="OR116" s="26"/>
      <c r="OS116" s="26"/>
      <c r="OT116" s="26"/>
      <c r="OU116" s="26"/>
      <c r="OV116" s="26"/>
      <c r="OW116" s="26"/>
      <c r="OX116" s="26"/>
      <c r="OY116" s="26"/>
      <c r="OZ116" s="26"/>
      <c r="PA116" s="26"/>
      <c r="PB116" s="26"/>
      <c r="PC116" s="26"/>
      <c r="PD116" s="26"/>
      <c r="PE116" s="26"/>
      <c r="PF116" s="26"/>
      <c r="PG116" s="26"/>
      <c r="PH116" s="26"/>
      <c r="PI116" s="26"/>
      <c r="PJ116" s="26"/>
      <c r="PK116" s="26"/>
      <c r="PL116" s="26"/>
      <c r="PM116" s="26"/>
      <c r="PN116" s="26"/>
      <c r="PO116" s="26"/>
      <c r="PP116" s="26"/>
      <c r="PQ116" s="26"/>
      <c r="PR116" s="26"/>
      <c r="PS116" s="26"/>
      <c r="PT116" s="26"/>
      <c r="PU116" s="26"/>
      <c r="PV116" s="26"/>
      <c r="PW116" s="26"/>
      <c r="PX116" s="26"/>
      <c r="PY116" s="26"/>
      <c r="PZ116" s="26"/>
      <c r="QA116" s="26"/>
      <c r="QB116" s="26"/>
      <c r="QC116" s="26"/>
      <c r="QD116" s="26"/>
      <c r="QE116" s="26"/>
      <c r="QF116" s="26"/>
      <c r="QG116" s="26"/>
      <c r="QH116" s="26"/>
      <c r="QI116" s="26"/>
      <c r="QJ116" s="26"/>
      <c r="QK116" s="26"/>
      <c r="QL116" s="26"/>
      <c r="QM116" s="26"/>
      <c r="QN116" s="26"/>
      <c r="QO116" s="26"/>
      <c r="QP116" s="26"/>
      <c r="QQ116" s="26"/>
      <c r="QR116" s="26"/>
      <c r="QS116" s="26"/>
      <c r="QT116" s="26"/>
      <c r="QU116" s="26"/>
      <c r="QV116" s="26"/>
      <c r="QW116" s="26"/>
      <c r="QX116" s="26"/>
      <c r="QY116" s="26"/>
      <c r="QZ116" s="26"/>
      <c r="RA116" s="26"/>
      <c r="RB116" s="26"/>
      <c r="RC116" s="26"/>
      <c r="RD116" s="26"/>
      <c r="RE116" s="26"/>
      <c r="RF116" s="26"/>
      <c r="RG116" s="26"/>
      <c r="RH116" s="26"/>
      <c r="RI116" s="26"/>
      <c r="RJ116" s="26"/>
      <c r="RK116" s="26"/>
      <c r="RL116" s="26"/>
      <c r="RM116" s="26"/>
      <c r="RN116" s="26"/>
      <c r="RO116" s="26"/>
      <c r="RP116" s="26"/>
      <c r="RQ116" s="26"/>
      <c r="RR116" s="26"/>
      <c r="RS116" s="26"/>
      <c r="RT116" s="26"/>
      <c r="RU116" s="26"/>
      <c r="RV116" s="26"/>
      <c r="RW116" s="26"/>
      <c r="RX116" s="26"/>
      <c r="RY116" s="26"/>
      <c r="RZ116" s="26"/>
      <c r="SA116" s="26"/>
      <c r="SB116" s="26"/>
      <c r="SC116" s="26"/>
      <c r="SD116" s="26"/>
      <c r="SE116" s="26"/>
      <c r="SF116" s="26"/>
      <c r="SG116" s="26"/>
      <c r="SH116" s="26"/>
      <c r="SI116" s="26"/>
      <c r="SJ116" s="26"/>
      <c r="SK116" s="26"/>
      <c r="SL116" s="26"/>
      <c r="SM116" s="26"/>
      <c r="SN116" s="26"/>
      <c r="SO116" s="26"/>
      <c r="SP116" s="26"/>
      <c r="SQ116" s="26"/>
      <c r="SR116" s="26"/>
      <c r="SS116" s="26"/>
      <c r="ST116" s="26"/>
      <c r="SU116" s="26"/>
      <c r="SV116" s="26"/>
      <c r="SW116" s="26"/>
      <c r="SX116" s="26"/>
      <c r="SY116" s="26"/>
      <c r="SZ116" s="26"/>
      <c r="TA116" s="26"/>
      <c r="TB116" s="26"/>
      <c r="TC116" s="26"/>
      <c r="TD116" s="26"/>
      <c r="TE116" s="26"/>
      <c r="TF116" s="26"/>
      <c r="TG116" s="26"/>
      <c r="TH116" s="26"/>
      <c r="TI116" s="26"/>
    </row>
    <row r="117" spans="1:529" s="23" customFormat="1" ht="31.5" customHeight="1" x14ac:dyDescent="0.25">
      <c r="A117" s="43" t="s">
        <v>359</v>
      </c>
      <c r="B117" s="44" t="str">
        <f>'дод 4'!A75</f>
        <v>3241</v>
      </c>
      <c r="C117" s="44" t="str">
        <f>'дод 4'!B75</f>
        <v>1090</v>
      </c>
      <c r="D117" s="24" t="str">
        <f>'дод 4'!C75</f>
        <v>Забезпечення діяльності інших закладів у сфері соціального захисту і соціального забезпечення</v>
      </c>
      <c r="E117" s="69">
        <f t="shared" si="39"/>
        <v>5520906</v>
      </c>
      <c r="F117" s="69">
        <f>5445830+31200-41000+61876-10000+33000</f>
        <v>5520906</v>
      </c>
      <c r="G117" s="69">
        <v>3343340</v>
      </c>
      <c r="H117" s="69">
        <f>543630-41000-10000</f>
        <v>492630</v>
      </c>
      <c r="I117" s="69"/>
      <c r="J117" s="69">
        <f t="shared" ref="J117:J119" si="42">L117+O117</f>
        <v>761000</v>
      </c>
      <c r="K117" s="69">
        <f>200000+500000+40000+21000</f>
        <v>761000</v>
      </c>
      <c r="L117" s="69"/>
      <c r="M117" s="69"/>
      <c r="N117" s="69"/>
      <c r="O117" s="69">
        <f>200000+500000+40000+21000</f>
        <v>761000</v>
      </c>
      <c r="P117" s="69">
        <f t="shared" si="40"/>
        <v>6281906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  <c r="IW117" s="26"/>
      <c r="IX117" s="26"/>
      <c r="IY117" s="26"/>
      <c r="IZ117" s="26"/>
      <c r="JA117" s="26"/>
      <c r="JB117" s="26"/>
      <c r="JC117" s="26"/>
      <c r="JD117" s="26"/>
      <c r="JE117" s="26"/>
      <c r="JF117" s="26"/>
      <c r="JG117" s="26"/>
      <c r="JH117" s="26"/>
      <c r="JI117" s="26"/>
      <c r="JJ117" s="26"/>
      <c r="JK117" s="26"/>
      <c r="JL117" s="26"/>
      <c r="JM117" s="26"/>
      <c r="JN117" s="26"/>
      <c r="JO117" s="26"/>
      <c r="JP117" s="26"/>
      <c r="JQ117" s="26"/>
      <c r="JR117" s="26"/>
      <c r="JS117" s="26"/>
      <c r="JT117" s="26"/>
      <c r="JU117" s="26"/>
      <c r="JV117" s="26"/>
      <c r="JW117" s="26"/>
      <c r="JX117" s="26"/>
      <c r="JY117" s="26"/>
      <c r="JZ117" s="26"/>
      <c r="KA117" s="26"/>
      <c r="KB117" s="26"/>
      <c r="KC117" s="26"/>
      <c r="KD117" s="26"/>
      <c r="KE117" s="26"/>
      <c r="KF117" s="26"/>
      <c r="KG117" s="26"/>
      <c r="KH117" s="26"/>
      <c r="KI117" s="26"/>
      <c r="KJ117" s="26"/>
      <c r="KK117" s="26"/>
      <c r="KL117" s="26"/>
      <c r="KM117" s="26"/>
      <c r="KN117" s="26"/>
      <c r="KO117" s="26"/>
      <c r="KP117" s="26"/>
      <c r="KQ117" s="26"/>
      <c r="KR117" s="26"/>
      <c r="KS117" s="26"/>
      <c r="KT117" s="26"/>
      <c r="KU117" s="26"/>
      <c r="KV117" s="26"/>
      <c r="KW117" s="26"/>
      <c r="KX117" s="26"/>
      <c r="KY117" s="26"/>
      <c r="KZ117" s="26"/>
      <c r="LA117" s="26"/>
      <c r="LB117" s="26"/>
      <c r="LC117" s="26"/>
      <c r="LD117" s="26"/>
      <c r="LE117" s="26"/>
      <c r="LF117" s="26"/>
      <c r="LG117" s="26"/>
      <c r="LH117" s="26"/>
      <c r="LI117" s="26"/>
      <c r="LJ117" s="26"/>
      <c r="LK117" s="26"/>
      <c r="LL117" s="26"/>
      <c r="LM117" s="26"/>
      <c r="LN117" s="26"/>
      <c r="LO117" s="26"/>
      <c r="LP117" s="26"/>
      <c r="LQ117" s="26"/>
      <c r="LR117" s="26"/>
      <c r="LS117" s="26"/>
      <c r="LT117" s="26"/>
      <c r="LU117" s="26"/>
      <c r="LV117" s="26"/>
      <c r="LW117" s="26"/>
      <c r="LX117" s="26"/>
      <c r="LY117" s="26"/>
      <c r="LZ117" s="26"/>
      <c r="MA117" s="26"/>
      <c r="MB117" s="26"/>
      <c r="MC117" s="26"/>
      <c r="MD117" s="26"/>
      <c r="ME117" s="26"/>
      <c r="MF117" s="26"/>
      <c r="MG117" s="26"/>
      <c r="MH117" s="26"/>
      <c r="MI117" s="26"/>
      <c r="MJ117" s="26"/>
      <c r="MK117" s="26"/>
      <c r="ML117" s="26"/>
      <c r="MM117" s="26"/>
      <c r="MN117" s="26"/>
      <c r="MO117" s="26"/>
      <c r="MP117" s="26"/>
      <c r="MQ117" s="26"/>
      <c r="MR117" s="26"/>
      <c r="MS117" s="26"/>
      <c r="MT117" s="26"/>
      <c r="MU117" s="26"/>
      <c r="MV117" s="26"/>
      <c r="MW117" s="26"/>
      <c r="MX117" s="26"/>
      <c r="MY117" s="26"/>
      <c r="MZ117" s="26"/>
      <c r="NA117" s="26"/>
      <c r="NB117" s="26"/>
      <c r="NC117" s="26"/>
      <c r="ND117" s="26"/>
      <c r="NE117" s="26"/>
      <c r="NF117" s="26"/>
      <c r="NG117" s="26"/>
      <c r="NH117" s="26"/>
      <c r="NI117" s="26"/>
      <c r="NJ117" s="26"/>
      <c r="NK117" s="26"/>
      <c r="NL117" s="26"/>
      <c r="NM117" s="26"/>
      <c r="NN117" s="26"/>
      <c r="NO117" s="26"/>
      <c r="NP117" s="26"/>
      <c r="NQ117" s="26"/>
      <c r="NR117" s="26"/>
      <c r="NS117" s="26"/>
      <c r="NT117" s="26"/>
      <c r="NU117" s="26"/>
      <c r="NV117" s="26"/>
      <c r="NW117" s="26"/>
      <c r="NX117" s="26"/>
      <c r="NY117" s="26"/>
      <c r="NZ117" s="26"/>
      <c r="OA117" s="26"/>
      <c r="OB117" s="26"/>
      <c r="OC117" s="26"/>
      <c r="OD117" s="26"/>
      <c r="OE117" s="26"/>
      <c r="OF117" s="26"/>
      <c r="OG117" s="26"/>
      <c r="OH117" s="26"/>
      <c r="OI117" s="26"/>
      <c r="OJ117" s="26"/>
      <c r="OK117" s="26"/>
      <c r="OL117" s="26"/>
      <c r="OM117" s="26"/>
      <c r="ON117" s="26"/>
      <c r="OO117" s="26"/>
      <c r="OP117" s="26"/>
      <c r="OQ117" s="26"/>
      <c r="OR117" s="26"/>
      <c r="OS117" s="26"/>
      <c r="OT117" s="26"/>
      <c r="OU117" s="26"/>
      <c r="OV117" s="26"/>
      <c r="OW117" s="26"/>
      <c r="OX117" s="26"/>
      <c r="OY117" s="26"/>
      <c r="OZ117" s="26"/>
      <c r="PA117" s="26"/>
      <c r="PB117" s="26"/>
      <c r="PC117" s="26"/>
      <c r="PD117" s="26"/>
      <c r="PE117" s="26"/>
      <c r="PF117" s="26"/>
      <c r="PG117" s="26"/>
      <c r="PH117" s="26"/>
      <c r="PI117" s="26"/>
      <c r="PJ117" s="26"/>
      <c r="PK117" s="26"/>
      <c r="PL117" s="26"/>
      <c r="PM117" s="26"/>
      <c r="PN117" s="26"/>
      <c r="PO117" s="26"/>
      <c r="PP117" s="26"/>
      <c r="PQ117" s="26"/>
      <c r="PR117" s="26"/>
      <c r="PS117" s="26"/>
      <c r="PT117" s="26"/>
      <c r="PU117" s="26"/>
      <c r="PV117" s="26"/>
      <c r="PW117" s="26"/>
      <c r="PX117" s="26"/>
      <c r="PY117" s="26"/>
      <c r="PZ117" s="26"/>
      <c r="QA117" s="26"/>
      <c r="QB117" s="26"/>
      <c r="QC117" s="26"/>
      <c r="QD117" s="26"/>
      <c r="QE117" s="26"/>
      <c r="QF117" s="26"/>
      <c r="QG117" s="26"/>
      <c r="QH117" s="26"/>
      <c r="QI117" s="26"/>
      <c r="QJ117" s="26"/>
      <c r="QK117" s="26"/>
      <c r="QL117" s="26"/>
      <c r="QM117" s="26"/>
      <c r="QN117" s="26"/>
      <c r="QO117" s="26"/>
      <c r="QP117" s="26"/>
      <c r="QQ117" s="26"/>
      <c r="QR117" s="26"/>
      <c r="QS117" s="26"/>
      <c r="QT117" s="26"/>
      <c r="QU117" s="26"/>
      <c r="QV117" s="26"/>
      <c r="QW117" s="26"/>
      <c r="QX117" s="26"/>
      <c r="QY117" s="26"/>
      <c r="QZ117" s="26"/>
      <c r="RA117" s="26"/>
      <c r="RB117" s="26"/>
      <c r="RC117" s="26"/>
      <c r="RD117" s="26"/>
      <c r="RE117" s="26"/>
      <c r="RF117" s="26"/>
      <c r="RG117" s="26"/>
      <c r="RH117" s="26"/>
      <c r="RI117" s="26"/>
      <c r="RJ117" s="26"/>
      <c r="RK117" s="26"/>
      <c r="RL117" s="26"/>
      <c r="RM117" s="26"/>
      <c r="RN117" s="26"/>
      <c r="RO117" s="26"/>
      <c r="RP117" s="26"/>
      <c r="RQ117" s="26"/>
      <c r="RR117" s="26"/>
      <c r="RS117" s="26"/>
      <c r="RT117" s="26"/>
      <c r="RU117" s="26"/>
      <c r="RV117" s="26"/>
      <c r="RW117" s="26"/>
      <c r="RX117" s="26"/>
      <c r="RY117" s="26"/>
      <c r="RZ117" s="26"/>
      <c r="SA117" s="26"/>
      <c r="SB117" s="26"/>
      <c r="SC117" s="26"/>
      <c r="SD117" s="26"/>
      <c r="SE117" s="26"/>
      <c r="SF117" s="26"/>
      <c r="SG117" s="26"/>
      <c r="SH117" s="26"/>
      <c r="SI117" s="26"/>
      <c r="SJ117" s="26"/>
      <c r="SK117" s="26"/>
      <c r="SL117" s="26"/>
      <c r="SM117" s="26"/>
      <c r="SN117" s="26"/>
      <c r="SO117" s="26"/>
      <c r="SP117" s="26"/>
      <c r="SQ117" s="26"/>
      <c r="SR117" s="26"/>
      <c r="SS117" s="26"/>
      <c r="ST117" s="26"/>
      <c r="SU117" s="26"/>
      <c r="SV117" s="26"/>
      <c r="SW117" s="26"/>
      <c r="SX117" s="26"/>
      <c r="SY117" s="26"/>
      <c r="SZ117" s="26"/>
      <c r="TA117" s="26"/>
      <c r="TB117" s="26"/>
      <c r="TC117" s="26"/>
      <c r="TD117" s="26"/>
      <c r="TE117" s="26"/>
      <c r="TF117" s="26"/>
      <c r="TG117" s="26"/>
      <c r="TH117" s="26"/>
      <c r="TI117" s="26"/>
    </row>
    <row r="118" spans="1:529" s="23" customFormat="1" ht="33" customHeight="1" x14ac:dyDescent="0.25">
      <c r="A118" s="43" t="s">
        <v>416</v>
      </c>
      <c r="B118" s="44" t="str">
        <f>'дод 4'!A76</f>
        <v>3242</v>
      </c>
      <c r="C118" s="44" t="str">
        <f>'дод 4'!B76</f>
        <v>1090</v>
      </c>
      <c r="D118" s="24" t="str">
        <f>'дод 4'!C76</f>
        <v>Інші заходи у сфері соціального захисту і соціального забезпечення</v>
      </c>
      <c r="E118" s="69">
        <f t="shared" si="39"/>
        <v>33945336</v>
      </c>
      <c r="F118" s="69">
        <f>29645360-11+360800-350000+439024+43903+350000+2246300+418550+70000-29600+470500+63000+16000-7170+42400+133500-12220+32000+13000</f>
        <v>33945336</v>
      </c>
      <c r="G118" s="69"/>
      <c r="H118" s="69"/>
      <c r="I118" s="69"/>
      <c r="J118" s="69">
        <f t="shared" si="42"/>
        <v>35640</v>
      </c>
      <c r="K118" s="69">
        <v>35640</v>
      </c>
      <c r="L118" s="69"/>
      <c r="M118" s="69"/>
      <c r="N118" s="69"/>
      <c r="O118" s="69">
        <v>35640</v>
      </c>
      <c r="P118" s="69">
        <f t="shared" si="40"/>
        <v>33980976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  <c r="IW118" s="26"/>
      <c r="IX118" s="26"/>
      <c r="IY118" s="26"/>
      <c r="IZ118" s="26"/>
      <c r="JA118" s="26"/>
      <c r="JB118" s="26"/>
      <c r="JC118" s="26"/>
      <c r="JD118" s="26"/>
      <c r="JE118" s="26"/>
      <c r="JF118" s="26"/>
      <c r="JG118" s="26"/>
      <c r="JH118" s="26"/>
      <c r="JI118" s="26"/>
      <c r="JJ118" s="26"/>
      <c r="JK118" s="26"/>
      <c r="JL118" s="26"/>
      <c r="JM118" s="26"/>
      <c r="JN118" s="26"/>
      <c r="JO118" s="26"/>
      <c r="JP118" s="26"/>
      <c r="JQ118" s="26"/>
      <c r="JR118" s="26"/>
      <c r="JS118" s="26"/>
      <c r="JT118" s="26"/>
      <c r="JU118" s="26"/>
      <c r="JV118" s="26"/>
      <c r="JW118" s="26"/>
      <c r="JX118" s="26"/>
      <c r="JY118" s="26"/>
      <c r="JZ118" s="26"/>
      <c r="KA118" s="26"/>
      <c r="KB118" s="26"/>
      <c r="KC118" s="26"/>
      <c r="KD118" s="26"/>
      <c r="KE118" s="26"/>
      <c r="KF118" s="26"/>
      <c r="KG118" s="26"/>
      <c r="KH118" s="26"/>
      <c r="KI118" s="26"/>
      <c r="KJ118" s="26"/>
      <c r="KK118" s="26"/>
      <c r="KL118" s="26"/>
      <c r="KM118" s="26"/>
      <c r="KN118" s="26"/>
      <c r="KO118" s="26"/>
      <c r="KP118" s="26"/>
      <c r="KQ118" s="26"/>
      <c r="KR118" s="26"/>
      <c r="KS118" s="26"/>
      <c r="KT118" s="26"/>
      <c r="KU118" s="26"/>
      <c r="KV118" s="26"/>
      <c r="KW118" s="26"/>
      <c r="KX118" s="26"/>
      <c r="KY118" s="26"/>
      <c r="KZ118" s="26"/>
      <c r="LA118" s="26"/>
      <c r="LB118" s="26"/>
      <c r="LC118" s="26"/>
      <c r="LD118" s="26"/>
      <c r="LE118" s="26"/>
      <c r="LF118" s="26"/>
      <c r="LG118" s="26"/>
      <c r="LH118" s="26"/>
      <c r="LI118" s="26"/>
      <c r="LJ118" s="26"/>
      <c r="LK118" s="26"/>
      <c r="LL118" s="26"/>
      <c r="LM118" s="26"/>
      <c r="LN118" s="26"/>
      <c r="LO118" s="26"/>
      <c r="LP118" s="26"/>
      <c r="LQ118" s="26"/>
      <c r="LR118" s="26"/>
      <c r="LS118" s="26"/>
      <c r="LT118" s="26"/>
      <c r="LU118" s="26"/>
      <c r="LV118" s="26"/>
      <c r="LW118" s="26"/>
      <c r="LX118" s="26"/>
      <c r="LY118" s="26"/>
      <c r="LZ118" s="26"/>
      <c r="MA118" s="26"/>
      <c r="MB118" s="26"/>
      <c r="MC118" s="26"/>
      <c r="MD118" s="26"/>
      <c r="ME118" s="26"/>
      <c r="MF118" s="26"/>
      <c r="MG118" s="26"/>
      <c r="MH118" s="26"/>
      <c r="MI118" s="26"/>
      <c r="MJ118" s="26"/>
      <c r="MK118" s="26"/>
      <c r="ML118" s="26"/>
      <c r="MM118" s="26"/>
      <c r="MN118" s="26"/>
      <c r="MO118" s="26"/>
      <c r="MP118" s="26"/>
      <c r="MQ118" s="26"/>
      <c r="MR118" s="26"/>
      <c r="MS118" s="26"/>
      <c r="MT118" s="26"/>
      <c r="MU118" s="26"/>
      <c r="MV118" s="26"/>
      <c r="MW118" s="26"/>
      <c r="MX118" s="26"/>
      <c r="MY118" s="26"/>
      <c r="MZ118" s="26"/>
      <c r="NA118" s="26"/>
      <c r="NB118" s="26"/>
      <c r="NC118" s="26"/>
      <c r="ND118" s="26"/>
      <c r="NE118" s="26"/>
      <c r="NF118" s="26"/>
      <c r="NG118" s="26"/>
      <c r="NH118" s="26"/>
      <c r="NI118" s="26"/>
      <c r="NJ118" s="26"/>
      <c r="NK118" s="26"/>
      <c r="NL118" s="26"/>
      <c r="NM118" s="26"/>
      <c r="NN118" s="26"/>
      <c r="NO118" s="26"/>
      <c r="NP118" s="26"/>
      <c r="NQ118" s="26"/>
      <c r="NR118" s="26"/>
      <c r="NS118" s="26"/>
      <c r="NT118" s="26"/>
      <c r="NU118" s="26"/>
      <c r="NV118" s="26"/>
      <c r="NW118" s="26"/>
      <c r="NX118" s="26"/>
      <c r="NY118" s="26"/>
      <c r="NZ118" s="26"/>
      <c r="OA118" s="26"/>
      <c r="OB118" s="26"/>
      <c r="OC118" s="26"/>
      <c r="OD118" s="26"/>
      <c r="OE118" s="26"/>
      <c r="OF118" s="26"/>
      <c r="OG118" s="26"/>
      <c r="OH118" s="26"/>
      <c r="OI118" s="26"/>
      <c r="OJ118" s="26"/>
      <c r="OK118" s="26"/>
      <c r="OL118" s="26"/>
      <c r="OM118" s="26"/>
      <c r="ON118" s="26"/>
      <c r="OO118" s="26"/>
      <c r="OP118" s="26"/>
      <c r="OQ118" s="26"/>
      <c r="OR118" s="26"/>
      <c r="OS118" s="26"/>
      <c r="OT118" s="26"/>
      <c r="OU118" s="26"/>
      <c r="OV118" s="26"/>
      <c r="OW118" s="26"/>
      <c r="OX118" s="26"/>
      <c r="OY118" s="26"/>
      <c r="OZ118" s="26"/>
      <c r="PA118" s="26"/>
      <c r="PB118" s="26"/>
      <c r="PC118" s="26"/>
      <c r="PD118" s="26"/>
      <c r="PE118" s="26"/>
      <c r="PF118" s="26"/>
      <c r="PG118" s="26"/>
      <c r="PH118" s="26"/>
      <c r="PI118" s="26"/>
      <c r="PJ118" s="26"/>
      <c r="PK118" s="26"/>
      <c r="PL118" s="26"/>
      <c r="PM118" s="26"/>
      <c r="PN118" s="26"/>
      <c r="PO118" s="26"/>
      <c r="PP118" s="26"/>
      <c r="PQ118" s="26"/>
      <c r="PR118" s="26"/>
      <c r="PS118" s="26"/>
      <c r="PT118" s="26"/>
      <c r="PU118" s="26"/>
      <c r="PV118" s="26"/>
      <c r="PW118" s="26"/>
      <c r="PX118" s="26"/>
      <c r="PY118" s="26"/>
      <c r="PZ118" s="26"/>
      <c r="QA118" s="26"/>
      <c r="QB118" s="26"/>
      <c r="QC118" s="26"/>
      <c r="QD118" s="26"/>
      <c r="QE118" s="26"/>
      <c r="QF118" s="26"/>
      <c r="QG118" s="26"/>
      <c r="QH118" s="26"/>
      <c r="QI118" s="26"/>
      <c r="QJ118" s="26"/>
      <c r="QK118" s="26"/>
      <c r="QL118" s="26"/>
      <c r="QM118" s="26"/>
      <c r="QN118" s="26"/>
      <c r="QO118" s="26"/>
      <c r="QP118" s="26"/>
      <c r="QQ118" s="26"/>
      <c r="QR118" s="26"/>
      <c r="QS118" s="26"/>
      <c r="QT118" s="26"/>
      <c r="QU118" s="26"/>
      <c r="QV118" s="26"/>
      <c r="QW118" s="26"/>
      <c r="QX118" s="26"/>
      <c r="QY118" s="26"/>
      <c r="QZ118" s="26"/>
      <c r="RA118" s="26"/>
      <c r="RB118" s="26"/>
      <c r="RC118" s="26"/>
      <c r="RD118" s="26"/>
      <c r="RE118" s="26"/>
      <c r="RF118" s="26"/>
      <c r="RG118" s="26"/>
      <c r="RH118" s="26"/>
      <c r="RI118" s="26"/>
      <c r="RJ118" s="26"/>
      <c r="RK118" s="26"/>
      <c r="RL118" s="26"/>
      <c r="RM118" s="26"/>
      <c r="RN118" s="26"/>
      <c r="RO118" s="26"/>
      <c r="RP118" s="26"/>
      <c r="RQ118" s="26"/>
      <c r="RR118" s="26"/>
      <c r="RS118" s="26"/>
      <c r="RT118" s="26"/>
      <c r="RU118" s="26"/>
      <c r="RV118" s="26"/>
      <c r="RW118" s="26"/>
      <c r="RX118" s="26"/>
      <c r="RY118" s="26"/>
      <c r="RZ118" s="26"/>
      <c r="SA118" s="26"/>
      <c r="SB118" s="26"/>
      <c r="SC118" s="26"/>
      <c r="SD118" s="26"/>
      <c r="SE118" s="26"/>
      <c r="SF118" s="26"/>
      <c r="SG118" s="26"/>
      <c r="SH118" s="26"/>
      <c r="SI118" s="26"/>
      <c r="SJ118" s="26"/>
      <c r="SK118" s="26"/>
      <c r="SL118" s="26"/>
      <c r="SM118" s="26"/>
      <c r="SN118" s="26"/>
      <c r="SO118" s="26"/>
      <c r="SP118" s="26"/>
      <c r="SQ118" s="26"/>
      <c r="SR118" s="26"/>
      <c r="SS118" s="26"/>
      <c r="ST118" s="26"/>
      <c r="SU118" s="26"/>
      <c r="SV118" s="26"/>
      <c r="SW118" s="26"/>
      <c r="SX118" s="26"/>
      <c r="SY118" s="26"/>
      <c r="SZ118" s="26"/>
      <c r="TA118" s="26"/>
      <c r="TB118" s="26"/>
      <c r="TC118" s="26"/>
      <c r="TD118" s="26"/>
      <c r="TE118" s="26"/>
      <c r="TF118" s="26"/>
      <c r="TG118" s="26"/>
      <c r="TH118" s="26"/>
      <c r="TI118" s="26"/>
    </row>
    <row r="119" spans="1:529" s="23" customFormat="1" ht="31.5" customHeight="1" x14ac:dyDescent="0.25">
      <c r="A119" s="43" t="s">
        <v>307</v>
      </c>
      <c r="B119" s="44" t="str">
        <f>'дод 4'!A151</f>
        <v>9770</v>
      </c>
      <c r="C119" s="44" t="str">
        <f>'дод 4'!B151</f>
        <v>0180</v>
      </c>
      <c r="D119" s="24" t="str">
        <f>'дод 4'!C151</f>
        <v>Інші субвенції з місцевого бюджету</v>
      </c>
      <c r="E119" s="69">
        <f t="shared" si="39"/>
        <v>1070000</v>
      </c>
      <c r="F119" s="69">
        <v>1070000</v>
      </c>
      <c r="G119" s="69"/>
      <c r="H119" s="69"/>
      <c r="I119" s="69"/>
      <c r="J119" s="69">
        <f t="shared" si="42"/>
        <v>0</v>
      </c>
      <c r="K119" s="69"/>
      <c r="L119" s="69"/>
      <c r="M119" s="69"/>
      <c r="N119" s="69"/>
      <c r="O119" s="69"/>
      <c r="P119" s="69">
        <f t="shared" si="40"/>
        <v>1070000</v>
      </c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  <c r="IW119" s="26"/>
      <c r="IX119" s="26"/>
      <c r="IY119" s="26"/>
      <c r="IZ119" s="26"/>
      <c r="JA119" s="26"/>
      <c r="JB119" s="26"/>
      <c r="JC119" s="26"/>
      <c r="JD119" s="26"/>
      <c r="JE119" s="26"/>
      <c r="JF119" s="26"/>
      <c r="JG119" s="26"/>
      <c r="JH119" s="26"/>
      <c r="JI119" s="26"/>
      <c r="JJ119" s="26"/>
      <c r="JK119" s="26"/>
      <c r="JL119" s="26"/>
      <c r="JM119" s="26"/>
      <c r="JN119" s="26"/>
      <c r="JO119" s="26"/>
      <c r="JP119" s="26"/>
      <c r="JQ119" s="26"/>
      <c r="JR119" s="26"/>
      <c r="JS119" s="26"/>
      <c r="JT119" s="26"/>
      <c r="JU119" s="26"/>
      <c r="JV119" s="26"/>
      <c r="JW119" s="26"/>
      <c r="JX119" s="26"/>
      <c r="JY119" s="26"/>
      <c r="JZ119" s="26"/>
      <c r="KA119" s="26"/>
      <c r="KB119" s="26"/>
      <c r="KC119" s="26"/>
      <c r="KD119" s="26"/>
      <c r="KE119" s="26"/>
      <c r="KF119" s="26"/>
      <c r="KG119" s="26"/>
      <c r="KH119" s="26"/>
      <c r="KI119" s="26"/>
      <c r="KJ119" s="26"/>
      <c r="KK119" s="26"/>
      <c r="KL119" s="26"/>
      <c r="KM119" s="26"/>
      <c r="KN119" s="26"/>
      <c r="KO119" s="26"/>
      <c r="KP119" s="26"/>
      <c r="KQ119" s="26"/>
      <c r="KR119" s="26"/>
      <c r="KS119" s="26"/>
      <c r="KT119" s="26"/>
      <c r="KU119" s="26"/>
      <c r="KV119" s="26"/>
      <c r="KW119" s="26"/>
      <c r="KX119" s="26"/>
      <c r="KY119" s="26"/>
      <c r="KZ119" s="26"/>
      <c r="LA119" s="26"/>
      <c r="LB119" s="26"/>
      <c r="LC119" s="26"/>
      <c r="LD119" s="26"/>
      <c r="LE119" s="26"/>
      <c r="LF119" s="26"/>
      <c r="LG119" s="26"/>
      <c r="LH119" s="26"/>
      <c r="LI119" s="26"/>
      <c r="LJ119" s="26"/>
      <c r="LK119" s="26"/>
      <c r="LL119" s="26"/>
      <c r="LM119" s="26"/>
      <c r="LN119" s="26"/>
      <c r="LO119" s="26"/>
      <c r="LP119" s="26"/>
      <c r="LQ119" s="26"/>
      <c r="LR119" s="26"/>
      <c r="LS119" s="26"/>
      <c r="LT119" s="26"/>
      <c r="LU119" s="26"/>
      <c r="LV119" s="26"/>
      <c r="LW119" s="26"/>
      <c r="LX119" s="26"/>
      <c r="LY119" s="26"/>
      <c r="LZ119" s="26"/>
      <c r="MA119" s="26"/>
      <c r="MB119" s="26"/>
      <c r="MC119" s="26"/>
      <c r="MD119" s="26"/>
      <c r="ME119" s="26"/>
      <c r="MF119" s="26"/>
      <c r="MG119" s="26"/>
      <c r="MH119" s="26"/>
      <c r="MI119" s="26"/>
      <c r="MJ119" s="26"/>
      <c r="MK119" s="26"/>
      <c r="ML119" s="26"/>
      <c r="MM119" s="26"/>
      <c r="MN119" s="26"/>
      <c r="MO119" s="26"/>
      <c r="MP119" s="26"/>
      <c r="MQ119" s="26"/>
      <c r="MR119" s="26"/>
      <c r="MS119" s="26"/>
      <c r="MT119" s="26"/>
      <c r="MU119" s="26"/>
      <c r="MV119" s="26"/>
      <c r="MW119" s="26"/>
      <c r="MX119" s="26"/>
      <c r="MY119" s="26"/>
      <c r="MZ119" s="26"/>
      <c r="NA119" s="26"/>
      <c r="NB119" s="26"/>
      <c r="NC119" s="26"/>
      <c r="ND119" s="26"/>
      <c r="NE119" s="26"/>
      <c r="NF119" s="26"/>
      <c r="NG119" s="26"/>
      <c r="NH119" s="26"/>
      <c r="NI119" s="26"/>
      <c r="NJ119" s="26"/>
      <c r="NK119" s="26"/>
      <c r="NL119" s="26"/>
      <c r="NM119" s="26"/>
      <c r="NN119" s="26"/>
      <c r="NO119" s="26"/>
      <c r="NP119" s="26"/>
      <c r="NQ119" s="26"/>
      <c r="NR119" s="26"/>
      <c r="NS119" s="26"/>
      <c r="NT119" s="26"/>
      <c r="NU119" s="26"/>
      <c r="NV119" s="26"/>
      <c r="NW119" s="26"/>
      <c r="NX119" s="26"/>
      <c r="NY119" s="26"/>
      <c r="NZ119" s="26"/>
      <c r="OA119" s="26"/>
      <c r="OB119" s="26"/>
      <c r="OC119" s="26"/>
      <c r="OD119" s="26"/>
      <c r="OE119" s="26"/>
      <c r="OF119" s="26"/>
      <c r="OG119" s="26"/>
      <c r="OH119" s="26"/>
      <c r="OI119" s="26"/>
      <c r="OJ119" s="26"/>
      <c r="OK119" s="26"/>
      <c r="OL119" s="26"/>
      <c r="OM119" s="26"/>
      <c r="ON119" s="26"/>
      <c r="OO119" s="26"/>
      <c r="OP119" s="26"/>
      <c r="OQ119" s="26"/>
      <c r="OR119" s="26"/>
      <c r="OS119" s="26"/>
      <c r="OT119" s="26"/>
      <c r="OU119" s="26"/>
      <c r="OV119" s="26"/>
      <c r="OW119" s="26"/>
      <c r="OX119" s="26"/>
      <c r="OY119" s="26"/>
      <c r="OZ119" s="26"/>
      <c r="PA119" s="26"/>
      <c r="PB119" s="26"/>
      <c r="PC119" s="26"/>
      <c r="PD119" s="26"/>
      <c r="PE119" s="26"/>
      <c r="PF119" s="26"/>
      <c r="PG119" s="26"/>
      <c r="PH119" s="26"/>
      <c r="PI119" s="26"/>
      <c r="PJ119" s="26"/>
      <c r="PK119" s="26"/>
      <c r="PL119" s="26"/>
      <c r="PM119" s="26"/>
      <c r="PN119" s="26"/>
      <c r="PO119" s="26"/>
      <c r="PP119" s="26"/>
      <c r="PQ119" s="26"/>
      <c r="PR119" s="26"/>
      <c r="PS119" s="26"/>
      <c r="PT119" s="26"/>
      <c r="PU119" s="26"/>
      <c r="PV119" s="26"/>
      <c r="PW119" s="26"/>
      <c r="PX119" s="26"/>
      <c r="PY119" s="26"/>
      <c r="PZ119" s="26"/>
      <c r="QA119" s="26"/>
      <c r="QB119" s="26"/>
      <c r="QC119" s="26"/>
      <c r="QD119" s="26"/>
      <c r="QE119" s="26"/>
      <c r="QF119" s="26"/>
      <c r="QG119" s="26"/>
      <c r="QH119" s="26"/>
      <c r="QI119" s="26"/>
      <c r="QJ119" s="26"/>
      <c r="QK119" s="26"/>
      <c r="QL119" s="26"/>
      <c r="QM119" s="26"/>
      <c r="QN119" s="26"/>
      <c r="QO119" s="26"/>
      <c r="QP119" s="26"/>
      <c r="QQ119" s="26"/>
      <c r="QR119" s="26"/>
      <c r="QS119" s="26"/>
      <c r="QT119" s="26"/>
      <c r="QU119" s="26"/>
      <c r="QV119" s="26"/>
      <c r="QW119" s="26"/>
      <c r="QX119" s="26"/>
      <c r="QY119" s="26"/>
      <c r="QZ119" s="26"/>
      <c r="RA119" s="26"/>
      <c r="RB119" s="26"/>
      <c r="RC119" s="26"/>
      <c r="RD119" s="26"/>
      <c r="RE119" s="26"/>
      <c r="RF119" s="26"/>
      <c r="RG119" s="26"/>
      <c r="RH119" s="26"/>
      <c r="RI119" s="26"/>
      <c r="RJ119" s="26"/>
      <c r="RK119" s="26"/>
      <c r="RL119" s="26"/>
      <c r="RM119" s="26"/>
      <c r="RN119" s="26"/>
      <c r="RO119" s="26"/>
      <c r="RP119" s="26"/>
      <c r="RQ119" s="26"/>
      <c r="RR119" s="26"/>
      <c r="RS119" s="26"/>
      <c r="RT119" s="26"/>
      <c r="RU119" s="26"/>
      <c r="RV119" s="26"/>
      <c r="RW119" s="26"/>
      <c r="RX119" s="26"/>
      <c r="RY119" s="26"/>
      <c r="RZ119" s="26"/>
      <c r="SA119" s="26"/>
      <c r="SB119" s="26"/>
      <c r="SC119" s="26"/>
      <c r="SD119" s="26"/>
      <c r="SE119" s="26"/>
      <c r="SF119" s="26"/>
      <c r="SG119" s="26"/>
      <c r="SH119" s="26"/>
      <c r="SI119" s="26"/>
      <c r="SJ119" s="26"/>
      <c r="SK119" s="26"/>
      <c r="SL119" s="26"/>
      <c r="SM119" s="26"/>
      <c r="SN119" s="26"/>
      <c r="SO119" s="26"/>
      <c r="SP119" s="26"/>
      <c r="SQ119" s="26"/>
      <c r="SR119" s="26"/>
      <c r="SS119" s="26"/>
      <c r="ST119" s="26"/>
      <c r="SU119" s="26"/>
      <c r="SV119" s="26"/>
      <c r="SW119" s="26"/>
      <c r="SX119" s="26"/>
      <c r="SY119" s="26"/>
      <c r="SZ119" s="26"/>
      <c r="TA119" s="26"/>
      <c r="TB119" s="26"/>
      <c r="TC119" s="26"/>
      <c r="TD119" s="26"/>
      <c r="TE119" s="26"/>
      <c r="TF119" s="26"/>
      <c r="TG119" s="26"/>
      <c r="TH119" s="26"/>
      <c r="TI119" s="26"/>
    </row>
    <row r="120" spans="1:529" s="31" customFormat="1" ht="28.5" customHeight="1" x14ac:dyDescent="0.2">
      <c r="A120" s="88" t="s">
        <v>225</v>
      </c>
      <c r="B120" s="72"/>
      <c r="C120" s="72"/>
      <c r="D120" s="30" t="s">
        <v>427</v>
      </c>
      <c r="E120" s="66">
        <f>E121</f>
        <v>5077200</v>
      </c>
      <c r="F120" s="66">
        <f t="shared" ref="F120:J120" si="43">F121</f>
        <v>5077200</v>
      </c>
      <c r="G120" s="66">
        <f t="shared" si="43"/>
        <v>3933800</v>
      </c>
      <c r="H120" s="66">
        <f t="shared" si="43"/>
        <v>57500</v>
      </c>
      <c r="I120" s="66">
        <f t="shared" si="43"/>
        <v>0</v>
      </c>
      <c r="J120" s="66">
        <f t="shared" si="43"/>
        <v>20000</v>
      </c>
      <c r="K120" s="66">
        <f t="shared" ref="K120" si="44">K121</f>
        <v>20000</v>
      </c>
      <c r="L120" s="66">
        <f t="shared" ref="L120" si="45">L121</f>
        <v>0</v>
      </c>
      <c r="M120" s="66">
        <f t="shared" ref="M120" si="46">M121</f>
        <v>0</v>
      </c>
      <c r="N120" s="66">
        <f t="shared" ref="N120" si="47">N121</f>
        <v>0</v>
      </c>
      <c r="O120" s="66">
        <f t="shared" ref="O120:P120" si="48">O121</f>
        <v>20000</v>
      </c>
      <c r="P120" s="66">
        <f t="shared" si="48"/>
        <v>5097200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  <c r="IW120" s="38"/>
      <c r="IX120" s="38"/>
      <c r="IY120" s="38"/>
      <c r="IZ120" s="38"/>
      <c r="JA120" s="38"/>
      <c r="JB120" s="38"/>
      <c r="JC120" s="38"/>
      <c r="JD120" s="38"/>
      <c r="JE120" s="38"/>
      <c r="JF120" s="38"/>
      <c r="JG120" s="38"/>
      <c r="JH120" s="38"/>
      <c r="JI120" s="38"/>
      <c r="JJ120" s="38"/>
      <c r="JK120" s="38"/>
      <c r="JL120" s="38"/>
      <c r="JM120" s="38"/>
      <c r="JN120" s="38"/>
      <c r="JO120" s="38"/>
      <c r="JP120" s="38"/>
      <c r="JQ120" s="38"/>
      <c r="JR120" s="38"/>
      <c r="JS120" s="38"/>
      <c r="JT120" s="38"/>
      <c r="JU120" s="38"/>
      <c r="JV120" s="38"/>
      <c r="JW120" s="38"/>
      <c r="JX120" s="38"/>
      <c r="JY120" s="38"/>
      <c r="JZ120" s="38"/>
      <c r="KA120" s="38"/>
      <c r="KB120" s="38"/>
      <c r="KC120" s="38"/>
      <c r="KD120" s="38"/>
      <c r="KE120" s="38"/>
      <c r="KF120" s="38"/>
      <c r="KG120" s="38"/>
      <c r="KH120" s="38"/>
      <c r="KI120" s="38"/>
      <c r="KJ120" s="38"/>
      <c r="KK120" s="38"/>
      <c r="KL120" s="38"/>
      <c r="KM120" s="38"/>
      <c r="KN120" s="38"/>
      <c r="KO120" s="38"/>
      <c r="KP120" s="38"/>
      <c r="KQ120" s="38"/>
      <c r="KR120" s="38"/>
      <c r="KS120" s="38"/>
      <c r="KT120" s="38"/>
      <c r="KU120" s="38"/>
      <c r="KV120" s="38"/>
      <c r="KW120" s="38"/>
      <c r="KX120" s="38"/>
      <c r="KY120" s="38"/>
      <c r="KZ120" s="38"/>
      <c r="LA120" s="38"/>
      <c r="LB120" s="38"/>
      <c r="LC120" s="38"/>
      <c r="LD120" s="38"/>
      <c r="LE120" s="38"/>
      <c r="LF120" s="38"/>
      <c r="LG120" s="38"/>
      <c r="LH120" s="38"/>
      <c r="LI120" s="38"/>
      <c r="LJ120" s="38"/>
      <c r="LK120" s="38"/>
      <c r="LL120" s="38"/>
      <c r="LM120" s="38"/>
      <c r="LN120" s="38"/>
      <c r="LO120" s="38"/>
      <c r="LP120" s="38"/>
      <c r="LQ120" s="38"/>
      <c r="LR120" s="38"/>
      <c r="LS120" s="38"/>
      <c r="LT120" s="38"/>
      <c r="LU120" s="38"/>
      <c r="LV120" s="38"/>
      <c r="LW120" s="38"/>
      <c r="LX120" s="38"/>
      <c r="LY120" s="38"/>
      <c r="LZ120" s="38"/>
      <c r="MA120" s="38"/>
      <c r="MB120" s="38"/>
      <c r="MC120" s="38"/>
      <c r="MD120" s="38"/>
      <c r="ME120" s="38"/>
      <c r="MF120" s="38"/>
      <c r="MG120" s="38"/>
      <c r="MH120" s="38"/>
      <c r="MI120" s="38"/>
      <c r="MJ120" s="38"/>
      <c r="MK120" s="38"/>
      <c r="ML120" s="38"/>
      <c r="MM120" s="38"/>
      <c r="MN120" s="38"/>
      <c r="MO120" s="38"/>
      <c r="MP120" s="38"/>
      <c r="MQ120" s="38"/>
      <c r="MR120" s="38"/>
      <c r="MS120" s="38"/>
      <c r="MT120" s="38"/>
      <c r="MU120" s="38"/>
      <c r="MV120" s="38"/>
      <c r="MW120" s="38"/>
      <c r="MX120" s="38"/>
      <c r="MY120" s="38"/>
      <c r="MZ120" s="38"/>
      <c r="NA120" s="38"/>
      <c r="NB120" s="38"/>
      <c r="NC120" s="38"/>
      <c r="ND120" s="38"/>
      <c r="NE120" s="38"/>
      <c r="NF120" s="38"/>
      <c r="NG120" s="38"/>
      <c r="NH120" s="38"/>
      <c r="NI120" s="38"/>
      <c r="NJ120" s="38"/>
      <c r="NK120" s="38"/>
      <c r="NL120" s="38"/>
      <c r="NM120" s="38"/>
      <c r="NN120" s="38"/>
      <c r="NO120" s="38"/>
      <c r="NP120" s="38"/>
      <c r="NQ120" s="38"/>
      <c r="NR120" s="38"/>
      <c r="NS120" s="38"/>
      <c r="NT120" s="38"/>
      <c r="NU120" s="38"/>
      <c r="NV120" s="38"/>
      <c r="NW120" s="38"/>
      <c r="NX120" s="38"/>
      <c r="NY120" s="38"/>
      <c r="NZ120" s="38"/>
      <c r="OA120" s="38"/>
      <c r="OB120" s="38"/>
      <c r="OC120" s="38"/>
      <c r="OD120" s="38"/>
      <c r="OE120" s="38"/>
      <c r="OF120" s="38"/>
      <c r="OG120" s="38"/>
      <c r="OH120" s="38"/>
      <c r="OI120" s="38"/>
      <c r="OJ120" s="38"/>
      <c r="OK120" s="38"/>
      <c r="OL120" s="38"/>
      <c r="OM120" s="38"/>
      <c r="ON120" s="38"/>
      <c r="OO120" s="38"/>
      <c r="OP120" s="38"/>
      <c r="OQ120" s="38"/>
      <c r="OR120" s="38"/>
      <c r="OS120" s="38"/>
      <c r="OT120" s="38"/>
      <c r="OU120" s="38"/>
      <c r="OV120" s="38"/>
      <c r="OW120" s="38"/>
      <c r="OX120" s="38"/>
      <c r="OY120" s="38"/>
      <c r="OZ120" s="38"/>
      <c r="PA120" s="38"/>
      <c r="PB120" s="38"/>
      <c r="PC120" s="38"/>
      <c r="PD120" s="38"/>
      <c r="PE120" s="38"/>
      <c r="PF120" s="38"/>
      <c r="PG120" s="38"/>
      <c r="PH120" s="38"/>
      <c r="PI120" s="38"/>
      <c r="PJ120" s="38"/>
      <c r="PK120" s="38"/>
      <c r="PL120" s="38"/>
      <c r="PM120" s="38"/>
      <c r="PN120" s="38"/>
      <c r="PO120" s="38"/>
      <c r="PP120" s="38"/>
      <c r="PQ120" s="38"/>
      <c r="PR120" s="38"/>
      <c r="PS120" s="38"/>
      <c r="PT120" s="38"/>
      <c r="PU120" s="38"/>
      <c r="PV120" s="38"/>
      <c r="PW120" s="38"/>
      <c r="PX120" s="38"/>
      <c r="PY120" s="38"/>
      <c r="PZ120" s="38"/>
      <c r="QA120" s="38"/>
      <c r="QB120" s="38"/>
      <c r="QC120" s="38"/>
      <c r="QD120" s="38"/>
      <c r="QE120" s="38"/>
      <c r="QF120" s="38"/>
      <c r="QG120" s="38"/>
      <c r="QH120" s="38"/>
      <c r="QI120" s="38"/>
      <c r="QJ120" s="38"/>
      <c r="QK120" s="38"/>
      <c r="QL120" s="38"/>
      <c r="QM120" s="38"/>
      <c r="QN120" s="38"/>
      <c r="QO120" s="38"/>
      <c r="QP120" s="38"/>
      <c r="QQ120" s="38"/>
      <c r="QR120" s="38"/>
      <c r="QS120" s="38"/>
      <c r="QT120" s="38"/>
      <c r="QU120" s="38"/>
      <c r="QV120" s="38"/>
      <c r="QW120" s="38"/>
      <c r="QX120" s="38"/>
      <c r="QY120" s="38"/>
      <c r="QZ120" s="38"/>
      <c r="RA120" s="38"/>
      <c r="RB120" s="38"/>
      <c r="RC120" s="38"/>
      <c r="RD120" s="38"/>
      <c r="RE120" s="38"/>
      <c r="RF120" s="38"/>
      <c r="RG120" s="38"/>
      <c r="RH120" s="38"/>
      <c r="RI120" s="38"/>
      <c r="RJ120" s="38"/>
      <c r="RK120" s="38"/>
      <c r="RL120" s="38"/>
      <c r="RM120" s="38"/>
      <c r="RN120" s="38"/>
      <c r="RO120" s="38"/>
      <c r="RP120" s="38"/>
      <c r="RQ120" s="38"/>
      <c r="RR120" s="38"/>
      <c r="RS120" s="38"/>
      <c r="RT120" s="38"/>
      <c r="RU120" s="38"/>
      <c r="RV120" s="38"/>
      <c r="RW120" s="38"/>
      <c r="RX120" s="38"/>
      <c r="RY120" s="38"/>
      <c r="RZ120" s="38"/>
      <c r="SA120" s="38"/>
      <c r="SB120" s="38"/>
      <c r="SC120" s="38"/>
      <c r="SD120" s="38"/>
      <c r="SE120" s="38"/>
      <c r="SF120" s="38"/>
      <c r="SG120" s="38"/>
      <c r="SH120" s="38"/>
      <c r="SI120" s="38"/>
      <c r="SJ120" s="38"/>
      <c r="SK120" s="38"/>
      <c r="SL120" s="38"/>
      <c r="SM120" s="38"/>
      <c r="SN120" s="38"/>
      <c r="SO120" s="38"/>
      <c r="SP120" s="38"/>
      <c r="SQ120" s="38"/>
      <c r="SR120" s="38"/>
      <c r="SS120" s="38"/>
      <c r="ST120" s="38"/>
      <c r="SU120" s="38"/>
      <c r="SV120" s="38"/>
      <c r="SW120" s="38"/>
      <c r="SX120" s="38"/>
      <c r="SY120" s="38"/>
      <c r="SZ120" s="38"/>
      <c r="TA120" s="38"/>
      <c r="TB120" s="38"/>
      <c r="TC120" s="38"/>
      <c r="TD120" s="38"/>
      <c r="TE120" s="38"/>
      <c r="TF120" s="38"/>
      <c r="TG120" s="38"/>
      <c r="TH120" s="38"/>
      <c r="TI120" s="38"/>
    </row>
    <row r="121" spans="1:529" s="40" customFormat="1" ht="29.25" customHeight="1" x14ac:dyDescent="0.25">
      <c r="A121" s="89" t="s">
        <v>226</v>
      </c>
      <c r="B121" s="73"/>
      <c r="C121" s="73"/>
      <c r="D121" s="33" t="s">
        <v>427</v>
      </c>
      <c r="E121" s="68">
        <f>E122+E123+E124</f>
        <v>5077200</v>
      </c>
      <c r="F121" s="68">
        <f t="shared" ref="F121:P121" si="49">F122+F123+F124</f>
        <v>5077200</v>
      </c>
      <c r="G121" s="68">
        <f t="shared" si="49"/>
        <v>3933800</v>
      </c>
      <c r="H121" s="68">
        <f t="shared" si="49"/>
        <v>57500</v>
      </c>
      <c r="I121" s="68">
        <f t="shared" si="49"/>
        <v>0</v>
      </c>
      <c r="J121" s="68">
        <f t="shared" si="49"/>
        <v>20000</v>
      </c>
      <c r="K121" s="68">
        <f t="shared" si="49"/>
        <v>20000</v>
      </c>
      <c r="L121" s="68">
        <f t="shared" si="49"/>
        <v>0</v>
      </c>
      <c r="M121" s="68">
        <f t="shared" si="49"/>
        <v>0</v>
      </c>
      <c r="N121" s="68">
        <f t="shared" si="49"/>
        <v>0</v>
      </c>
      <c r="O121" s="68">
        <f t="shared" si="49"/>
        <v>20000</v>
      </c>
      <c r="P121" s="68">
        <f t="shared" si="49"/>
        <v>5097200</v>
      </c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  <c r="IV121" s="39"/>
      <c r="IW121" s="39"/>
      <c r="IX121" s="39"/>
      <c r="IY121" s="39"/>
      <c r="IZ121" s="39"/>
      <c r="JA121" s="39"/>
      <c r="JB121" s="39"/>
      <c r="JC121" s="39"/>
      <c r="JD121" s="39"/>
      <c r="JE121" s="39"/>
      <c r="JF121" s="39"/>
      <c r="JG121" s="39"/>
      <c r="JH121" s="39"/>
      <c r="JI121" s="39"/>
      <c r="JJ121" s="39"/>
      <c r="JK121" s="39"/>
      <c r="JL121" s="39"/>
      <c r="JM121" s="39"/>
      <c r="JN121" s="39"/>
      <c r="JO121" s="39"/>
      <c r="JP121" s="39"/>
      <c r="JQ121" s="39"/>
      <c r="JR121" s="39"/>
      <c r="JS121" s="39"/>
      <c r="JT121" s="39"/>
      <c r="JU121" s="39"/>
      <c r="JV121" s="39"/>
      <c r="JW121" s="39"/>
      <c r="JX121" s="39"/>
      <c r="JY121" s="39"/>
      <c r="JZ121" s="39"/>
      <c r="KA121" s="39"/>
      <c r="KB121" s="39"/>
      <c r="KC121" s="39"/>
      <c r="KD121" s="39"/>
      <c r="KE121" s="39"/>
      <c r="KF121" s="39"/>
      <c r="KG121" s="39"/>
      <c r="KH121" s="39"/>
      <c r="KI121" s="39"/>
      <c r="KJ121" s="39"/>
      <c r="KK121" s="39"/>
      <c r="KL121" s="39"/>
      <c r="KM121" s="39"/>
      <c r="KN121" s="39"/>
      <c r="KO121" s="39"/>
      <c r="KP121" s="39"/>
      <c r="KQ121" s="39"/>
      <c r="KR121" s="39"/>
      <c r="KS121" s="39"/>
      <c r="KT121" s="39"/>
      <c r="KU121" s="39"/>
      <c r="KV121" s="39"/>
      <c r="KW121" s="39"/>
      <c r="KX121" s="39"/>
      <c r="KY121" s="39"/>
      <c r="KZ121" s="39"/>
      <c r="LA121" s="39"/>
      <c r="LB121" s="39"/>
      <c r="LC121" s="39"/>
      <c r="LD121" s="39"/>
      <c r="LE121" s="39"/>
      <c r="LF121" s="39"/>
      <c r="LG121" s="39"/>
      <c r="LH121" s="39"/>
      <c r="LI121" s="39"/>
      <c r="LJ121" s="39"/>
      <c r="LK121" s="39"/>
      <c r="LL121" s="39"/>
      <c r="LM121" s="39"/>
      <c r="LN121" s="39"/>
      <c r="LO121" s="39"/>
      <c r="LP121" s="39"/>
      <c r="LQ121" s="39"/>
      <c r="LR121" s="39"/>
      <c r="LS121" s="39"/>
      <c r="LT121" s="39"/>
      <c r="LU121" s="39"/>
      <c r="LV121" s="39"/>
      <c r="LW121" s="39"/>
      <c r="LX121" s="39"/>
      <c r="LY121" s="39"/>
      <c r="LZ121" s="39"/>
      <c r="MA121" s="39"/>
      <c r="MB121" s="39"/>
      <c r="MC121" s="39"/>
      <c r="MD121" s="39"/>
      <c r="ME121" s="39"/>
      <c r="MF121" s="39"/>
      <c r="MG121" s="39"/>
      <c r="MH121" s="39"/>
      <c r="MI121" s="39"/>
      <c r="MJ121" s="39"/>
      <c r="MK121" s="39"/>
      <c r="ML121" s="39"/>
      <c r="MM121" s="39"/>
      <c r="MN121" s="39"/>
      <c r="MO121" s="39"/>
      <c r="MP121" s="39"/>
      <c r="MQ121" s="39"/>
      <c r="MR121" s="39"/>
      <c r="MS121" s="39"/>
      <c r="MT121" s="39"/>
      <c r="MU121" s="39"/>
      <c r="MV121" s="39"/>
      <c r="MW121" s="39"/>
      <c r="MX121" s="39"/>
      <c r="MY121" s="39"/>
      <c r="MZ121" s="39"/>
      <c r="NA121" s="39"/>
      <c r="NB121" s="39"/>
      <c r="NC121" s="39"/>
      <c r="ND121" s="39"/>
      <c r="NE121" s="39"/>
      <c r="NF121" s="39"/>
      <c r="NG121" s="39"/>
      <c r="NH121" s="39"/>
      <c r="NI121" s="39"/>
      <c r="NJ121" s="39"/>
      <c r="NK121" s="39"/>
      <c r="NL121" s="39"/>
      <c r="NM121" s="39"/>
      <c r="NN121" s="39"/>
      <c r="NO121" s="39"/>
      <c r="NP121" s="39"/>
      <c r="NQ121" s="39"/>
      <c r="NR121" s="39"/>
      <c r="NS121" s="39"/>
      <c r="NT121" s="39"/>
      <c r="NU121" s="39"/>
      <c r="NV121" s="39"/>
      <c r="NW121" s="39"/>
      <c r="NX121" s="39"/>
      <c r="NY121" s="39"/>
      <c r="NZ121" s="39"/>
      <c r="OA121" s="39"/>
      <c r="OB121" s="39"/>
      <c r="OC121" s="39"/>
      <c r="OD121" s="39"/>
      <c r="OE121" s="39"/>
      <c r="OF121" s="39"/>
      <c r="OG121" s="39"/>
      <c r="OH121" s="39"/>
      <c r="OI121" s="39"/>
      <c r="OJ121" s="39"/>
      <c r="OK121" s="39"/>
      <c r="OL121" s="39"/>
      <c r="OM121" s="39"/>
      <c r="ON121" s="39"/>
      <c r="OO121" s="39"/>
      <c r="OP121" s="39"/>
      <c r="OQ121" s="39"/>
      <c r="OR121" s="39"/>
      <c r="OS121" s="39"/>
      <c r="OT121" s="39"/>
      <c r="OU121" s="39"/>
      <c r="OV121" s="39"/>
      <c r="OW121" s="39"/>
      <c r="OX121" s="39"/>
      <c r="OY121" s="39"/>
      <c r="OZ121" s="39"/>
      <c r="PA121" s="39"/>
      <c r="PB121" s="39"/>
      <c r="PC121" s="39"/>
      <c r="PD121" s="39"/>
      <c r="PE121" s="39"/>
      <c r="PF121" s="39"/>
      <c r="PG121" s="39"/>
      <c r="PH121" s="39"/>
      <c r="PI121" s="39"/>
      <c r="PJ121" s="39"/>
      <c r="PK121" s="39"/>
      <c r="PL121" s="39"/>
      <c r="PM121" s="39"/>
      <c r="PN121" s="39"/>
      <c r="PO121" s="39"/>
      <c r="PP121" s="39"/>
      <c r="PQ121" s="39"/>
      <c r="PR121" s="39"/>
      <c r="PS121" s="39"/>
      <c r="PT121" s="39"/>
      <c r="PU121" s="39"/>
      <c r="PV121" s="39"/>
      <c r="PW121" s="39"/>
      <c r="PX121" s="39"/>
      <c r="PY121" s="39"/>
      <c r="PZ121" s="39"/>
      <c r="QA121" s="39"/>
      <c r="QB121" s="39"/>
      <c r="QC121" s="39"/>
      <c r="QD121" s="39"/>
      <c r="QE121" s="39"/>
      <c r="QF121" s="39"/>
      <c r="QG121" s="39"/>
      <c r="QH121" s="39"/>
      <c r="QI121" s="39"/>
      <c r="QJ121" s="39"/>
      <c r="QK121" s="39"/>
      <c r="QL121" s="39"/>
      <c r="QM121" s="39"/>
      <c r="QN121" s="39"/>
      <c r="QO121" s="39"/>
      <c r="QP121" s="39"/>
      <c r="QQ121" s="39"/>
      <c r="QR121" s="39"/>
      <c r="QS121" s="39"/>
      <c r="QT121" s="39"/>
      <c r="QU121" s="39"/>
      <c r="QV121" s="39"/>
      <c r="QW121" s="39"/>
      <c r="QX121" s="39"/>
      <c r="QY121" s="39"/>
      <c r="QZ121" s="39"/>
      <c r="RA121" s="39"/>
      <c r="RB121" s="39"/>
      <c r="RC121" s="39"/>
      <c r="RD121" s="39"/>
      <c r="RE121" s="39"/>
      <c r="RF121" s="39"/>
      <c r="RG121" s="39"/>
      <c r="RH121" s="39"/>
      <c r="RI121" s="39"/>
      <c r="RJ121" s="39"/>
      <c r="RK121" s="39"/>
      <c r="RL121" s="39"/>
      <c r="RM121" s="39"/>
      <c r="RN121" s="39"/>
      <c r="RO121" s="39"/>
      <c r="RP121" s="39"/>
      <c r="RQ121" s="39"/>
      <c r="RR121" s="39"/>
      <c r="RS121" s="39"/>
      <c r="RT121" s="39"/>
      <c r="RU121" s="39"/>
      <c r="RV121" s="39"/>
      <c r="RW121" s="39"/>
      <c r="RX121" s="39"/>
      <c r="RY121" s="39"/>
      <c r="RZ121" s="39"/>
      <c r="SA121" s="39"/>
      <c r="SB121" s="39"/>
      <c r="SC121" s="39"/>
      <c r="SD121" s="39"/>
      <c r="SE121" s="39"/>
      <c r="SF121" s="39"/>
      <c r="SG121" s="39"/>
      <c r="SH121" s="39"/>
      <c r="SI121" s="39"/>
      <c r="SJ121" s="39"/>
      <c r="SK121" s="39"/>
      <c r="SL121" s="39"/>
      <c r="SM121" s="39"/>
      <c r="SN121" s="39"/>
      <c r="SO121" s="39"/>
      <c r="SP121" s="39"/>
      <c r="SQ121" s="39"/>
      <c r="SR121" s="39"/>
      <c r="SS121" s="39"/>
      <c r="ST121" s="39"/>
      <c r="SU121" s="39"/>
      <c r="SV121" s="39"/>
      <c r="SW121" s="39"/>
      <c r="SX121" s="39"/>
      <c r="SY121" s="39"/>
      <c r="SZ121" s="39"/>
      <c r="TA121" s="39"/>
      <c r="TB121" s="39"/>
      <c r="TC121" s="39"/>
      <c r="TD121" s="39"/>
      <c r="TE121" s="39"/>
      <c r="TF121" s="39"/>
      <c r="TG121" s="39"/>
      <c r="TH121" s="39"/>
      <c r="TI121" s="39"/>
    </row>
    <row r="122" spans="1:529" s="23" customFormat="1" ht="42.75" customHeight="1" x14ac:dyDescent="0.25">
      <c r="A122" s="43" t="s">
        <v>227</v>
      </c>
      <c r="B122" s="44" t="str">
        <f>'дод 4'!A20</f>
        <v>0160</v>
      </c>
      <c r="C122" s="44" t="str">
        <f>'дод 4'!B20</f>
        <v>0111</v>
      </c>
      <c r="D122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22" s="69">
        <f>F122+I122</f>
        <v>4986700</v>
      </c>
      <c r="F122" s="69">
        <f>5240600+10300-253200-11000</f>
        <v>4986700</v>
      </c>
      <c r="G122" s="69">
        <f>4150400-207600-9000</f>
        <v>3933800</v>
      </c>
      <c r="H122" s="69">
        <v>57500</v>
      </c>
      <c r="I122" s="69"/>
      <c r="J122" s="69">
        <f>L122+O122</f>
        <v>0</v>
      </c>
      <c r="K122" s="69"/>
      <c r="L122" s="69"/>
      <c r="M122" s="69"/>
      <c r="N122" s="69"/>
      <c r="O122" s="69"/>
      <c r="P122" s="69">
        <f>E122+J122</f>
        <v>4986700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  <c r="IW122" s="26"/>
      <c r="IX122" s="26"/>
      <c r="IY122" s="26"/>
      <c r="IZ122" s="26"/>
      <c r="JA122" s="26"/>
      <c r="JB122" s="26"/>
      <c r="JC122" s="26"/>
      <c r="JD122" s="26"/>
      <c r="JE122" s="26"/>
      <c r="JF122" s="26"/>
      <c r="JG122" s="26"/>
      <c r="JH122" s="26"/>
      <c r="JI122" s="26"/>
      <c r="JJ122" s="26"/>
      <c r="JK122" s="26"/>
      <c r="JL122" s="26"/>
      <c r="JM122" s="26"/>
      <c r="JN122" s="26"/>
      <c r="JO122" s="26"/>
      <c r="JP122" s="26"/>
      <c r="JQ122" s="26"/>
      <c r="JR122" s="26"/>
      <c r="JS122" s="26"/>
      <c r="JT122" s="26"/>
      <c r="JU122" s="26"/>
      <c r="JV122" s="26"/>
      <c r="JW122" s="26"/>
      <c r="JX122" s="26"/>
      <c r="JY122" s="26"/>
      <c r="JZ122" s="26"/>
      <c r="KA122" s="26"/>
      <c r="KB122" s="26"/>
      <c r="KC122" s="26"/>
      <c r="KD122" s="26"/>
      <c r="KE122" s="26"/>
      <c r="KF122" s="26"/>
      <c r="KG122" s="26"/>
      <c r="KH122" s="26"/>
      <c r="KI122" s="26"/>
      <c r="KJ122" s="26"/>
      <c r="KK122" s="26"/>
      <c r="KL122" s="26"/>
      <c r="KM122" s="26"/>
      <c r="KN122" s="26"/>
      <c r="KO122" s="26"/>
      <c r="KP122" s="26"/>
      <c r="KQ122" s="26"/>
      <c r="KR122" s="26"/>
      <c r="KS122" s="26"/>
      <c r="KT122" s="26"/>
      <c r="KU122" s="26"/>
      <c r="KV122" s="26"/>
      <c r="KW122" s="26"/>
      <c r="KX122" s="26"/>
      <c r="KY122" s="26"/>
      <c r="KZ122" s="26"/>
      <c r="LA122" s="26"/>
      <c r="LB122" s="26"/>
      <c r="LC122" s="26"/>
      <c r="LD122" s="26"/>
      <c r="LE122" s="26"/>
      <c r="LF122" s="26"/>
      <c r="LG122" s="26"/>
      <c r="LH122" s="26"/>
      <c r="LI122" s="26"/>
      <c r="LJ122" s="26"/>
      <c r="LK122" s="26"/>
      <c r="LL122" s="26"/>
      <c r="LM122" s="26"/>
      <c r="LN122" s="26"/>
      <c r="LO122" s="26"/>
      <c r="LP122" s="26"/>
      <c r="LQ122" s="26"/>
      <c r="LR122" s="26"/>
      <c r="LS122" s="26"/>
      <c r="LT122" s="26"/>
      <c r="LU122" s="26"/>
      <c r="LV122" s="26"/>
      <c r="LW122" s="26"/>
      <c r="LX122" s="26"/>
      <c r="LY122" s="26"/>
      <c r="LZ122" s="26"/>
      <c r="MA122" s="26"/>
      <c r="MB122" s="26"/>
      <c r="MC122" s="26"/>
      <c r="MD122" s="26"/>
      <c r="ME122" s="26"/>
      <c r="MF122" s="26"/>
      <c r="MG122" s="26"/>
      <c r="MH122" s="26"/>
      <c r="MI122" s="26"/>
      <c r="MJ122" s="26"/>
      <c r="MK122" s="26"/>
      <c r="ML122" s="26"/>
      <c r="MM122" s="26"/>
      <c r="MN122" s="26"/>
      <c r="MO122" s="26"/>
      <c r="MP122" s="26"/>
      <c r="MQ122" s="26"/>
      <c r="MR122" s="26"/>
      <c r="MS122" s="26"/>
      <c r="MT122" s="26"/>
      <c r="MU122" s="26"/>
      <c r="MV122" s="26"/>
      <c r="MW122" s="26"/>
      <c r="MX122" s="26"/>
      <c r="MY122" s="26"/>
      <c r="MZ122" s="26"/>
      <c r="NA122" s="26"/>
      <c r="NB122" s="26"/>
      <c r="NC122" s="26"/>
      <c r="ND122" s="26"/>
      <c r="NE122" s="26"/>
      <c r="NF122" s="26"/>
      <c r="NG122" s="26"/>
      <c r="NH122" s="26"/>
      <c r="NI122" s="26"/>
      <c r="NJ122" s="26"/>
      <c r="NK122" s="26"/>
      <c r="NL122" s="26"/>
      <c r="NM122" s="26"/>
      <c r="NN122" s="26"/>
      <c r="NO122" s="26"/>
      <c r="NP122" s="26"/>
      <c r="NQ122" s="26"/>
      <c r="NR122" s="26"/>
      <c r="NS122" s="26"/>
      <c r="NT122" s="26"/>
      <c r="NU122" s="26"/>
      <c r="NV122" s="26"/>
      <c r="NW122" s="26"/>
      <c r="NX122" s="26"/>
      <c r="NY122" s="26"/>
      <c r="NZ122" s="26"/>
      <c r="OA122" s="26"/>
      <c r="OB122" s="26"/>
      <c r="OC122" s="26"/>
      <c r="OD122" s="26"/>
      <c r="OE122" s="26"/>
      <c r="OF122" s="26"/>
      <c r="OG122" s="26"/>
      <c r="OH122" s="26"/>
      <c r="OI122" s="26"/>
      <c r="OJ122" s="26"/>
      <c r="OK122" s="26"/>
      <c r="OL122" s="26"/>
      <c r="OM122" s="26"/>
      <c r="ON122" s="26"/>
      <c r="OO122" s="26"/>
      <c r="OP122" s="26"/>
      <c r="OQ122" s="26"/>
      <c r="OR122" s="26"/>
      <c r="OS122" s="26"/>
      <c r="OT122" s="26"/>
      <c r="OU122" s="26"/>
      <c r="OV122" s="26"/>
      <c r="OW122" s="26"/>
      <c r="OX122" s="26"/>
      <c r="OY122" s="26"/>
      <c r="OZ122" s="26"/>
      <c r="PA122" s="26"/>
      <c r="PB122" s="26"/>
      <c r="PC122" s="26"/>
      <c r="PD122" s="26"/>
      <c r="PE122" s="26"/>
      <c r="PF122" s="26"/>
      <c r="PG122" s="26"/>
      <c r="PH122" s="26"/>
      <c r="PI122" s="26"/>
      <c r="PJ122" s="26"/>
      <c r="PK122" s="26"/>
      <c r="PL122" s="26"/>
      <c r="PM122" s="26"/>
      <c r="PN122" s="26"/>
      <c r="PO122" s="26"/>
      <c r="PP122" s="26"/>
      <c r="PQ122" s="26"/>
      <c r="PR122" s="26"/>
      <c r="PS122" s="26"/>
      <c r="PT122" s="26"/>
      <c r="PU122" s="26"/>
      <c r="PV122" s="26"/>
      <c r="PW122" s="26"/>
      <c r="PX122" s="26"/>
      <c r="PY122" s="26"/>
      <c r="PZ122" s="26"/>
      <c r="QA122" s="26"/>
      <c r="QB122" s="26"/>
      <c r="QC122" s="26"/>
      <c r="QD122" s="26"/>
      <c r="QE122" s="26"/>
      <c r="QF122" s="26"/>
      <c r="QG122" s="26"/>
      <c r="QH122" s="26"/>
      <c r="QI122" s="26"/>
      <c r="QJ122" s="26"/>
      <c r="QK122" s="26"/>
      <c r="QL122" s="26"/>
      <c r="QM122" s="26"/>
      <c r="QN122" s="26"/>
      <c r="QO122" s="26"/>
      <c r="QP122" s="26"/>
      <c r="QQ122" s="26"/>
      <c r="QR122" s="26"/>
      <c r="QS122" s="26"/>
      <c r="QT122" s="26"/>
      <c r="QU122" s="26"/>
      <c r="QV122" s="26"/>
      <c r="QW122" s="26"/>
      <c r="QX122" s="26"/>
      <c r="QY122" s="26"/>
      <c r="QZ122" s="26"/>
      <c r="RA122" s="26"/>
      <c r="RB122" s="26"/>
      <c r="RC122" s="26"/>
      <c r="RD122" s="26"/>
      <c r="RE122" s="26"/>
      <c r="RF122" s="26"/>
      <c r="RG122" s="26"/>
      <c r="RH122" s="26"/>
      <c r="RI122" s="26"/>
      <c r="RJ122" s="26"/>
      <c r="RK122" s="26"/>
      <c r="RL122" s="26"/>
      <c r="RM122" s="26"/>
      <c r="RN122" s="26"/>
      <c r="RO122" s="26"/>
      <c r="RP122" s="26"/>
      <c r="RQ122" s="26"/>
      <c r="RR122" s="26"/>
      <c r="RS122" s="26"/>
      <c r="RT122" s="26"/>
      <c r="RU122" s="26"/>
      <c r="RV122" s="26"/>
      <c r="RW122" s="26"/>
      <c r="RX122" s="26"/>
      <c r="RY122" s="26"/>
      <c r="RZ122" s="26"/>
      <c r="SA122" s="26"/>
      <c r="SB122" s="26"/>
      <c r="SC122" s="26"/>
      <c r="SD122" s="26"/>
      <c r="SE122" s="26"/>
      <c r="SF122" s="26"/>
      <c r="SG122" s="26"/>
      <c r="SH122" s="26"/>
      <c r="SI122" s="26"/>
      <c r="SJ122" s="26"/>
      <c r="SK122" s="26"/>
      <c r="SL122" s="26"/>
      <c r="SM122" s="26"/>
      <c r="SN122" s="26"/>
      <c r="SO122" s="26"/>
      <c r="SP122" s="26"/>
      <c r="SQ122" s="26"/>
      <c r="SR122" s="26"/>
      <c r="SS122" s="26"/>
      <c r="ST122" s="26"/>
      <c r="SU122" s="26"/>
      <c r="SV122" s="26"/>
      <c r="SW122" s="26"/>
      <c r="SX122" s="26"/>
      <c r="SY122" s="26"/>
      <c r="SZ122" s="26"/>
      <c r="TA122" s="26"/>
      <c r="TB122" s="26"/>
      <c r="TC122" s="26"/>
      <c r="TD122" s="26"/>
      <c r="TE122" s="26"/>
      <c r="TF122" s="26"/>
      <c r="TG122" s="26"/>
      <c r="TH122" s="26"/>
      <c r="TI122" s="26"/>
    </row>
    <row r="123" spans="1:529" s="23" customFormat="1" ht="60" x14ac:dyDescent="0.25">
      <c r="A123" s="43" t="s">
        <v>394</v>
      </c>
      <c r="B123" s="44">
        <v>3111</v>
      </c>
      <c r="C123" s="44">
        <v>1040</v>
      </c>
      <c r="D123" s="22" t="str">
        <f>'дод 4'!C62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23" s="69">
        <f>F123+I123</f>
        <v>0</v>
      </c>
      <c r="F123" s="69"/>
      <c r="G123" s="69"/>
      <c r="H123" s="69"/>
      <c r="I123" s="69"/>
      <c r="J123" s="69">
        <f t="shared" ref="J123:J124" si="50">L123+O123</f>
        <v>20000</v>
      </c>
      <c r="K123" s="69">
        <v>20000</v>
      </c>
      <c r="L123" s="69"/>
      <c r="M123" s="69"/>
      <c r="N123" s="69"/>
      <c r="O123" s="69">
        <v>20000</v>
      </c>
      <c r="P123" s="69">
        <f>E123+J123</f>
        <v>20000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</row>
    <row r="124" spans="1:529" s="23" customFormat="1" ht="36.75" customHeight="1" x14ac:dyDescent="0.25">
      <c r="A124" s="43" t="s">
        <v>228</v>
      </c>
      <c r="B124" s="44" t="str">
        <f>'дод 4'!A63</f>
        <v>3112</v>
      </c>
      <c r="C124" s="44" t="str">
        <f>'дод 4'!B63</f>
        <v>1040</v>
      </c>
      <c r="D124" s="24" t="str">
        <f>'дод 4'!C63</f>
        <v>Заходи державної політики з питань дітей та їх соціального захисту</v>
      </c>
      <c r="E124" s="69">
        <f>F124+I124</f>
        <v>90500</v>
      </c>
      <c r="F124" s="69">
        <v>90500</v>
      </c>
      <c r="G124" s="69"/>
      <c r="H124" s="69"/>
      <c r="I124" s="69"/>
      <c r="J124" s="69">
        <f t="shared" si="50"/>
        <v>0</v>
      </c>
      <c r="K124" s="69"/>
      <c r="L124" s="69"/>
      <c r="M124" s="69"/>
      <c r="N124" s="69"/>
      <c r="O124" s="69"/>
      <c r="P124" s="69">
        <f>E124+J124</f>
        <v>90500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  <c r="IW124" s="26"/>
      <c r="IX124" s="26"/>
      <c r="IY124" s="26"/>
      <c r="IZ124" s="26"/>
      <c r="JA124" s="26"/>
      <c r="JB124" s="26"/>
      <c r="JC124" s="26"/>
      <c r="JD124" s="26"/>
      <c r="JE124" s="26"/>
      <c r="JF124" s="26"/>
      <c r="JG124" s="26"/>
      <c r="JH124" s="26"/>
      <c r="JI124" s="26"/>
      <c r="JJ124" s="26"/>
      <c r="JK124" s="26"/>
      <c r="JL124" s="26"/>
      <c r="JM124" s="26"/>
      <c r="JN124" s="26"/>
      <c r="JO124" s="26"/>
      <c r="JP124" s="26"/>
      <c r="JQ124" s="26"/>
      <c r="JR124" s="26"/>
      <c r="JS124" s="26"/>
      <c r="JT124" s="26"/>
      <c r="JU124" s="26"/>
      <c r="JV124" s="26"/>
      <c r="JW124" s="26"/>
      <c r="JX124" s="26"/>
      <c r="JY124" s="26"/>
      <c r="JZ124" s="26"/>
      <c r="KA124" s="26"/>
      <c r="KB124" s="26"/>
      <c r="KC124" s="26"/>
      <c r="KD124" s="26"/>
      <c r="KE124" s="26"/>
      <c r="KF124" s="26"/>
      <c r="KG124" s="26"/>
      <c r="KH124" s="26"/>
      <c r="KI124" s="26"/>
      <c r="KJ124" s="26"/>
      <c r="KK124" s="26"/>
      <c r="KL124" s="26"/>
      <c r="KM124" s="26"/>
      <c r="KN124" s="26"/>
      <c r="KO124" s="26"/>
      <c r="KP124" s="26"/>
      <c r="KQ124" s="26"/>
      <c r="KR124" s="26"/>
      <c r="KS124" s="26"/>
      <c r="KT124" s="26"/>
      <c r="KU124" s="26"/>
      <c r="KV124" s="26"/>
      <c r="KW124" s="26"/>
      <c r="KX124" s="26"/>
      <c r="KY124" s="26"/>
      <c r="KZ124" s="26"/>
      <c r="LA124" s="26"/>
      <c r="LB124" s="26"/>
      <c r="LC124" s="26"/>
      <c r="LD124" s="26"/>
      <c r="LE124" s="26"/>
      <c r="LF124" s="26"/>
      <c r="LG124" s="26"/>
      <c r="LH124" s="26"/>
      <c r="LI124" s="26"/>
      <c r="LJ124" s="26"/>
      <c r="LK124" s="26"/>
      <c r="LL124" s="26"/>
      <c r="LM124" s="26"/>
      <c r="LN124" s="26"/>
      <c r="LO124" s="26"/>
      <c r="LP124" s="26"/>
      <c r="LQ124" s="26"/>
      <c r="LR124" s="26"/>
      <c r="LS124" s="26"/>
      <c r="LT124" s="26"/>
      <c r="LU124" s="26"/>
      <c r="LV124" s="26"/>
      <c r="LW124" s="26"/>
      <c r="LX124" s="26"/>
      <c r="LY124" s="26"/>
      <c r="LZ124" s="26"/>
      <c r="MA124" s="26"/>
      <c r="MB124" s="26"/>
      <c r="MC124" s="26"/>
      <c r="MD124" s="26"/>
      <c r="ME124" s="26"/>
      <c r="MF124" s="26"/>
      <c r="MG124" s="26"/>
      <c r="MH124" s="26"/>
      <c r="MI124" s="26"/>
      <c r="MJ124" s="26"/>
      <c r="MK124" s="26"/>
      <c r="ML124" s="26"/>
      <c r="MM124" s="26"/>
      <c r="MN124" s="26"/>
      <c r="MO124" s="26"/>
      <c r="MP124" s="26"/>
      <c r="MQ124" s="26"/>
      <c r="MR124" s="26"/>
      <c r="MS124" s="26"/>
      <c r="MT124" s="26"/>
      <c r="MU124" s="26"/>
      <c r="MV124" s="26"/>
      <c r="MW124" s="26"/>
      <c r="MX124" s="26"/>
      <c r="MY124" s="26"/>
      <c r="MZ124" s="26"/>
      <c r="NA124" s="26"/>
      <c r="NB124" s="26"/>
      <c r="NC124" s="26"/>
      <c r="ND124" s="26"/>
      <c r="NE124" s="26"/>
      <c r="NF124" s="26"/>
      <c r="NG124" s="26"/>
      <c r="NH124" s="26"/>
      <c r="NI124" s="26"/>
      <c r="NJ124" s="26"/>
      <c r="NK124" s="26"/>
      <c r="NL124" s="26"/>
      <c r="NM124" s="26"/>
      <c r="NN124" s="26"/>
      <c r="NO124" s="26"/>
      <c r="NP124" s="26"/>
      <c r="NQ124" s="26"/>
      <c r="NR124" s="26"/>
      <c r="NS124" s="26"/>
      <c r="NT124" s="26"/>
      <c r="NU124" s="26"/>
      <c r="NV124" s="26"/>
      <c r="NW124" s="26"/>
      <c r="NX124" s="26"/>
      <c r="NY124" s="26"/>
      <c r="NZ124" s="26"/>
      <c r="OA124" s="26"/>
      <c r="OB124" s="26"/>
      <c r="OC124" s="26"/>
      <c r="OD124" s="26"/>
      <c r="OE124" s="26"/>
      <c r="OF124" s="26"/>
      <c r="OG124" s="26"/>
      <c r="OH124" s="26"/>
      <c r="OI124" s="26"/>
      <c r="OJ124" s="26"/>
      <c r="OK124" s="26"/>
      <c r="OL124" s="26"/>
      <c r="OM124" s="26"/>
      <c r="ON124" s="26"/>
      <c r="OO124" s="26"/>
      <c r="OP124" s="26"/>
      <c r="OQ124" s="26"/>
      <c r="OR124" s="26"/>
      <c r="OS124" s="26"/>
      <c r="OT124" s="26"/>
      <c r="OU124" s="26"/>
      <c r="OV124" s="26"/>
      <c r="OW124" s="26"/>
      <c r="OX124" s="26"/>
      <c r="OY124" s="26"/>
      <c r="OZ124" s="26"/>
      <c r="PA124" s="26"/>
      <c r="PB124" s="26"/>
      <c r="PC124" s="26"/>
      <c r="PD124" s="26"/>
      <c r="PE124" s="26"/>
      <c r="PF124" s="26"/>
      <c r="PG124" s="26"/>
      <c r="PH124" s="26"/>
      <c r="PI124" s="26"/>
      <c r="PJ124" s="26"/>
      <c r="PK124" s="26"/>
      <c r="PL124" s="26"/>
      <c r="PM124" s="26"/>
      <c r="PN124" s="26"/>
      <c r="PO124" s="26"/>
      <c r="PP124" s="26"/>
      <c r="PQ124" s="26"/>
      <c r="PR124" s="26"/>
      <c r="PS124" s="26"/>
      <c r="PT124" s="26"/>
      <c r="PU124" s="26"/>
      <c r="PV124" s="26"/>
      <c r="PW124" s="26"/>
      <c r="PX124" s="26"/>
      <c r="PY124" s="26"/>
      <c r="PZ124" s="26"/>
      <c r="QA124" s="26"/>
      <c r="QB124" s="26"/>
      <c r="QC124" s="26"/>
      <c r="QD124" s="26"/>
      <c r="QE124" s="26"/>
      <c r="QF124" s="26"/>
      <c r="QG124" s="26"/>
      <c r="QH124" s="26"/>
      <c r="QI124" s="26"/>
      <c r="QJ124" s="26"/>
      <c r="QK124" s="26"/>
      <c r="QL124" s="26"/>
      <c r="QM124" s="26"/>
      <c r="QN124" s="26"/>
      <c r="QO124" s="26"/>
      <c r="QP124" s="26"/>
      <c r="QQ124" s="26"/>
      <c r="QR124" s="26"/>
      <c r="QS124" s="26"/>
      <c r="QT124" s="26"/>
      <c r="QU124" s="26"/>
      <c r="QV124" s="26"/>
      <c r="QW124" s="26"/>
      <c r="QX124" s="26"/>
      <c r="QY124" s="26"/>
      <c r="QZ124" s="26"/>
      <c r="RA124" s="26"/>
      <c r="RB124" s="26"/>
      <c r="RC124" s="26"/>
      <c r="RD124" s="26"/>
      <c r="RE124" s="26"/>
      <c r="RF124" s="26"/>
      <c r="RG124" s="26"/>
      <c r="RH124" s="26"/>
      <c r="RI124" s="26"/>
      <c r="RJ124" s="26"/>
      <c r="RK124" s="26"/>
      <c r="RL124" s="26"/>
      <c r="RM124" s="26"/>
      <c r="RN124" s="26"/>
      <c r="RO124" s="26"/>
      <c r="RP124" s="26"/>
      <c r="RQ124" s="26"/>
      <c r="RR124" s="26"/>
      <c r="RS124" s="26"/>
      <c r="RT124" s="26"/>
      <c r="RU124" s="26"/>
      <c r="RV124" s="26"/>
      <c r="RW124" s="26"/>
      <c r="RX124" s="26"/>
      <c r="RY124" s="26"/>
      <c r="RZ124" s="26"/>
      <c r="SA124" s="26"/>
      <c r="SB124" s="26"/>
      <c r="SC124" s="26"/>
      <c r="SD124" s="26"/>
      <c r="SE124" s="26"/>
      <c r="SF124" s="26"/>
      <c r="SG124" s="26"/>
      <c r="SH124" s="26"/>
      <c r="SI124" s="26"/>
      <c r="SJ124" s="26"/>
      <c r="SK124" s="26"/>
      <c r="SL124" s="26"/>
      <c r="SM124" s="26"/>
      <c r="SN124" s="26"/>
      <c r="SO124" s="26"/>
      <c r="SP124" s="26"/>
      <c r="SQ124" s="26"/>
      <c r="SR124" s="26"/>
      <c r="SS124" s="26"/>
      <c r="ST124" s="26"/>
      <c r="SU124" s="26"/>
      <c r="SV124" s="26"/>
      <c r="SW124" s="26"/>
      <c r="SX124" s="26"/>
      <c r="SY124" s="26"/>
      <c r="SZ124" s="26"/>
      <c r="TA124" s="26"/>
      <c r="TB124" s="26"/>
      <c r="TC124" s="26"/>
      <c r="TD124" s="26"/>
      <c r="TE124" s="26"/>
      <c r="TF124" s="26"/>
      <c r="TG124" s="26"/>
      <c r="TH124" s="26"/>
      <c r="TI124" s="26"/>
    </row>
    <row r="125" spans="1:529" s="31" customFormat="1" ht="22.5" customHeight="1" x14ac:dyDescent="0.2">
      <c r="A125" s="76" t="s">
        <v>35</v>
      </c>
      <c r="B125" s="74"/>
      <c r="C125" s="74"/>
      <c r="D125" s="30" t="s">
        <v>396</v>
      </c>
      <c r="E125" s="66">
        <f>E126</f>
        <v>65255365</v>
      </c>
      <c r="F125" s="66">
        <f t="shared" ref="F125:J125" si="51">F126</f>
        <v>65255365</v>
      </c>
      <c r="G125" s="66">
        <f t="shared" si="51"/>
        <v>47805300</v>
      </c>
      <c r="H125" s="66">
        <f t="shared" si="51"/>
        <v>2201760</v>
      </c>
      <c r="I125" s="66">
        <f t="shared" si="51"/>
        <v>0</v>
      </c>
      <c r="J125" s="66">
        <f t="shared" si="51"/>
        <v>4109635</v>
      </c>
      <c r="K125" s="66">
        <f t="shared" ref="K125" si="52">K126</f>
        <v>1290995</v>
      </c>
      <c r="L125" s="66">
        <f t="shared" ref="L125" si="53">L126</f>
        <v>2813920</v>
      </c>
      <c r="M125" s="66">
        <f t="shared" ref="M125" si="54">M126</f>
        <v>2279416</v>
      </c>
      <c r="N125" s="66">
        <f t="shared" ref="N125" si="55">N126</f>
        <v>3300</v>
      </c>
      <c r="O125" s="66">
        <f t="shared" ref="O125:P125" si="56">O126</f>
        <v>1295715</v>
      </c>
      <c r="P125" s="66">
        <f t="shared" si="56"/>
        <v>69365000</v>
      </c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  <c r="IV125" s="38"/>
      <c r="IW125" s="38"/>
      <c r="IX125" s="38"/>
      <c r="IY125" s="38"/>
      <c r="IZ125" s="38"/>
      <c r="JA125" s="38"/>
      <c r="JB125" s="38"/>
      <c r="JC125" s="38"/>
      <c r="JD125" s="38"/>
      <c r="JE125" s="38"/>
      <c r="JF125" s="38"/>
      <c r="JG125" s="38"/>
      <c r="JH125" s="38"/>
      <c r="JI125" s="38"/>
      <c r="JJ125" s="38"/>
      <c r="JK125" s="38"/>
      <c r="JL125" s="38"/>
      <c r="JM125" s="38"/>
      <c r="JN125" s="38"/>
      <c r="JO125" s="38"/>
      <c r="JP125" s="38"/>
      <c r="JQ125" s="38"/>
      <c r="JR125" s="38"/>
      <c r="JS125" s="38"/>
      <c r="JT125" s="38"/>
      <c r="JU125" s="38"/>
      <c r="JV125" s="38"/>
      <c r="JW125" s="38"/>
      <c r="JX125" s="38"/>
      <c r="JY125" s="38"/>
      <c r="JZ125" s="38"/>
      <c r="KA125" s="38"/>
      <c r="KB125" s="38"/>
      <c r="KC125" s="38"/>
      <c r="KD125" s="38"/>
      <c r="KE125" s="38"/>
      <c r="KF125" s="38"/>
      <c r="KG125" s="38"/>
      <c r="KH125" s="38"/>
      <c r="KI125" s="38"/>
      <c r="KJ125" s="38"/>
      <c r="KK125" s="38"/>
      <c r="KL125" s="38"/>
      <c r="KM125" s="38"/>
      <c r="KN125" s="38"/>
      <c r="KO125" s="38"/>
      <c r="KP125" s="38"/>
      <c r="KQ125" s="38"/>
      <c r="KR125" s="38"/>
      <c r="KS125" s="38"/>
      <c r="KT125" s="38"/>
      <c r="KU125" s="38"/>
      <c r="KV125" s="38"/>
      <c r="KW125" s="38"/>
      <c r="KX125" s="38"/>
      <c r="KY125" s="38"/>
      <c r="KZ125" s="38"/>
      <c r="LA125" s="38"/>
      <c r="LB125" s="38"/>
      <c r="LC125" s="38"/>
      <c r="LD125" s="38"/>
      <c r="LE125" s="38"/>
      <c r="LF125" s="38"/>
      <c r="LG125" s="38"/>
      <c r="LH125" s="38"/>
      <c r="LI125" s="38"/>
      <c r="LJ125" s="38"/>
      <c r="LK125" s="38"/>
      <c r="LL125" s="38"/>
      <c r="LM125" s="38"/>
      <c r="LN125" s="38"/>
      <c r="LO125" s="38"/>
      <c r="LP125" s="38"/>
      <c r="LQ125" s="38"/>
      <c r="LR125" s="38"/>
      <c r="LS125" s="38"/>
      <c r="LT125" s="38"/>
      <c r="LU125" s="38"/>
      <c r="LV125" s="38"/>
      <c r="LW125" s="38"/>
      <c r="LX125" s="38"/>
      <c r="LY125" s="38"/>
      <c r="LZ125" s="38"/>
      <c r="MA125" s="38"/>
      <c r="MB125" s="38"/>
      <c r="MC125" s="38"/>
      <c r="MD125" s="38"/>
      <c r="ME125" s="38"/>
      <c r="MF125" s="38"/>
      <c r="MG125" s="38"/>
      <c r="MH125" s="38"/>
      <c r="MI125" s="38"/>
      <c r="MJ125" s="38"/>
      <c r="MK125" s="38"/>
      <c r="ML125" s="38"/>
      <c r="MM125" s="38"/>
      <c r="MN125" s="38"/>
      <c r="MO125" s="38"/>
      <c r="MP125" s="38"/>
      <c r="MQ125" s="38"/>
      <c r="MR125" s="38"/>
      <c r="MS125" s="38"/>
      <c r="MT125" s="38"/>
      <c r="MU125" s="38"/>
      <c r="MV125" s="38"/>
      <c r="MW125" s="38"/>
      <c r="MX125" s="38"/>
      <c r="MY125" s="38"/>
      <c r="MZ125" s="38"/>
      <c r="NA125" s="38"/>
      <c r="NB125" s="38"/>
      <c r="NC125" s="38"/>
      <c r="ND125" s="38"/>
      <c r="NE125" s="38"/>
      <c r="NF125" s="38"/>
      <c r="NG125" s="38"/>
      <c r="NH125" s="38"/>
      <c r="NI125" s="38"/>
      <c r="NJ125" s="38"/>
      <c r="NK125" s="38"/>
      <c r="NL125" s="38"/>
      <c r="NM125" s="38"/>
      <c r="NN125" s="38"/>
      <c r="NO125" s="38"/>
      <c r="NP125" s="38"/>
      <c r="NQ125" s="38"/>
      <c r="NR125" s="38"/>
      <c r="NS125" s="38"/>
      <c r="NT125" s="38"/>
      <c r="NU125" s="38"/>
      <c r="NV125" s="38"/>
      <c r="NW125" s="38"/>
      <c r="NX125" s="38"/>
      <c r="NY125" s="38"/>
      <c r="NZ125" s="38"/>
      <c r="OA125" s="38"/>
      <c r="OB125" s="38"/>
      <c r="OC125" s="38"/>
      <c r="OD125" s="38"/>
      <c r="OE125" s="38"/>
      <c r="OF125" s="38"/>
      <c r="OG125" s="38"/>
      <c r="OH125" s="38"/>
      <c r="OI125" s="38"/>
      <c r="OJ125" s="38"/>
      <c r="OK125" s="38"/>
      <c r="OL125" s="38"/>
      <c r="OM125" s="38"/>
      <c r="ON125" s="38"/>
      <c r="OO125" s="38"/>
      <c r="OP125" s="38"/>
      <c r="OQ125" s="38"/>
      <c r="OR125" s="38"/>
      <c r="OS125" s="38"/>
      <c r="OT125" s="38"/>
      <c r="OU125" s="38"/>
      <c r="OV125" s="38"/>
      <c r="OW125" s="38"/>
      <c r="OX125" s="38"/>
      <c r="OY125" s="38"/>
      <c r="OZ125" s="38"/>
      <c r="PA125" s="38"/>
      <c r="PB125" s="38"/>
      <c r="PC125" s="38"/>
      <c r="PD125" s="38"/>
      <c r="PE125" s="38"/>
      <c r="PF125" s="38"/>
      <c r="PG125" s="38"/>
      <c r="PH125" s="38"/>
      <c r="PI125" s="38"/>
      <c r="PJ125" s="38"/>
      <c r="PK125" s="38"/>
      <c r="PL125" s="38"/>
      <c r="PM125" s="38"/>
      <c r="PN125" s="38"/>
      <c r="PO125" s="38"/>
      <c r="PP125" s="38"/>
      <c r="PQ125" s="38"/>
      <c r="PR125" s="38"/>
      <c r="PS125" s="38"/>
      <c r="PT125" s="38"/>
      <c r="PU125" s="38"/>
      <c r="PV125" s="38"/>
      <c r="PW125" s="38"/>
      <c r="PX125" s="38"/>
      <c r="PY125" s="38"/>
      <c r="PZ125" s="38"/>
      <c r="QA125" s="38"/>
      <c r="QB125" s="38"/>
      <c r="QC125" s="38"/>
      <c r="QD125" s="38"/>
      <c r="QE125" s="38"/>
      <c r="QF125" s="38"/>
      <c r="QG125" s="38"/>
      <c r="QH125" s="38"/>
      <c r="QI125" s="38"/>
      <c r="QJ125" s="38"/>
      <c r="QK125" s="38"/>
      <c r="QL125" s="38"/>
      <c r="QM125" s="38"/>
      <c r="QN125" s="38"/>
      <c r="QO125" s="38"/>
      <c r="QP125" s="38"/>
      <c r="QQ125" s="38"/>
      <c r="QR125" s="38"/>
      <c r="QS125" s="38"/>
      <c r="QT125" s="38"/>
      <c r="QU125" s="38"/>
      <c r="QV125" s="38"/>
      <c r="QW125" s="38"/>
      <c r="QX125" s="38"/>
      <c r="QY125" s="38"/>
      <c r="QZ125" s="38"/>
      <c r="RA125" s="38"/>
      <c r="RB125" s="38"/>
      <c r="RC125" s="38"/>
      <c r="RD125" s="38"/>
      <c r="RE125" s="38"/>
      <c r="RF125" s="38"/>
      <c r="RG125" s="38"/>
      <c r="RH125" s="38"/>
      <c r="RI125" s="38"/>
      <c r="RJ125" s="38"/>
      <c r="RK125" s="38"/>
      <c r="RL125" s="38"/>
      <c r="RM125" s="38"/>
      <c r="RN125" s="38"/>
      <c r="RO125" s="38"/>
      <c r="RP125" s="38"/>
      <c r="RQ125" s="38"/>
      <c r="RR125" s="38"/>
      <c r="RS125" s="38"/>
      <c r="RT125" s="38"/>
      <c r="RU125" s="38"/>
      <c r="RV125" s="38"/>
      <c r="RW125" s="38"/>
      <c r="RX125" s="38"/>
      <c r="RY125" s="38"/>
      <c r="RZ125" s="38"/>
      <c r="SA125" s="38"/>
      <c r="SB125" s="38"/>
      <c r="SC125" s="38"/>
      <c r="SD125" s="38"/>
      <c r="SE125" s="38"/>
      <c r="SF125" s="38"/>
      <c r="SG125" s="38"/>
      <c r="SH125" s="38"/>
      <c r="SI125" s="38"/>
      <c r="SJ125" s="38"/>
      <c r="SK125" s="38"/>
      <c r="SL125" s="38"/>
      <c r="SM125" s="38"/>
      <c r="SN125" s="38"/>
      <c r="SO125" s="38"/>
      <c r="SP125" s="38"/>
      <c r="SQ125" s="38"/>
      <c r="SR125" s="38"/>
      <c r="SS125" s="38"/>
      <c r="ST125" s="38"/>
      <c r="SU125" s="38"/>
      <c r="SV125" s="38"/>
      <c r="SW125" s="38"/>
      <c r="SX125" s="38"/>
      <c r="SY125" s="38"/>
      <c r="SZ125" s="38"/>
      <c r="TA125" s="38"/>
      <c r="TB125" s="38"/>
      <c r="TC125" s="38"/>
      <c r="TD125" s="38"/>
      <c r="TE125" s="38"/>
      <c r="TF125" s="38"/>
      <c r="TG125" s="38"/>
      <c r="TH125" s="38"/>
      <c r="TI125" s="38"/>
    </row>
    <row r="126" spans="1:529" s="40" customFormat="1" ht="21.75" customHeight="1" x14ac:dyDescent="0.25">
      <c r="A126" s="77" t="s">
        <v>229</v>
      </c>
      <c r="B126" s="75"/>
      <c r="C126" s="75"/>
      <c r="D126" s="33" t="s">
        <v>396</v>
      </c>
      <c r="E126" s="68">
        <f>E127+E128+E129+E131+E132++E133+E130+E134</f>
        <v>65255365</v>
      </c>
      <c r="F126" s="68">
        <f t="shared" ref="F126:P126" si="57">F127+F128+F129+F131+F132++F133+F130+F134</f>
        <v>65255365</v>
      </c>
      <c r="G126" s="68">
        <f t="shared" si="57"/>
        <v>47805300</v>
      </c>
      <c r="H126" s="68">
        <f t="shared" si="57"/>
        <v>2201760</v>
      </c>
      <c r="I126" s="68">
        <f t="shared" si="57"/>
        <v>0</v>
      </c>
      <c r="J126" s="68">
        <f t="shared" si="57"/>
        <v>4109635</v>
      </c>
      <c r="K126" s="68">
        <f>K127+K128+K129+K131+K132++K133+K130+K134</f>
        <v>1290995</v>
      </c>
      <c r="L126" s="68">
        <f t="shared" si="57"/>
        <v>2813920</v>
      </c>
      <c r="M126" s="68">
        <f t="shared" si="57"/>
        <v>2279416</v>
      </c>
      <c r="N126" s="68">
        <f t="shared" si="57"/>
        <v>3300</v>
      </c>
      <c r="O126" s="68">
        <f t="shared" si="57"/>
        <v>1295715</v>
      </c>
      <c r="P126" s="68">
        <f t="shared" si="57"/>
        <v>69365000</v>
      </c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  <c r="IW126" s="39"/>
      <c r="IX126" s="39"/>
      <c r="IY126" s="39"/>
      <c r="IZ126" s="39"/>
      <c r="JA126" s="39"/>
      <c r="JB126" s="39"/>
      <c r="JC126" s="39"/>
      <c r="JD126" s="39"/>
      <c r="JE126" s="39"/>
      <c r="JF126" s="39"/>
      <c r="JG126" s="39"/>
      <c r="JH126" s="39"/>
      <c r="JI126" s="39"/>
      <c r="JJ126" s="39"/>
      <c r="JK126" s="39"/>
      <c r="JL126" s="39"/>
      <c r="JM126" s="39"/>
      <c r="JN126" s="39"/>
      <c r="JO126" s="39"/>
      <c r="JP126" s="39"/>
      <c r="JQ126" s="39"/>
      <c r="JR126" s="39"/>
      <c r="JS126" s="39"/>
      <c r="JT126" s="39"/>
      <c r="JU126" s="39"/>
      <c r="JV126" s="39"/>
      <c r="JW126" s="39"/>
      <c r="JX126" s="39"/>
      <c r="JY126" s="39"/>
      <c r="JZ126" s="39"/>
      <c r="KA126" s="39"/>
      <c r="KB126" s="39"/>
      <c r="KC126" s="39"/>
      <c r="KD126" s="39"/>
      <c r="KE126" s="39"/>
      <c r="KF126" s="39"/>
      <c r="KG126" s="39"/>
      <c r="KH126" s="39"/>
      <c r="KI126" s="39"/>
      <c r="KJ126" s="39"/>
      <c r="KK126" s="39"/>
      <c r="KL126" s="39"/>
      <c r="KM126" s="39"/>
      <c r="KN126" s="39"/>
      <c r="KO126" s="39"/>
      <c r="KP126" s="39"/>
      <c r="KQ126" s="39"/>
      <c r="KR126" s="39"/>
      <c r="KS126" s="39"/>
      <c r="KT126" s="39"/>
      <c r="KU126" s="39"/>
      <c r="KV126" s="39"/>
      <c r="KW126" s="39"/>
      <c r="KX126" s="39"/>
      <c r="KY126" s="39"/>
      <c r="KZ126" s="39"/>
      <c r="LA126" s="39"/>
      <c r="LB126" s="39"/>
      <c r="LC126" s="39"/>
      <c r="LD126" s="39"/>
      <c r="LE126" s="39"/>
      <c r="LF126" s="39"/>
      <c r="LG126" s="39"/>
      <c r="LH126" s="39"/>
      <c r="LI126" s="39"/>
      <c r="LJ126" s="39"/>
      <c r="LK126" s="39"/>
      <c r="LL126" s="39"/>
      <c r="LM126" s="39"/>
      <c r="LN126" s="39"/>
      <c r="LO126" s="39"/>
      <c r="LP126" s="39"/>
      <c r="LQ126" s="39"/>
      <c r="LR126" s="39"/>
      <c r="LS126" s="39"/>
      <c r="LT126" s="39"/>
      <c r="LU126" s="39"/>
      <c r="LV126" s="39"/>
      <c r="LW126" s="39"/>
      <c r="LX126" s="39"/>
      <c r="LY126" s="39"/>
      <c r="LZ126" s="39"/>
      <c r="MA126" s="39"/>
      <c r="MB126" s="39"/>
      <c r="MC126" s="39"/>
      <c r="MD126" s="39"/>
      <c r="ME126" s="39"/>
      <c r="MF126" s="39"/>
      <c r="MG126" s="39"/>
      <c r="MH126" s="39"/>
      <c r="MI126" s="39"/>
      <c r="MJ126" s="39"/>
      <c r="MK126" s="39"/>
      <c r="ML126" s="39"/>
      <c r="MM126" s="39"/>
      <c r="MN126" s="39"/>
      <c r="MO126" s="39"/>
      <c r="MP126" s="39"/>
      <c r="MQ126" s="39"/>
      <c r="MR126" s="39"/>
      <c r="MS126" s="39"/>
      <c r="MT126" s="39"/>
      <c r="MU126" s="39"/>
      <c r="MV126" s="39"/>
      <c r="MW126" s="39"/>
      <c r="MX126" s="39"/>
      <c r="MY126" s="39"/>
      <c r="MZ126" s="39"/>
      <c r="NA126" s="39"/>
      <c r="NB126" s="39"/>
      <c r="NC126" s="39"/>
      <c r="ND126" s="39"/>
      <c r="NE126" s="39"/>
      <c r="NF126" s="39"/>
      <c r="NG126" s="39"/>
      <c r="NH126" s="39"/>
      <c r="NI126" s="39"/>
      <c r="NJ126" s="39"/>
      <c r="NK126" s="39"/>
      <c r="NL126" s="39"/>
      <c r="NM126" s="39"/>
      <c r="NN126" s="39"/>
      <c r="NO126" s="39"/>
      <c r="NP126" s="39"/>
      <c r="NQ126" s="39"/>
      <c r="NR126" s="39"/>
      <c r="NS126" s="39"/>
      <c r="NT126" s="39"/>
      <c r="NU126" s="39"/>
      <c r="NV126" s="39"/>
      <c r="NW126" s="39"/>
      <c r="NX126" s="39"/>
      <c r="NY126" s="39"/>
      <c r="NZ126" s="39"/>
      <c r="OA126" s="39"/>
      <c r="OB126" s="39"/>
      <c r="OC126" s="39"/>
      <c r="OD126" s="39"/>
      <c r="OE126" s="39"/>
      <c r="OF126" s="39"/>
      <c r="OG126" s="39"/>
      <c r="OH126" s="39"/>
      <c r="OI126" s="39"/>
      <c r="OJ126" s="39"/>
      <c r="OK126" s="39"/>
      <c r="OL126" s="39"/>
      <c r="OM126" s="39"/>
      <c r="ON126" s="39"/>
      <c r="OO126" s="39"/>
      <c r="OP126" s="39"/>
      <c r="OQ126" s="39"/>
      <c r="OR126" s="39"/>
      <c r="OS126" s="39"/>
      <c r="OT126" s="39"/>
      <c r="OU126" s="39"/>
      <c r="OV126" s="39"/>
      <c r="OW126" s="39"/>
      <c r="OX126" s="39"/>
      <c r="OY126" s="39"/>
      <c r="OZ126" s="39"/>
      <c r="PA126" s="39"/>
      <c r="PB126" s="39"/>
      <c r="PC126" s="39"/>
      <c r="PD126" s="39"/>
      <c r="PE126" s="39"/>
      <c r="PF126" s="39"/>
      <c r="PG126" s="39"/>
      <c r="PH126" s="39"/>
      <c r="PI126" s="39"/>
      <c r="PJ126" s="39"/>
      <c r="PK126" s="39"/>
      <c r="PL126" s="39"/>
      <c r="PM126" s="39"/>
      <c r="PN126" s="39"/>
      <c r="PO126" s="39"/>
      <c r="PP126" s="39"/>
      <c r="PQ126" s="39"/>
      <c r="PR126" s="39"/>
      <c r="PS126" s="39"/>
      <c r="PT126" s="39"/>
      <c r="PU126" s="39"/>
      <c r="PV126" s="39"/>
      <c r="PW126" s="39"/>
      <c r="PX126" s="39"/>
      <c r="PY126" s="39"/>
      <c r="PZ126" s="39"/>
      <c r="QA126" s="39"/>
      <c r="QB126" s="39"/>
      <c r="QC126" s="39"/>
      <c r="QD126" s="39"/>
      <c r="QE126" s="39"/>
      <c r="QF126" s="39"/>
      <c r="QG126" s="39"/>
      <c r="QH126" s="39"/>
      <c r="QI126" s="39"/>
      <c r="QJ126" s="39"/>
      <c r="QK126" s="39"/>
      <c r="QL126" s="39"/>
      <c r="QM126" s="39"/>
      <c r="QN126" s="39"/>
      <c r="QO126" s="39"/>
      <c r="QP126" s="39"/>
      <c r="QQ126" s="39"/>
      <c r="QR126" s="39"/>
      <c r="QS126" s="39"/>
      <c r="QT126" s="39"/>
      <c r="QU126" s="39"/>
      <c r="QV126" s="39"/>
      <c r="QW126" s="39"/>
      <c r="QX126" s="39"/>
      <c r="QY126" s="39"/>
      <c r="QZ126" s="39"/>
      <c r="RA126" s="39"/>
      <c r="RB126" s="39"/>
      <c r="RC126" s="39"/>
      <c r="RD126" s="39"/>
      <c r="RE126" s="39"/>
      <c r="RF126" s="39"/>
      <c r="RG126" s="39"/>
      <c r="RH126" s="39"/>
      <c r="RI126" s="39"/>
      <c r="RJ126" s="39"/>
      <c r="RK126" s="39"/>
      <c r="RL126" s="39"/>
      <c r="RM126" s="39"/>
      <c r="RN126" s="39"/>
      <c r="RO126" s="39"/>
      <c r="RP126" s="39"/>
      <c r="RQ126" s="39"/>
      <c r="RR126" s="39"/>
      <c r="RS126" s="39"/>
      <c r="RT126" s="39"/>
      <c r="RU126" s="39"/>
      <c r="RV126" s="39"/>
      <c r="RW126" s="39"/>
      <c r="RX126" s="39"/>
      <c r="RY126" s="39"/>
      <c r="RZ126" s="39"/>
      <c r="SA126" s="39"/>
      <c r="SB126" s="39"/>
      <c r="SC126" s="39"/>
      <c r="SD126" s="39"/>
      <c r="SE126" s="39"/>
      <c r="SF126" s="39"/>
      <c r="SG126" s="39"/>
      <c r="SH126" s="39"/>
      <c r="SI126" s="39"/>
      <c r="SJ126" s="39"/>
      <c r="SK126" s="39"/>
      <c r="SL126" s="39"/>
      <c r="SM126" s="39"/>
      <c r="SN126" s="39"/>
      <c r="SO126" s="39"/>
      <c r="SP126" s="39"/>
      <c r="SQ126" s="39"/>
      <c r="SR126" s="39"/>
      <c r="SS126" s="39"/>
      <c r="ST126" s="39"/>
      <c r="SU126" s="39"/>
      <c r="SV126" s="39"/>
      <c r="SW126" s="39"/>
      <c r="SX126" s="39"/>
      <c r="SY126" s="39"/>
      <c r="SZ126" s="39"/>
      <c r="TA126" s="39"/>
      <c r="TB126" s="39"/>
      <c r="TC126" s="39"/>
      <c r="TD126" s="39"/>
      <c r="TE126" s="39"/>
      <c r="TF126" s="39"/>
      <c r="TG126" s="39"/>
      <c r="TH126" s="39"/>
      <c r="TI126" s="39"/>
    </row>
    <row r="127" spans="1:529" s="23" customFormat="1" ht="48" customHeight="1" x14ac:dyDescent="0.25">
      <c r="A127" s="43" t="s">
        <v>169</v>
      </c>
      <c r="B127" s="44" t="str">
        <f>'дод 4'!A20</f>
        <v>0160</v>
      </c>
      <c r="C127" s="44" t="str">
        <f>'дод 4'!B20</f>
        <v>0111</v>
      </c>
      <c r="D127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27" s="69">
        <f t="shared" ref="E127:E134" si="58">F127+I127</f>
        <v>1905700</v>
      </c>
      <c r="F127" s="69">
        <f>1862800+4400-90500+134000-5000</f>
        <v>1905700</v>
      </c>
      <c r="G127" s="69">
        <f>1461200-74200-4100</f>
        <v>1382900</v>
      </c>
      <c r="H127" s="69">
        <v>17700</v>
      </c>
      <c r="I127" s="69"/>
      <c r="J127" s="69">
        <f>L127+O127</f>
        <v>0</v>
      </c>
      <c r="K127" s="69"/>
      <c r="L127" s="69"/>
      <c r="M127" s="69"/>
      <c r="N127" s="69"/>
      <c r="O127" s="69"/>
      <c r="P127" s="69">
        <f t="shared" ref="P127:P134" si="59">E127+J127</f>
        <v>1905700</v>
      </c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  <c r="IW127" s="26"/>
      <c r="IX127" s="26"/>
      <c r="IY127" s="26"/>
      <c r="IZ127" s="26"/>
      <c r="JA127" s="26"/>
      <c r="JB127" s="26"/>
      <c r="JC127" s="26"/>
      <c r="JD127" s="26"/>
      <c r="JE127" s="26"/>
      <c r="JF127" s="26"/>
      <c r="JG127" s="26"/>
      <c r="JH127" s="26"/>
      <c r="JI127" s="26"/>
      <c r="JJ127" s="26"/>
      <c r="JK127" s="26"/>
      <c r="JL127" s="26"/>
      <c r="JM127" s="26"/>
      <c r="JN127" s="26"/>
      <c r="JO127" s="26"/>
      <c r="JP127" s="26"/>
      <c r="JQ127" s="26"/>
      <c r="JR127" s="26"/>
      <c r="JS127" s="26"/>
      <c r="JT127" s="26"/>
      <c r="JU127" s="26"/>
      <c r="JV127" s="26"/>
      <c r="JW127" s="26"/>
      <c r="JX127" s="26"/>
      <c r="JY127" s="26"/>
      <c r="JZ127" s="26"/>
      <c r="KA127" s="26"/>
      <c r="KB127" s="26"/>
      <c r="KC127" s="26"/>
      <c r="KD127" s="26"/>
      <c r="KE127" s="26"/>
      <c r="KF127" s="26"/>
      <c r="KG127" s="26"/>
      <c r="KH127" s="26"/>
      <c r="KI127" s="26"/>
      <c r="KJ127" s="26"/>
      <c r="KK127" s="26"/>
      <c r="KL127" s="26"/>
      <c r="KM127" s="26"/>
      <c r="KN127" s="26"/>
      <c r="KO127" s="26"/>
      <c r="KP127" s="26"/>
      <c r="KQ127" s="26"/>
      <c r="KR127" s="26"/>
      <c r="KS127" s="26"/>
      <c r="KT127" s="26"/>
      <c r="KU127" s="26"/>
      <c r="KV127" s="26"/>
      <c r="KW127" s="26"/>
      <c r="KX127" s="26"/>
      <c r="KY127" s="26"/>
      <c r="KZ127" s="26"/>
      <c r="LA127" s="26"/>
      <c r="LB127" s="26"/>
      <c r="LC127" s="26"/>
      <c r="LD127" s="26"/>
      <c r="LE127" s="26"/>
      <c r="LF127" s="26"/>
      <c r="LG127" s="26"/>
      <c r="LH127" s="26"/>
      <c r="LI127" s="26"/>
      <c r="LJ127" s="26"/>
      <c r="LK127" s="26"/>
      <c r="LL127" s="26"/>
      <c r="LM127" s="26"/>
      <c r="LN127" s="26"/>
      <c r="LO127" s="26"/>
      <c r="LP127" s="26"/>
      <c r="LQ127" s="26"/>
      <c r="LR127" s="26"/>
      <c r="LS127" s="26"/>
      <c r="LT127" s="26"/>
      <c r="LU127" s="26"/>
      <c r="LV127" s="26"/>
      <c r="LW127" s="26"/>
      <c r="LX127" s="26"/>
      <c r="LY127" s="26"/>
      <c r="LZ127" s="26"/>
      <c r="MA127" s="26"/>
      <c r="MB127" s="26"/>
      <c r="MC127" s="26"/>
      <c r="MD127" s="26"/>
      <c r="ME127" s="26"/>
      <c r="MF127" s="26"/>
      <c r="MG127" s="26"/>
      <c r="MH127" s="26"/>
      <c r="MI127" s="26"/>
      <c r="MJ127" s="26"/>
      <c r="MK127" s="26"/>
      <c r="ML127" s="26"/>
      <c r="MM127" s="26"/>
      <c r="MN127" s="26"/>
      <c r="MO127" s="26"/>
      <c r="MP127" s="26"/>
      <c r="MQ127" s="26"/>
      <c r="MR127" s="26"/>
      <c r="MS127" s="26"/>
      <c r="MT127" s="26"/>
      <c r="MU127" s="26"/>
      <c r="MV127" s="26"/>
      <c r="MW127" s="26"/>
      <c r="MX127" s="26"/>
      <c r="MY127" s="26"/>
      <c r="MZ127" s="26"/>
      <c r="NA127" s="26"/>
      <c r="NB127" s="26"/>
      <c r="NC127" s="26"/>
      <c r="ND127" s="26"/>
      <c r="NE127" s="26"/>
      <c r="NF127" s="26"/>
      <c r="NG127" s="26"/>
      <c r="NH127" s="26"/>
      <c r="NI127" s="26"/>
      <c r="NJ127" s="26"/>
      <c r="NK127" s="26"/>
      <c r="NL127" s="26"/>
      <c r="NM127" s="26"/>
      <c r="NN127" s="26"/>
      <c r="NO127" s="26"/>
      <c r="NP127" s="26"/>
      <c r="NQ127" s="26"/>
      <c r="NR127" s="26"/>
      <c r="NS127" s="26"/>
      <c r="NT127" s="26"/>
      <c r="NU127" s="26"/>
      <c r="NV127" s="26"/>
      <c r="NW127" s="26"/>
      <c r="NX127" s="26"/>
      <c r="NY127" s="26"/>
      <c r="NZ127" s="26"/>
      <c r="OA127" s="26"/>
      <c r="OB127" s="26"/>
      <c r="OC127" s="26"/>
      <c r="OD127" s="26"/>
      <c r="OE127" s="26"/>
      <c r="OF127" s="26"/>
      <c r="OG127" s="26"/>
      <c r="OH127" s="26"/>
      <c r="OI127" s="26"/>
      <c r="OJ127" s="26"/>
      <c r="OK127" s="26"/>
      <c r="OL127" s="26"/>
      <c r="OM127" s="26"/>
      <c r="ON127" s="26"/>
      <c r="OO127" s="26"/>
      <c r="OP127" s="26"/>
      <c r="OQ127" s="26"/>
      <c r="OR127" s="26"/>
      <c r="OS127" s="26"/>
      <c r="OT127" s="26"/>
      <c r="OU127" s="26"/>
      <c r="OV127" s="26"/>
      <c r="OW127" s="26"/>
      <c r="OX127" s="26"/>
      <c r="OY127" s="26"/>
      <c r="OZ127" s="26"/>
      <c r="PA127" s="26"/>
      <c r="PB127" s="26"/>
      <c r="PC127" s="26"/>
      <c r="PD127" s="26"/>
      <c r="PE127" s="26"/>
      <c r="PF127" s="26"/>
      <c r="PG127" s="26"/>
      <c r="PH127" s="26"/>
      <c r="PI127" s="26"/>
      <c r="PJ127" s="26"/>
      <c r="PK127" s="26"/>
      <c r="PL127" s="26"/>
      <c r="PM127" s="26"/>
      <c r="PN127" s="26"/>
      <c r="PO127" s="26"/>
      <c r="PP127" s="26"/>
      <c r="PQ127" s="26"/>
      <c r="PR127" s="26"/>
      <c r="PS127" s="26"/>
      <c r="PT127" s="26"/>
      <c r="PU127" s="26"/>
      <c r="PV127" s="26"/>
      <c r="PW127" s="26"/>
      <c r="PX127" s="26"/>
      <c r="PY127" s="26"/>
      <c r="PZ127" s="26"/>
      <c r="QA127" s="26"/>
      <c r="QB127" s="26"/>
      <c r="QC127" s="26"/>
      <c r="QD127" s="26"/>
      <c r="QE127" s="26"/>
      <c r="QF127" s="26"/>
      <c r="QG127" s="26"/>
      <c r="QH127" s="26"/>
      <c r="QI127" s="26"/>
      <c r="QJ127" s="26"/>
      <c r="QK127" s="26"/>
      <c r="QL127" s="26"/>
      <c r="QM127" s="26"/>
      <c r="QN127" s="26"/>
      <c r="QO127" s="26"/>
      <c r="QP127" s="26"/>
      <c r="QQ127" s="26"/>
      <c r="QR127" s="26"/>
      <c r="QS127" s="26"/>
      <c r="QT127" s="26"/>
      <c r="QU127" s="26"/>
      <c r="QV127" s="26"/>
      <c r="QW127" s="26"/>
      <c r="QX127" s="26"/>
      <c r="QY127" s="26"/>
      <c r="QZ127" s="26"/>
      <c r="RA127" s="26"/>
      <c r="RB127" s="26"/>
      <c r="RC127" s="26"/>
      <c r="RD127" s="26"/>
      <c r="RE127" s="26"/>
      <c r="RF127" s="26"/>
      <c r="RG127" s="26"/>
      <c r="RH127" s="26"/>
      <c r="RI127" s="26"/>
      <c r="RJ127" s="26"/>
      <c r="RK127" s="26"/>
      <c r="RL127" s="26"/>
      <c r="RM127" s="26"/>
      <c r="RN127" s="26"/>
      <c r="RO127" s="26"/>
      <c r="RP127" s="26"/>
      <c r="RQ127" s="26"/>
      <c r="RR127" s="26"/>
      <c r="RS127" s="26"/>
      <c r="RT127" s="26"/>
      <c r="RU127" s="26"/>
      <c r="RV127" s="26"/>
      <c r="RW127" s="26"/>
      <c r="RX127" s="26"/>
      <c r="RY127" s="26"/>
      <c r="RZ127" s="26"/>
      <c r="SA127" s="26"/>
      <c r="SB127" s="26"/>
      <c r="SC127" s="26"/>
      <c r="SD127" s="26"/>
      <c r="SE127" s="26"/>
      <c r="SF127" s="26"/>
      <c r="SG127" s="26"/>
      <c r="SH127" s="26"/>
      <c r="SI127" s="26"/>
      <c r="SJ127" s="26"/>
      <c r="SK127" s="26"/>
      <c r="SL127" s="26"/>
      <c r="SM127" s="26"/>
      <c r="SN127" s="26"/>
      <c r="SO127" s="26"/>
      <c r="SP127" s="26"/>
      <c r="SQ127" s="26"/>
      <c r="SR127" s="26"/>
      <c r="SS127" s="26"/>
      <c r="ST127" s="26"/>
      <c r="SU127" s="26"/>
      <c r="SV127" s="26"/>
      <c r="SW127" s="26"/>
      <c r="SX127" s="26"/>
      <c r="SY127" s="26"/>
      <c r="SZ127" s="26"/>
      <c r="TA127" s="26"/>
      <c r="TB127" s="26"/>
      <c r="TC127" s="26"/>
      <c r="TD127" s="26"/>
      <c r="TE127" s="26"/>
      <c r="TF127" s="26"/>
      <c r="TG127" s="26"/>
      <c r="TH127" s="26"/>
      <c r="TI127" s="26"/>
    </row>
    <row r="128" spans="1:529" s="23" customFormat="1" ht="48.75" customHeight="1" x14ac:dyDescent="0.25">
      <c r="A128" s="43" t="s">
        <v>260</v>
      </c>
      <c r="B128" s="44" t="str">
        <f>'дод 4'!A31</f>
        <v>1100</v>
      </c>
      <c r="C128" s="44" t="str">
        <f>'дод 4'!B31</f>
        <v>0960</v>
      </c>
      <c r="D128" s="24" t="str">
        <f>'дод 4'!C31</f>
        <v>Надання спеціальної освіти мистецькими школами</v>
      </c>
      <c r="E128" s="69">
        <f t="shared" si="58"/>
        <v>39114600</v>
      </c>
      <c r="F128" s="69">
        <f>38963600+75000+63000+13000</f>
        <v>39114600</v>
      </c>
      <c r="G128" s="69">
        <v>30830000</v>
      </c>
      <c r="H128" s="69">
        <v>793600</v>
      </c>
      <c r="I128" s="69"/>
      <c r="J128" s="69">
        <f t="shared" ref="J128:J134" si="60">L128+O128</f>
        <v>3336640</v>
      </c>
      <c r="K128" s="69">
        <f>100000+400000+7000+5000+30000+15000</f>
        <v>557000</v>
      </c>
      <c r="L128" s="69">
        <v>2774920</v>
      </c>
      <c r="M128" s="69">
        <v>2267316</v>
      </c>
      <c r="N128" s="69"/>
      <c r="O128" s="69">
        <f>4720+500000+7000+5000+30000+15000</f>
        <v>561720</v>
      </c>
      <c r="P128" s="69">
        <f t="shared" si="59"/>
        <v>42451240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  <c r="IW128" s="26"/>
      <c r="IX128" s="26"/>
      <c r="IY128" s="26"/>
      <c r="IZ128" s="26"/>
      <c r="JA128" s="26"/>
      <c r="JB128" s="26"/>
      <c r="JC128" s="26"/>
      <c r="JD128" s="26"/>
      <c r="JE128" s="26"/>
      <c r="JF128" s="26"/>
      <c r="JG128" s="26"/>
      <c r="JH128" s="26"/>
      <c r="JI128" s="26"/>
      <c r="JJ128" s="26"/>
      <c r="JK128" s="26"/>
      <c r="JL128" s="26"/>
      <c r="JM128" s="26"/>
      <c r="JN128" s="26"/>
      <c r="JO128" s="26"/>
      <c r="JP128" s="26"/>
      <c r="JQ128" s="26"/>
      <c r="JR128" s="26"/>
      <c r="JS128" s="26"/>
      <c r="JT128" s="26"/>
      <c r="JU128" s="26"/>
      <c r="JV128" s="26"/>
      <c r="JW128" s="26"/>
      <c r="JX128" s="26"/>
      <c r="JY128" s="26"/>
      <c r="JZ128" s="26"/>
      <c r="KA128" s="26"/>
      <c r="KB128" s="26"/>
      <c r="KC128" s="26"/>
      <c r="KD128" s="26"/>
      <c r="KE128" s="26"/>
      <c r="KF128" s="26"/>
      <c r="KG128" s="26"/>
      <c r="KH128" s="26"/>
      <c r="KI128" s="26"/>
      <c r="KJ128" s="26"/>
      <c r="KK128" s="26"/>
      <c r="KL128" s="26"/>
      <c r="KM128" s="26"/>
      <c r="KN128" s="26"/>
      <c r="KO128" s="26"/>
      <c r="KP128" s="26"/>
      <c r="KQ128" s="26"/>
      <c r="KR128" s="26"/>
      <c r="KS128" s="26"/>
      <c r="KT128" s="26"/>
      <c r="KU128" s="26"/>
      <c r="KV128" s="26"/>
      <c r="KW128" s="26"/>
      <c r="KX128" s="26"/>
      <c r="KY128" s="26"/>
      <c r="KZ128" s="26"/>
      <c r="LA128" s="26"/>
      <c r="LB128" s="26"/>
      <c r="LC128" s="26"/>
      <c r="LD128" s="26"/>
      <c r="LE128" s="26"/>
      <c r="LF128" s="26"/>
      <c r="LG128" s="26"/>
      <c r="LH128" s="26"/>
      <c r="LI128" s="26"/>
      <c r="LJ128" s="26"/>
      <c r="LK128" s="26"/>
      <c r="LL128" s="26"/>
      <c r="LM128" s="26"/>
      <c r="LN128" s="26"/>
      <c r="LO128" s="26"/>
      <c r="LP128" s="26"/>
      <c r="LQ128" s="26"/>
      <c r="LR128" s="26"/>
      <c r="LS128" s="26"/>
      <c r="LT128" s="26"/>
      <c r="LU128" s="26"/>
      <c r="LV128" s="26"/>
      <c r="LW128" s="26"/>
      <c r="LX128" s="26"/>
      <c r="LY128" s="26"/>
      <c r="LZ128" s="26"/>
      <c r="MA128" s="26"/>
      <c r="MB128" s="26"/>
      <c r="MC128" s="26"/>
      <c r="MD128" s="26"/>
      <c r="ME128" s="26"/>
      <c r="MF128" s="26"/>
      <c r="MG128" s="26"/>
      <c r="MH128" s="26"/>
      <c r="MI128" s="26"/>
      <c r="MJ128" s="26"/>
      <c r="MK128" s="26"/>
      <c r="ML128" s="26"/>
      <c r="MM128" s="26"/>
      <c r="MN128" s="26"/>
      <c r="MO128" s="26"/>
      <c r="MP128" s="26"/>
      <c r="MQ128" s="26"/>
      <c r="MR128" s="26"/>
      <c r="MS128" s="26"/>
      <c r="MT128" s="26"/>
      <c r="MU128" s="26"/>
      <c r="MV128" s="26"/>
      <c r="MW128" s="26"/>
      <c r="MX128" s="26"/>
      <c r="MY128" s="26"/>
      <c r="MZ128" s="26"/>
      <c r="NA128" s="26"/>
      <c r="NB128" s="26"/>
      <c r="NC128" s="26"/>
      <c r="ND128" s="26"/>
      <c r="NE128" s="26"/>
      <c r="NF128" s="26"/>
      <c r="NG128" s="26"/>
      <c r="NH128" s="26"/>
      <c r="NI128" s="26"/>
      <c r="NJ128" s="26"/>
      <c r="NK128" s="26"/>
      <c r="NL128" s="26"/>
      <c r="NM128" s="26"/>
      <c r="NN128" s="26"/>
      <c r="NO128" s="26"/>
      <c r="NP128" s="26"/>
      <c r="NQ128" s="26"/>
      <c r="NR128" s="26"/>
      <c r="NS128" s="26"/>
      <c r="NT128" s="26"/>
      <c r="NU128" s="26"/>
      <c r="NV128" s="26"/>
      <c r="NW128" s="26"/>
      <c r="NX128" s="26"/>
      <c r="NY128" s="26"/>
      <c r="NZ128" s="26"/>
      <c r="OA128" s="26"/>
      <c r="OB128" s="26"/>
      <c r="OC128" s="26"/>
      <c r="OD128" s="26"/>
      <c r="OE128" s="26"/>
      <c r="OF128" s="26"/>
      <c r="OG128" s="26"/>
      <c r="OH128" s="26"/>
      <c r="OI128" s="26"/>
      <c r="OJ128" s="26"/>
      <c r="OK128" s="26"/>
      <c r="OL128" s="26"/>
      <c r="OM128" s="26"/>
      <c r="ON128" s="26"/>
      <c r="OO128" s="26"/>
      <c r="OP128" s="26"/>
      <c r="OQ128" s="26"/>
      <c r="OR128" s="26"/>
      <c r="OS128" s="26"/>
      <c r="OT128" s="26"/>
      <c r="OU128" s="26"/>
      <c r="OV128" s="26"/>
      <c r="OW128" s="26"/>
      <c r="OX128" s="26"/>
      <c r="OY128" s="26"/>
      <c r="OZ128" s="26"/>
      <c r="PA128" s="26"/>
      <c r="PB128" s="26"/>
      <c r="PC128" s="26"/>
      <c r="PD128" s="26"/>
      <c r="PE128" s="26"/>
      <c r="PF128" s="26"/>
      <c r="PG128" s="26"/>
      <c r="PH128" s="26"/>
      <c r="PI128" s="26"/>
      <c r="PJ128" s="26"/>
      <c r="PK128" s="26"/>
      <c r="PL128" s="26"/>
      <c r="PM128" s="26"/>
      <c r="PN128" s="26"/>
      <c r="PO128" s="26"/>
      <c r="PP128" s="26"/>
      <c r="PQ128" s="26"/>
      <c r="PR128" s="26"/>
      <c r="PS128" s="26"/>
      <c r="PT128" s="26"/>
      <c r="PU128" s="26"/>
      <c r="PV128" s="26"/>
      <c r="PW128" s="26"/>
      <c r="PX128" s="26"/>
      <c r="PY128" s="26"/>
      <c r="PZ128" s="26"/>
      <c r="QA128" s="26"/>
      <c r="QB128" s="26"/>
      <c r="QC128" s="26"/>
      <c r="QD128" s="26"/>
      <c r="QE128" s="26"/>
      <c r="QF128" s="26"/>
      <c r="QG128" s="26"/>
      <c r="QH128" s="26"/>
      <c r="QI128" s="26"/>
      <c r="QJ128" s="26"/>
      <c r="QK128" s="26"/>
      <c r="QL128" s="26"/>
      <c r="QM128" s="26"/>
      <c r="QN128" s="26"/>
      <c r="QO128" s="26"/>
      <c r="QP128" s="26"/>
      <c r="QQ128" s="26"/>
      <c r="QR128" s="26"/>
      <c r="QS128" s="26"/>
      <c r="QT128" s="26"/>
      <c r="QU128" s="26"/>
      <c r="QV128" s="26"/>
      <c r="QW128" s="26"/>
      <c r="QX128" s="26"/>
      <c r="QY128" s="26"/>
      <c r="QZ128" s="26"/>
      <c r="RA128" s="26"/>
      <c r="RB128" s="26"/>
      <c r="RC128" s="26"/>
      <c r="RD128" s="26"/>
      <c r="RE128" s="26"/>
      <c r="RF128" s="26"/>
      <c r="RG128" s="26"/>
      <c r="RH128" s="26"/>
      <c r="RI128" s="26"/>
      <c r="RJ128" s="26"/>
      <c r="RK128" s="26"/>
      <c r="RL128" s="26"/>
      <c r="RM128" s="26"/>
      <c r="RN128" s="26"/>
      <c r="RO128" s="26"/>
      <c r="RP128" s="26"/>
      <c r="RQ128" s="26"/>
      <c r="RR128" s="26"/>
      <c r="RS128" s="26"/>
      <c r="RT128" s="26"/>
      <c r="RU128" s="26"/>
      <c r="RV128" s="26"/>
      <c r="RW128" s="26"/>
      <c r="RX128" s="26"/>
      <c r="RY128" s="26"/>
      <c r="RZ128" s="26"/>
      <c r="SA128" s="26"/>
      <c r="SB128" s="26"/>
      <c r="SC128" s="26"/>
      <c r="SD128" s="26"/>
      <c r="SE128" s="26"/>
      <c r="SF128" s="26"/>
      <c r="SG128" s="26"/>
      <c r="SH128" s="26"/>
      <c r="SI128" s="26"/>
      <c r="SJ128" s="26"/>
      <c r="SK128" s="26"/>
      <c r="SL128" s="26"/>
      <c r="SM128" s="26"/>
      <c r="SN128" s="26"/>
      <c r="SO128" s="26"/>
      <c r="SP128" s="26"/>
      <c r="SQ128" s="26"/>
      <c r="SR128" s="26"/>
      <c r="SS128" s="26"/>
      <c r="ST128" s="26"/>
      <c r="SU128" s="26"/>
      <c r="SV128" s="26"/>
      <c r="SW128" s="26"/>
      <c r="SX128" s="26"/>
      <c r="SY128" s="26"/>
      <c r="SZ128" s="26"/>
      <c r="TA128" s="26"/>
      <c r="TB128" s="26"/>
      <c r="TC128" s="26"/>
      <c r="TD128" s="26"/>
      <c r="TE128" s="26"/>
      <c r="TF128" s="26"/>
      <c r="TG128" s="26"/>
      <c r="TH128" s="26"/>
      <c r="TI128" s="26"/>
    </row>
    <row r="129" spans="1:529" s="23" customFormat="1" ht="21" customHeight="1" x14ac:dyDescent="0.25">
      <c r="A129" s="43" t="s">
        <v>230</v>
      </c>
      <c r="B129" s="44" t="str">
        <f>'дод 4'!A78</f>
        <v>4030</v>
      </c>
      <c r="C129" s="44" t="str">
        <f>'дод 4'!B78</f>
        <v>0824</v>
      </c>
      <c r="D129" s="24" t="str">
        <f>'дод 4'!C78</f>
        <v>Забезпечення діяльності бібліотек</v>
      </c>
      <c r="E129" s="69">
        <f t="shared" si="58"/>
        <v>19303085</v>
      </c>
      <c r="F129" s="69">
        <f>19098200+20000+169535+7000+8350</f>
        <v>19303085</v>
      </c>
      <c r="G129" s="69">
        <v>13804000</v>
      </c>
      <c r="H129" s="69">
        <v>1346200</v>
      </c>
      <c r="I129" s="69"/>
      <c r="J129" s="69">
        <f t="shared" si="60"/>
        <v>346795</v>
      </c>
      <c r="K129" s="69">
        <f>100000+216795</f>
        <v>316795</v>
      </c>
      <c r="L129" s="69">
        <v>30000</v>
      </c>
      <c r="M129" s="69">
        <v>12100</v>
      </c>
      <c r="N129" s="69"/>
      <c r="O129" s="69">
        <f>100000+216795</f>
        <v>316795</v>
      </c>
      <c r="P129" s="69">
        <f t="shared" si="59"/>
        <v>19649880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  <c r="IW129" s="26"/>
      <c r="IX129" s="26"/>
      <c r="IY129" s="26"/>
      <c r="IZ129" s="26"/>
      <c r="JA129" s="26"/>
      <c r="JB129" s="26"/>
      <c r="JC129" s="26"/>
      <c r="JD129" s="26"/>
      <c r="JE129" s="26"/>
      <c r="JF129" s="26"/>
      <c r="JG129" s="26"/>
      <c r="JH129" s="26"/>
      <c r="JI129" s="26"/>
      <c r="JJ129" s="26"/>
      <c r="JK129" s="26"/>
      <c r="JL129" s="26"/>
      <c r="JM129" s="26"/>
      <c r="JN129" s="26"/>
      <c r="JO129" s="26"/>
      <c r="JP129" s="26"/>
      <c r="JQ129" s="26"/>
      <c r="JR129" s="26"/>
      <c r="JS129" s="26"/>
      <c r="JT129" s="26"/>
      <c r="JU129" s="26"/>
      <c r="JV129" s="26"/>
      <c r="JW129" s="26"/>
      <c r="JX129" s="26"/>
      <c r="JY129" s="26"/>
      <c r="JZ129" s="26"/>
      <c r="KA129" s="26"/>
      <c r="KB129" s="26"/>
      <c r="KC129" s="26"/>
      <c r="KD129" s="26"/>
      <c r="KE129" s="26"/>
      <c r="KF129" s="26"/>
      <c r="KG129" s="26"/>
      <c r="KH129" s="26"/>
      <c r="KI129" s="26"/>
      <c r="KJ129" s="26"/>
      <c r="KK129" s="26"/>
      <c r="KL129" s="26"/>
      <c r="KM129" s="26"/>
      <c r="KN129" s="26"/>
      <c r="KO129" s="26"/>
      <c r="KP129" s="26"/>
      <c r="KQ129" s="26"/>
      <c r="KR129" s="26"/>
      <c r="KS129" s="26"/>
      <c r="KT129" s="26"/>
      <c r="KU129" s="26"/>
      <c r="KV129" s="26"/>
      <c r="KW129" s="26"/>
      <c r="KX129" s="26"/>
      <c r="KY129" s="26"/>
      <c r="KZ129" s="26"/>
      <c r="LA129" s="26"/>
      <c r="LB129" s="26"/>
      <c r="LC129" s="26"/>
      <c r="LD129" s="26"/>
      <c r="LE129" s="26"/>
      <c r="LF129" s="26"/>
      <c r="LG129" s="26"/>
      <c r="LH129" s="26"/>
      <c r="LI129" s="26"/>
      <c r="LJ129" s="26"/>
      <c r="LK129" s="26"/>
      <c r="LL129" s="26"/>
      <c r="LM129" s="26"/>
      <c r="LN129" s="26"/>
      <c r="LO129" s="26"/>
      <c r="LP129" s="26"/>
      <c r="LQ129" s="26"/>
      <c r="LR129" s="26"/>
      <c r="LS129" s="26"/>
      <c r="LT129" s="26"/>
      <c r="LU129" s="26"/>
      <c r="LV129" s="26"/>
      <c r="LW129" s="26"/>
      <c r="LX129" s="26"/>
      <c r="LY129" s="26"/>
      <c r="LZ129" s="26"/>
      <c r="MA129" s="26"/>
      <c r="MB129" s="26"/>
      <c r="MC129" s="26"/>
      <c r="MD129" s="26"/>
      <c r="ME129" s="26"/>
      <c r="MF129" s="26"/>
      <c r="MG129" s="26"/>
      <c r="MH129" s="26"/>
      <c r="MI129" s="26"/>
      <c r="MJ129" s="26"/>
      <c r="MK129" s="26"/>
      <c r="ML129" s="26"/>
      <c r="MM129" s="26"/>
      <c r="MN129" s="26"/>
      <c r="MO129" s="26"/>
      <c r="MP129" s="26"/>
      <c r="MQ129" s="26"/>
      <c r="MR129" s="26"/>
      <c r="MS129" s="26"/>
      <c r="MT129" s="26"/>
      <c r="MU129" s="26"/>
      <c r="MV129" s="26"/>
      <c r="MW129" s="26"/>
      <c r="MX129" s="26"/>
      <c r="MY129" s="26"/>
      <c r="MZ129" s="26"/>
      <c r="NA129" s="26"/>
      <c r="NB129" s="26"/>
      <c r="NC129" s="26"/>
      <c r="ND129" s="26"/>
      <c r="NE129" s="26"/>
      <c r="NF129" s="26"/>
      <c r="NG129" s="26"/>
      <c r="NH129" s="26"/>
      <c r="NI129" s="26"/>
      <c r="NJ129" s="26"/>
      <c r="NK129" s="26"/>
      <c r="NL129" s="26"/>
      <c r="NM129" s="26"/>
      <c r="NN129" s="26"/>
      <c r="NO129" s="26"/>
      <c r="NP129" s="26"/>
      <c r="NQ129" s="26"/>
      <c r="NR129" s="26"/>
      <c r="NS129" s="26"/>
      <c r="NT129" s="26"/>
      <c r="NU129" s="26"/>
      <c r="NV129" s="26"/>
      <c r="NW129" s="26"/>
      <c r="NX129" s="26"/>
      <c r="NY129" s="26"/>
      <c r="NZ129" s="26"/>
      <c r="OA129" s="26"/>
      <c r="OB129" s="26"/>
      <c r="OC129" s="26"/>
      <c r="OD129" s="26"/>
      <c r="OE129" s="26"/>
      <c r="OF129" s="26"/>
      <c r="OG129" s="26"/>
      <c r="OH129" s="26"/>
      <c r="OI129" s="26"/>
      <c r="OJ129" s="26"/>
      <c r="OK129" s="26"/>
      <c r="OL129" s="26"/>
      <c r="OM129" s="26"/>
      <c r="ON129" s="26"/>
      <c r="OO129" s="26"/>
      <c r="OP129" s="26"/>
      <c r="OQ129" s="26"/>
      <c r="OR129" s="26"/>
      <c r="OS129" s="26"/>
      <c r="OT129" s="26"/>
      <c r="OU129" s="26"/>
      <c r="OV129" s="26"/>
      <c r="OW129" s="26"/>
      <c r="OX129" s="26"/>
      <c r="OY129" s="26"/>
      <c r="OZ129" s="26"/>
      <c r="PA129" s="26"/>
      <c r="PB129" s="26"/>
      <c r="PC129" s="26"/>
      <c r="PD129" s="26"/>
      <c r="PE129" s="26"/>
      <c r="PF129" s="26"/>
      <c r="PG129" s="26"/>
      <c r="PH129" s="26"/>
      <c r="PI129" s="26"/>
      <c r="PJ129" s="26"/>
      <c r="PK129" s="26"/>
      <c r="PL129" s="26"/>
      <c r="PM129" s="26"/>
      <c r="PN129" s="26"/>
      <c r="PO129" s="26"/>
      <c r="PP129" s="26"/>
      <c r="PQ129" s="26"/>
      <c r="PR129" s="26"/>
      <c r="PS129" s="26"/>
      <c r="PT129" s="26"/>
      <c r="PU129" s="26"/>
      <c r="PV129" s="26"/>
      <c r="PW129" s="26"/>
      <c r="PX129" s="26"/>
      <c r="PY129" s="26"/>
      <c r="PZ129" s="26"/>
      <c r="QA129" s="26"/>
      <c r="QB129" s="26"/>
      <c r="QC129" s="26"/>
      <c r="QD129" s="26"/>
      <c r="QE129" s="26"/>
      <c r="QF129" s="26"/>
      <c r="QG129" s="26"/>
      <c r="QH129" s="26"/>
      <c r="QI129" s="26"/>
      <c r="QJ129" s="26"/>
      <c r="QK129" s="26"/>
      <c r="QL129" s="26"/>
      <c r="QM129" s="26"/>
      <c r="QN129" s="26"/>
      <c r="QO129" s="26"/>
      <c r="QP129" s="26"/>
      <c r="QQ129" s="26"/>
      <c r="QR129" s="26"/>
      <c r="QS129" s="26"/>
      <c r="QT129" s="26"/>
      <c r="QU129" s="26"/>
      <c r="QV129" s="26"/>
      <c r="QW129" s="26"/>
      <c r="QX129" s="26"/>
      <c r="QY129" s="26"/>
      <c r="QZ129" s="26"/>
      <c r="RA129" s="26"/>
      <c r="RB129" s="26"/>
      <c r="RC129" s="26"/>
      <c r="RD129" s="26"/>
      <c r="RE129" s="26"/>
      <c r="RF129" s="26"/>
      <c r="RG129" s="26"/>
      <c r="RH129" s="26"/>
      <c r="RI129" s="26"/>
      <c r="RJ129" s="26"/>
      <c r="RK129" s="26"/>
      <c r="RL129" s="26"/>
      <c r="RM129" s="26"/>
      <c r="RN129" s="26"/>
      <c r="RO129" s="26"/>
      <c r="RP129" s="26"/>
      <c r="RQ129" s="26"/>
      <c r="RR129" s="26"/>
      <c r="RS129" s="26"/>
      <c r="RT129" s="26"/>
      <c r="RU129" s="26"/>
      <c r="RV129" s="26"/>
      <c r="RW129" s="26"/>
      <c r="RX129" s="26"/>
      <c r="RY129" s="26"/>
      <c r="RZ129" s="26"/>
      <c r="SA129" s="26"/>
      <c r="SB129" s="26"/>
      <c r="SC129" s="26"/>
      <c r="SD129" s="26"/>
      <c r="SE129" s="26"/>
      <c r="SF129" s="26"/>
      <c r="SG129" s="26"/>
      <c r="SH129" s="26"/>
      <c r="SI129" s="26"/>
      <c r="SJ129" s="26"/>
      <c r="SK129" s="26"/>
      <c r="SL129" s="26"/>
      <c r="SM129" s="26"/>
      <c r="SN129" s="26"/>
      <c r="SO129" s="26"/>
      <c r="SP129" s="26"/>
      <c r="SQ129" s="26"/>
      <c r="SR129" s="26"/>
      <c r="SS129" s="26"/>
      <c r="ST129" s="26"/>
      <c r="SU129" s="26"/>
      <c r="SV129" s="26"/>
      <c r="SW129" s="26"/>
      <c r="SX129" s="26"/>
      <c r="SY129" s="26"/>
      <c r="SZ129" s="26"/>
      <c r="TA129" s="26"/>
      <c r="TB129" s="26"/>
      <c r="TC129" s="26"/>
      <c r="TD129" s="26"/>
      <c r="TE129" s="26"/>
      <c r="TF129" s="26"/>
      <c r="TG129" s="26"/>
      <c r="TH129" s="26"/>
      <c r="TI129" s="26"/>
    </row>
    <row r="130" spans="1:529" s="23" customFormat="1" ht="27.75" customHeight="1" x14ac:dyDescent="0.25">
      <c r="A130" s="43">
        <v>1014060</v>
      </c>
      <c r="B130" s="44" t="str">
        <f>'дод 4'!A79</f>
        <v>4060</v>
      </c>
      <c r="C130" s="44" t="str">
        <f>'дод 4'!B79</f>
        <v>0828</v>
      </c>
      <c r="D130" s="24" t="str">
        <f>'дод 4'!C79</f>
        <v>Забезпечення діяльності палаців i будинків культури, клубів, центрів дозвілля та iнших клубних закладів</v>
      </c>
      <c r="E130" s="69">
        <f t="shared" si="58"/>
        <v>628280</v>
      </c>
      <c r="F130" s="69">
        <f>546680+61800+19800</f>
        <v>628280</v>
      </c>
      <c r="G130" s="69">
        <v>424400</v>
      </c>
      <c r="H130" s="69">
        <v>11360</v>
      </c>
      <c r="I130" s="69"/>
      <c r="J130" s="69">
        <f t="shared" si="60"/>
        <v>27200</v>
      </c>
      <c r="K130" s="69">
        <v>21200</v>
      </c>
      <c r="L130" s="69">
        <v>6000</v>
      </c>
      <c r="M130" s="69"/>
      <c r="N130" s="69">
        <v>3300</v>
      </c>
      <c r="O130" s="69">
        <v>21200</v>
      </c>
      <c r="P130" s="69">
        <f t="shared" si="59"/>
        <v>655480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  <c r="IW130" s="26"/>
      <c r="IX130" s="26"/>
      <c r="IY130" s="26"/>
      <c r="IZ130" s="26"/>
      <c r="JA130" s="26"/>
      <c r="JB130" s="26"/>
      <c r="JC130" s="26"/>
      <c r="JD130" s="26"/>
      <c r="JE130" s="26"/>
      <c r="JF130" s="26"/>
      <c r="JG130" s="26"/>
      <c r="JH130" s="26"/>
      <c r="JI130" s="26"/>
      <c r="JJ130" s="26"/>
      <c r="JK130" s="26"/>
      <c r="JL130" s="26"/>
      <c r="JM130" s="26"/>
      <c r="JN130" s="26"/>
      <c r="JO130" s="26"/>
      <c r="JP130" s="26"/>
      <c r="JQ130" s="26"/>
      <c r="JR130" s="26"/>
      <c r="JS130" s="26"/>
      <c r="JT130" s="26"/>
      <c r="JU130" s="26"/>
      <c r="JV130" s="26"/>
      <c r="JW130" s="26"/>
      <c r="JX130" s="26"/>
      <c r="JY130" s="26"/>
      <c r="JZ130" s="26"/>
      <c r="KA130" s="26"/>
      <c r="KB130" s="26"/>
      <c r="KC130" s="26"/>
      <c r="KD130" s="26"/>
      <c r="KE130" s="26"/>
      <c r="KF130" s="26"/>
      <c r="KG130" s="26"/>
      <c r="KH130" s="26"/>
      <c r="KI130" s="26"/>
      <c r="KJ130" s="26"/>
      <c r="KK130" s="26"/>
      <c r="KL130" s="26"/>
      <c r="KM130" s="26"/>
      <c r="KN130" s="26"/>
      <c r="KO130" s="26"/>
      <c r="KP130" s="26"/>
      <c r="KQ130" s="26"/>
      <c r="KR130" s="26"/>
      <c r="KS130" s="26"/>
      <c r="KT130" s="26"/>
      <c r="KU130" s="26"/>
      <c r="KV130" s="26"/>
      <c r="KW130" s="26"/>
      <c r="KX130" s="26"/>
      <c r="KY130" s="26"/>
      <c r="KZ130" s="26"/>
      <c r="LA130" s="26"/>
      <c r="LB130" s="26"/>
      <c r="LC130" s="26"/>
      <c r="LD130" s="26"/>
      <c r="LE130" s="26"/>
      <c r="LF130" s="26"/>
      <c r="LG130" s="26"/>
      <c r="LH130" s="26"/>
      <c r="LI130" s="26"/>
      <c r="LJ130" s="26"/>
      <c r="LK130" s="26"/>
      <c r="LL130" s="26"/>
      <c r="LM130" s="26"/>
      <c r="LN130" s="26"/>
      <c r="LO130" s="26"/>
      <c r="LP130" s="26"/>
      <c r="LQ130" s="26"/>
      <c r="LR130" s="26"/>
      <c r="LS130" s="26"/>
      <c r="LT130" s="26"/>
      <c r="LU130" s="26"/>
      <c r="LV130" s="26"/>
      <c r="LW130" s="26"/>
      <c r="LX130" s="26"/>
      <c r="LY130" s="26"/>
      <c r="LZ130" s="26"/>
      <c r="MA130" s="26"/>
      <c r="MB130" s="26"/>
      <c r="MC130" s="26"/>
      <c r="MD130" s="26"/>
      <c r="ME130" s="26"/>
      <c r="MF130" s="26"/>
      <c r="MG130" s="26"/>
      <c r="MH130" s="26"/>
      <c r="MI130" s="26"/>
      <c r="MJ130" s="26"/>
      <c r="MK130" s="26"/>
      <c r="ML130" s="26"/>
      <c r="MM130" s="26"/>
      <c r="MN130" s="26"/>
      <c r="MO130" s="26"/>
      <c r="MP130" s="26"/>
      <c r="MQ130" s="26"/>
      <c r="MR130" s="26"/>
      <c r="MS130" s="26"/>
      <c r="MT130" s="26"/>
      <c r="MU130" s="26"/>
      <c r="MV130" s="26"/>
      <c r="MW130" s="26"/>
      <c r="MX130" s="26"/>
      <c r="MY130" s="26"/>
      <c r="MZ130" s="26"/>
      <c r="NA130" s="26"/>
      <c r="NB130" s="26"/>
      <c r="NC130" s="26"/>
      <c r="ND130" s="26"/>
      <c r="NE130" s="26"/>
      <c r="NF130" s="26"/>
      <c r="NG130" s="26"/>
      <c r="NH130" s="26"/>
      <c r="NI130" s="26"/>
      <c r="NJ130" s="26"/>
      <c r="NK130" s="26"/>
      <c r="NL130" s="26"/>
      <c r="NM130" s="26"/>
      <c r="NN130" s="26"/>
      <c r="NO130" s="26"/>
      <c r="NP130" s="26"/>
      <c r="NQ130" s="26"/>
      <c r="NR130" s="26"/>
      <c r="NS130" s="26"/>
      <c r="NT130" s="26"/>
      <c r="NU130" s="26"/>
      <c r="NV130" s="26"/>
      <c r="NW130" s="26"/>
      <c r="NX130" s="26"/>
      <c r="NY130" s="26"/>
      <c r="NZ130" s="26"/>
      <c r="OA130" s="26"/>
      <c r="OB130" s="26"/>
      <c r="OC130" s="26"/>
      <c r="OD130" s="26"/>
      <c r="OE130" s="26"/>
      <c r="OF130" s="26"/>
      <c r="OG130" s="26"/>
      <c r="OH130" s="26"/>
      <c r="OI130" s="26"/>
      <c r="OJ130" s="26"/>
      <c r="OK130" s="26"/>
      <c r="OL130" s="26"/>
      <c r="OM130" s="26"/>
      <c r="ON130" s="26"/>
      <c r="OO130" s="26"/>
      <c r="OP130" s="26"/>
      <c r="OQ130" s="26"/>
      <c r="OR130" s="26"/>
      <c r="OS130" s="26"/>
      <c r="OT130" s="26"/>
      <c r="OU130" s="26"/>
      <c r="OV130" s="26"/>
      <c r="OW130" s="26"/>
      <c r="OX130" s="26"/>
      <c r="OY130" s="26"/>
      <c r="OZ130" s="26"/>
      <c r="PA130" s="26"/>
      <c r="PB130" s="26"/>
      <c r="PC130" s="26"/>
      <c r="PD130" s="26"/>
      <c r="PE130" s="26"/>
      <c r="PF130" s="26"/>
      <c r="PG130" s="26"/>
      <c r="PH130" s="26"/>
      <c r="PI130" s="26"/>
      <c r="PJ130" s="26"/>
      <c r="PK130" s="26"/>
      <c r="PL130" s="26"/>
      <c r="PM130" s="26"/>
      <c r="PN130" s="26"/>
      <c r="PO130" s="26"/>
      <c r="PP130" s="26"/>
      <c r="PQ130" s="26"/>
      <c r="PR130" s="26"/>
      <c r="PS130" s="26"/>
      <c r="PT130" s="26"/>
      <c r="PU130" s="26"/>
      <c r="PV130" s="26"/>
      <c r="PW130" s="26"/>
      <c r="PX130" s="26"/>
      <c r="PY130" s="26"/>
      <c r="PZ130" s="26"/>
      <c r="QA130" s="26"/>
      <c r="QB130" s="26"/>
      <c r="QC130" s="26"/>
      <c r="QD130" s="26"/>
      <c r="QE130" s="26"/>
      <c r="QF130" s="26"/>
      <c r="QG130" s="26"/>
      <c r="QH130" s="26"/>
      <c r="QI130" s="26"/>
      <c r="QJ130" s="26"/>
      <c r="QK130" s="26"/>
      <c r="QL130" s="26"/>
      <c r="QM130" s="26"/>
      <c r="QN130" s="26"/>
      <c r="QO130" s="26"/>
      <c r="QP130" s="26"/>
      <c r="QQ130" s="26"/>
      <c r="QR130" s="26"/>
      <c r="QS130" s="26"/>
      <c r="QT130" s="26"/>
      <c r="QU130" s="26"/>
      <c r="QV130" s="26"/>
      <c r="QW130" s="26"/>
      <c r="QX130" s="26"/>
      <c r="QY130" s="26"/>
      <c r="QZ130" s="26"/>
      <c r="RA130" s="26"/>
      <c r="RB130" s="26"/>
      <c r="RC130" s="26"/>
      <c r="RD130" s="26"/>
      <c r="RE130" s="26"/>
      <c r="RF130" s="26"/>
      <c r="RG130" s="26"/>
      <c r="RH130" s="26"/>
      <c r="RI130" s="26"/>
      <c r="RJ130" s="26"/>
      <c r="RK130" s="26"/>
      <c r="RL130" s="26"/>
      <c r="RM130" s="26"/>
      <c r="RN130" s="26"/>
      <c r="RO130" s="26"/>
      <c r="RP130" s="26"/>
      <c r="RQ130" s="26"/>
      <c r="RR130" s="26"/>
      <c r="RS130" s="26"/>
      <c r="RT130" s="26"/>
      <c r="RU130" s="26"/>
      <c r="RV130" s="26"/>
      <c r="RW130" s="26"/>
      <c r="RX130" s="26"/>
      <c r="RY130" s="26"/>
      <c r="RZ130" s="26"/>
      <c r="SA130" s="26"/>
      <c r="SB130" s="26"/>
      <c r="SC130" s="26"/>
      <c r="SD130" s="26"/>
      <c r="SE130" s="26"/>
      <c r="SF130" s="26"/>
      <c r="SG130" s="26"/>
      <c r="SH130" s="26"/>
      <c r="SI130" s="26"/>
      <c r="SJ130" s="26"/>
      <c r="SK130" s="26"/>
      <c r="SL130" s="26"/>
      <c r="SM130" s="26"/>
      <c r="SN130" s="26"/>
      <c r="SO130" s="26"/>
      <c r="SP130" s="26"/>
      <c r="SQ130" s="26"/>
      <c r="SR130" s="26"/>
      <c r="SS130" s="26"/>
      <c r="ST130" s="26"/>
      <c r="SU130" s="26"/>
      <c r="SV130" s="26"/>
      <c r="SW130" s="26"/>
      <c r="SX130" s="26"/>
      <c r="SY130" s="26"/>
      <c r="SZ130" s="26"/>
      <c r="TA130" s="26"/>
      <c r="TB130" s="26"/>
      <c r="TC130" s="26"/>
      <c r="TD130" s="26"/>
      <c r="TE130" s="26"/>
      <c r="TF130" s="26"/>
      <c r="TG130" s="26"/>
      <c r="TH130" s="26"/>
      <c r="TI130" s="26"/>
    </row>
    <row r="131" spans="1:529" s="27" customFormat="1" ht="33.75" customHeight="1" x14ac:dyDescent="0.25">
      <c r="A131" s="43">
        <v>1014081</v>
      </c>
      <c r="B131" s="44" t="str">
        <f>'дод 4'!A80</f>
        <v>4081</v>
      </c>
      <c r="C131" s="44" t="str">
        <f>'дод 4'!B80</f>
        <v>0829</v>
      </c>
      <c r="D131" s="24" t="str">
        <f>'дод 4'!C80</f>
        <v>Забезпечення діяльності інших закладів в галузі культури і мистецтва</v>
      </c>
      <c r="E131" s="69">
        <f t="shared" si="58"/>
        <v>1803000</v>
      </c>
      <c r="F131" s="69">
        <v>1803000</v>
      </c>
      <c r="G131" s="69">
        <v>1364000</v>
      </c>
      <c r="H131" s="69">
        <v>32900</v>
      </c>
      <c r="I131" s="69"/>
      <c r="J131" s="69">
        <f t="shared" si="60"/>
        <v>0</v>
      </c>
      <c r="K131" s="69"/>
      <c r="L131" s="69"/>
      <c r="M131" s="69"/>
      <c r="N131" s="69"/>
      <c r="O131" s="69"/>
      <c r="P131" s="69">
        <f t="shared" si="59"/>
        <v>1803000</v>
      </c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36"/>
      <c r="IR131" s="36"/>
      <c r="IS131" s="36"/>
      <c r="IT131" s="36"/>
      <c r="IU131" s="36"/>
      <c r="IV131" s="36"/>
      <c r="IW131" s="36"/>
      <c r="IX131" s="36"/>
      <c r="IY131" s="36"/>
      <c r="IZ131" s="36"/>
      <c r="JA131" s="36"/>
      <c r="JB131" s="36"/>
      <c r="JC131" s="36"/>
      <c r="JD131" s="36"/>
      <c r="JE131" s="36"/>
      <c r="JF131" s="36"/>
      <c r="JG131" s="36"/>
      <c r="JH131" s="36"/>
      <c r="JI131" s="36"/>
      <c r="JJ131" s="36"/>
      <c r="JK131" s="36"/>
      <c r="JL131" s="36"/>
      <c r="JM131" s="36"/>
      <c r="JN131" s="36"/>
      <c r="JO131" s="36"/>
      <c r="JP131" s="36"/>
      <c r="JQ131" s="36"/>
      <c r="JR131" s="36"/>
      <c r="JS131" s="36"/>
      <c r="JT131" s="36"/>
      <c r="JU131" s="36"/>
      <c r="JV131" s="36"/>
      <c r="JW131" s="36"/>
      <c r="JX131" s="36"/>
      <c r="JY131" s="36"/>
      <c r="JZ131" s="36"/>
      <c r="KA131" s="36"/>
      <c r="KB131" s="36"/>
      <c r="KC131" s="36"/>
      <c r="KD131" s="36"/>
      <c r="KE131" s="36"/>
      <c r="KF131" s="36"/>
      <c r="KG131" s="36"/>
      <c r="KH131" s="36"/>
      <c r="KI131" s="36"/>
      <c r="KJ131" s="36"/>
      <c r="KK131" s="36"/>
      <c r="KL131" s="36"/>
      <c r="KM131" s="36"/>
      <c r="KN131" s="36"/>
      <c r="KO131" s="36"/>
      <c r="KP131" s="36"/>
      <c r="KQ131" s="36"/>
      <c r="KR131" s="36"/>
      <c r="KS131" s="36"/>
      <c r="KT131" s="36"/>
      <c r="KU131" s="36"/>
      <c r="KV131" s="36"/>
      <c r="KW131" s="36"/>
      <c r="KX131" s="36"/>
      <c r="KY131" s="36"/>
      <c r="KZ131" s="36"/>
      <c r="LA131" s="36"/>
      <c r="LB131" s="36"/>
      <c r="LC131" s="36"/>
      <c r="LD131" s="36"/>
      <c r="LE131" s="36"/>
      <c r="LF131" s="36"/>
      <c r="LG131" s="36"/>
      <c r="LH131" s="36"/>
      <c r="LI131" s="36"/>
      <c r="LJ131" s="36"/>
      <c r="LK131" s="36"/>
      <c r="LL131" s="36"/>
      <c r="LM131" s="36"/>
      <c r="LN131" s="36"/>
      <c r="LO131" s="36"/>
      <c r="LP131" s="36"/>
      <c r="LQ131" s="36"/>
      <c r="LR131" s="36"/>
      <c r="LS131" s="36"/>
      <c r="LT131" s="36"/>
      <c r="LU131" s="36"/>
      <c r="LV131" s="36"/>
      <c r="LW131" s="36"/>
      <c r="LX131" s="36"/>
      <c r="LY131" s="36"/>
      <c r="LZ131" s="36"/>
      <c r="MA131" s="36"/>
      <c r="MB131" s="36"/>
      <c r="MC131" s="36"/>
      <c r="MD131" s="36"/>
      <c r="ME131" s="36"/>
      <c r="MF131" s="36"/>
      <c r="MG131" s="36"/>
      <c r="MH131" s="36"/>
      <c r="MI131" s="36"/>
      <c r="MJ131" s="36"/>
      <c r="MK131" s="36"/>
      <c r="ML131" s="36"/>
      <c r="MM131" s="36"/>
      <c r="MN131" s="36"/>
      <c r="MO131" s="36"/>
      <c r="MP131" s="36"/>
      <c r="MQ131" s="36"/>
      <c r="MR131" s="36"/>
      <c r="MS131" s="36"/>
      <c r="MT131" s="36"/>
      <c r="MU131" s="36"/>
      <c r="MV131" s="36"/>
      <c r="MW131" s="36"/>
      <c r="MX131" s="36"/>
      <c r="MY131" s="36"/>
      <c r="MZ131" s="36"/>
      <c r="NA131" s="36"/>
      <c r="NB131" s="36"/>
      <c r="NC131" s="36"/>
      <c r="ND131" s="36"/>
      <c r="NE131" s="36"/>
      <c r="NF131" s="36"/>
      <c r="NG131" s="36"/>
      <c r="NH131" s="36"/>
      <c r="NI131" s="36"/>
      <c r="NJ131" s="36"/>
      <c r="NK131" s="36"/>
      <c r="NL131" s="36"/>
      <c r="NM131" s="36"/>
      <c r="NN131" s="36"/>
      <c r="NO131" s="36"/>
      <c r="NP131" s="36"/>
      <c r="NQ131" s="36"/>
      <c r="NR131" s="36"/>
      <c r="NS131" s="36"/>
      <c r="NT131" s="36"/>
      <c r="NU131" s="36"/>
      <c r="NV131" s="36"/>
      <c r="NW131" s="36"/>
      <c r="NX131" s="36"/>
      <c r="NY131" s="36"/>
      <c r="NZ131" s="36"/>
      <c r="OA131" s="36"/>
      <c r="OB131" s="36"/>
      <c r="OC131" s="36"/>
      <c r="OD131" s="36"/>
      <c r="OE131" s="36"/>
      <c r="OF131" s="36"/>
      <c r="OG131" s="36"/>
      <c r="OH131" s="36"/>
      <c r="OI131" s="36"/>
      <c r="OJ131" s="36"/>
      <c r="OK131" s="36"/>
      <c r="OL131" s="36"/>
      <c r="OM131" s="36"/>
      <c r="ON131" s="36"/>
      <c r="OO131" s="36"/>
      <c r="OP131" s="36"/>
      <c r="OQ131" s="36"/>
      <c r="OR131" s="36"/>
      <c r="OS131" s="36"/>
      <c r="OT131" s="36"/>
      <c r="OU131" s="36"/>
      <c r="OV131" s="36"/>
      <c r="OW131" s="36"/>
      <c r="OX131" s="36"/>
      <c r="OY131" s="36"/>
      <c r="OZ131" s="36"/>
      <c r="PA131" s="36"/>
      <c r="PB131" s="36"/>
      <c r="PC131" s="36"/>
      <c r="PD131" s="36"/>
      <c r="PE131" s="36"/>
      <c r="PF131" s="36"/>
      <c r="PG131" s="36"/>
      <c r="PH131" s="36"/>
      <c r="PI131" s="36"/>
      <c r="PJ131" s="36"/>
      <c r="PK131" s="36"/>
      <c r="PL131" s="36"/>
      <c r="PM131" s="36"/>
      <c r="PN131" s="36"/>
      <c r="PO131" s="36"/>
      <c r="PP131" s="36"/>
      <c r="PQ131" s="36"/>
      <c r="PR131" s="36"/>
      <c r="PS131" s="36"/>
      <c r="PT131" s="36"/>
      <c r="PU131" s="36"/>
      <c r="PV131" s="36"/>
      <c r="PW131" s="36"/>
      <c r="PX131" s="36"/>
      <c r="PY131" s="36"/>
      <c r="PZ131" s="36"/>
      <c r="QA131" s="36"/>
      <c r="QB131" s="36"/>
      <c r="QC131" s="36"/>
      <c r="QD131" s="36"/>
      <c r="QE131" s="36"/>
      <c r="QF131" s="36"/>
      <c r="QG131" s="36"/>
      <c r="QH131" s="36"/>
      <c r="QI131" s="36"/>
      <c r="QJ131" s="36"/>
      <c r="QK131" s="36"/>
      <c r="QL131" s="36"/>
      <c r="QM131" s="36"/>
      <c r="QN131" s="36"/>
      <c r="QO131" s="36"/>
      <c r="QP131" s="36"/>
      <c r="QQ131" s="36"/>
      <c r="QR131" s="36"/>
      <c r="QS131" s="36"/>
      <c r="QT131" s="36"/>
      <c r="QU131" s="36"/>
      <c r="QV131" s="36"/>
      <c r="QW131" s="36"/>
      <c r="QX131" s="36"/>
      <c r="QY131" s="36"/>
      <c r="QZ131" s="36"/>
      <c r="RA131" s="36"/>
      <c r="RB131" s="36"/>
      <c r="RC131" s="36"/>
      <c r="RD131" s="36"/>
      <c r="RE131" s="36"/>
      <c r="RF131" s="36"/>
      <c r="RG131" s="36"/>
      <c r="RH131" s="36"/>
      <c r="RI131" s="36"/>
      <c r="RJ131" s="36"/>
      <c r="RK131" s="36"/>
      <c r="RL131" s="36"/>
      <c r="RM131" s="36"/>
      <c r="RN131" s="36"/>
      <c r="RO131" s="36"/>
      <c r="RP131" s="36"/>
      <c r="RQ131" s="36"/>
      <c r="RR131" s="36"/>
      <c r="RS131" s="36"/>
      <c r="RT131" s="36"/>
      <c r="RU131" s="36"/>
      <c r="RV131" s="36"/>
      <c r="RW131" s="36"/>
      <c r="RX131" s="36"/>
      <c r="RY131" s="36"/>
      <c r="RZ131" s="36"/>
      <c r="SA131" s="36"/>
      <c r="SB131" s="36"/>
      <c r="SC131" s="36"/>
      <c r="SD131" s="36"/>
      <c r="SE131" s="36"/>
      <c r="SF131" s="36"/>
      <c r="SG131" s="36"/>
      <c r="SH131" s="36"/>
      <c r="SI131" s="36"/>
      <c r="SJ131" s="36"/>
      <c r="SK131" s="36"/>
      <c r="SL131" s="36"/>
      <c r="SM131" s="36"/>
      <c r="SN131" s="36"/>
      <c r="SO131" s="36"/>
      <c r="SP131" s="36"/>
      <c r="SQ131" s="36"/>
      <c r="SR131" s="36"/>
      <c r="SS131" s="36"/>
      <c r="ST131" s="36"/>
      <c r="SU131" s="36"/>
      <c r="SV131" s="36"/>
      <c r="SW131" s="36"/>
      <c r="SX131" s="36"/>
      <c r="SY131" s="36"/>
      <c r="SZ131" s="36"/>
      <c r="TA131" s="36"/>
      <c r="TB131" s="36"/>
      <c r="TC131" s="36"/>
      <c r="TD131" s="36"/>
      <c r="TE131" s="36"/>
      <c r="TF131" s="36"/>
      <c r="TG131" s="36"/>
      <c r="TH131" s="36"/>
      <c r="TI131" s="36"/>
    </row>
    <row r="132" spans="1:529" s="27" customFormat="1" ht="25.5" customHeight="1" x14ac:dyDescent="0.25">
      <c r="A132" s="43">
        <v>1014082</v>
      </c>
      <c r="B132" s="44" t="str">
        <f>'дод 4'!A81</f>
        <v>4082</v>
      </c>
      <c r="C132" s="44" t="str">
        <f>'дод 4'!B81</f>
        <v>0829</v>
      </c>
      <c r="D132" s="24" t="str">
        <f>'дод 4'!C81</f>
        <v>Інші заходи в галузі культури і мистецтва</v>
      </c>
      <c r="E132" s="69">
        <f t="shared" si="58"/>
        <v>2500700</v>
      </c>
      <c r="F132" s="69">
        <f>2265700+15000+100000+120000</f>
        <v>2500700</v>
      </c>
      <c r="G132" s="69"/>
      <c r="H132" s="69"/>
      <c r="I132" s="69"/>
      <c r="J132" s="69">
        <f t="shared" si="60"/>
        <v>0</v>
      </c>
      <c r="K132" s="69"/>
      <c r="L132" s="69"/>
      <c r="M132" s="69"/>
      <c r="N132" s="69"/>
      <c r="O132" s="69"/>
      <c r="P132" s="69">
        <f t="shared" si="59"/>
        <v>2500700</v>
      </c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  <c r="IM132" s="36"/>
      <c r="IN132" s="36"/>
      <c r="IO132" s="36"/>
      <c r="IP132" s="36"/>
      <c r="IQ132" s="36"/>
      <c r="IR132" s="36"/>
      <c r="IS132" s="36"/>
      <c r="IT132" s="36"/>
      <c r="IU132" s="36"/>
      <c r="IV132" s="36"/>
      <c r="IW132" s="36"/>
      <c r="IX132" s="36"/>
      <c r="IY132" s="36"/>
      <c r="IZ132" s="36"/>
      <c r="JA132" s="36"/>
      <c r="JB132" s="36"/>
      <c r="JC132" s="36"/>
      <c r="JD132" s="36"/>
      <c r="JE132" s="36"/>
      <c r="JF132" s="36"/>
      <c r="JG132" s="36"/>
      <c r="JH132" s="36"/>
      <c r="JI132" s="36"/>
      <c r="JJ132" s="36"/>
      <c r="JK132" s="36"/>
      <c r="JL132" s="36"/>
      <c r="JM132" s="36"/>
      <c r="JN132" s="36"/>
      <c r="JO132" s="36"/>
      <c r="JP132" s="36"/>
      <c r="JQ132" s="36"/>
      <c r="JR132" s="36"/>
      <c r="JS132" s="36"/>
      <c r="JT132" s="36"/>
      <c r="JU132" s="36"/>
      <c r="JV132" s="36"/>
      <c r="JW132" s="36"/>
      <c r="JX132" s="36"/>
      <c r="JY132" s="36"/>
      <c r="JZ132" s="36"/>
      <c r="KA132" s="36"/>
      <c r="KB132" s="36"/>
      <c r="KC132" s="36"/>
      <c r="KD132" s="36"/>
      <c r="KE132" s="36"/>
      <c r="KF132" s="36"/>
      <c r="KG132" s="36"/>
      <c r="KH132" s="36"/>
      <c r="KI132" s="36"/>
      <c r="KJ132" s="36"/>
      <c r="KK132" s="36"/>
      <c r="KL132" s="36"/>
      <c r="KM132" s="36"/>
      <c r="KN132" s="36"/>
      <c r="KO132" s="36"/>
      <c r="KP132" s="36"/>
      <c r="KQ132" s="36"/>
      <c r="KR132" s="36"/>
      <c r="KS132" s="36"/>
      <c r="KT132" s="36"/>
      <c r="KU132" s="36"/>
      <c r="KV132" s="36"/>
      <c r="KW132" s="36"/>
      <c r="KX132" s="36"/>
      <c r="KY132" s="36"/>
      <c r="KZ132" s="36"/>
      <c r="LA132" s="36"/>
      <c r="LB132" s="36"/>
      <c r="LC132" s="36"/>
      <c r="LD132" s="36"/>
      <c r="LE132" s="36"/>
      <c r="LF132" s="36"/>
      <c r="LG132" s="36"/>
      <c r="LH132" s="36"/>
      <c r="LI132" s="36"/>
      <c r="LJ132" s="36"/>
      <c r="LK132" s="36"/>
      <c r="LL132" s="36"/>
      <c r="LM132" s="36"/>
      <c r="LN132" s="36"/>
      <c r="LO132" s="36"/>
      <c r="LP132" s="36"/>
      <c r="LQ132" s="36"/>
      <c r="LR132" s="36"/>
      <c r="LS132" s="36"/>
      <c r="LT132" s="36"/>
      <c r="LU132" s="36"/>
      <c r="LV132" s="36"/>
      <c r="LW132" s="36"/>
      <c r="LX132" s="36"/>
      <c r="LY132" s="36"/>
      <c r="LZ132" s="36"/>
      <c r="MA132" s="36"/>
      <c r="MB132" s="36"/>
      <c r="MC132" s="36"/>
      <c r="MD132" s="36"/>
      <c r="ME132" s="36"/>
      <c r="MF132" s="36"/>
      <c r="MG132" s="36"/>
      <c r="MH132" s="36"/>
      <c r="MI132" s="36"/>
      <c r="MJ132" s="36"/>
      <c r="MK132" s="36"/>
      <c r="ML132" s="36"/>
      <c r="MM132" s="36"/>
      <c r="MN132" s="36"/>
      <c r="MO132" s="36"/>
      <c r="MP132" s="36"/>
      <c r="MQ132" s="36"/>
      <c r="MR132" s="36"/>
      <c r="MS132" s="36"/>
      <c r="MT132" s="36"/>
      <c r="MU132" s="36"/>
      <c r="MV132" s="36"/>
      <c r="MW132" s="36"/>
      <c r="MX132" s="36"/>
      <c r="MY132" s="36"/>
      <c r="MZ132" s="36"/>
      <c r="NA132" s="36"/>
      <c r="NB132" s="36"/>
      <c r="NC132" s="36"/>
      <c r="ND132" s="36"/>
      <c r="NE132" s="36"/>
      <c r="NF132" s="36"/>
      <c r="NG132" s="36"/>
      <c r="NH132" s="36"/>
      <c r="NI132" s="36"/>
      <c r="NJ132" s="36"/>
      <c r="NK132" s="36"/>
      <c r="NL132" s="36"/>
      <c r="NM132" s="36"/>
      <c r="NN132" s="36"/>
      <c r="NO132" s="36"/>
      <c r="NP132" s="36"/>
      <c r="NQ132" s="36"/>
      <c r="NR132" s="36"/>
      <c r="NS132" s="36"/>
      <c r="NT132" s="36"/>
      <c r="NU132" s="36"/>
      <c r="NV132" s="36"/>
      <c r="NW132" s="36"/>
      <c r="NX132" s="36"/>
      <c r="NY132" s="36"/>
      <c r="NZ132" s="36"/>
      <c r="OA132" s="36"/>
      <c r="OB132" s="36"/>
      <c r="OC132" s="36"/>
      <c r="OD132" s="36"/>
      <c r="OE132" s="36"/>
      <c r="OF132" s="36"/>
      <c r="OG132" s="36"/>
      <c r="OH132" s="36"/>
      <c r="OI132" s="36"/>
      <c r="OJ132" s="36"/>
      <c r="OK132" s="36"/>
      <c r="OL132" s="36"/>
      <c r="OM132" s="36"/>
      <c r="ON132" s="36"/>
      <c r="OO132" s="36"/>
      <c r="OP132" s="36"/>
      <c r="OQ132" s="36"/>
      <c r="OR132" s="36"/>
      <c r="OS132" s="36"/>
      <c r="OT132" s="36"/>
      <c r="OU132" s="36"/>
      <c r="OV132" s="36"/>
      <c r="OW132" s="36"/>
      <c r="OX132" s="36"/>
      <c r="OY132" s="36"/>
      <c r="OZ132" s="36"/>
      <c r="PA132" s="36"/>
      <c r="PB132" s="36"/>
      <c r="PC132" s="36"/>
      <c r="PD132" s="36"/>
      <c r="PE132" s="36"/>
      <c r="PF132" s="36"/>
      <c r="PG132" s="36"/>
      <c r="PH132" s="36"/>
      <c r="PI132" s="36"/>
      <c r="PJ132" s="36"/>
      <c r="PK132" s="36"/>
      <c r="PL132" s="36"/>
      <c r="PM132" s="36"/>
      <c r="PN132" s="36"/>
      <c r="PO132" s="36"/>
      <c r="PP132" s="36"/>
      <c r="PQ132" s="36"/>
      <c r="PR132" s="36"/>
      <c r="PS132" s="36"/>
      <c r="PT132" s="36"/>
      <c r="PU132" s="36"/>
      <c r="PV132" s="36"/>
      <c r="PW132" s="36"/>
      <c r="PX132" s="36"/>
      <c r="PY132" s="36"/>
      <c r="PZ132" s="36"/>
      <c r="QA132" s="36"/>
      <c r="QB132" s="36"/>
      <c r="QC132" s="36"/>
      <c r="QD132" s="36"/>
      <c r="QE132" s="36"/>
      <c r="QF132" s="36"/>
      <c r="QG132" s="36"/>
      <c r="QH132" s="36"/>
      <c r="QI132" s="36"/>
      <c r="QJ132" s="36"/>
      <c r="QK132" s="36"/>
      <c r="QL132" s="36"/>
      <c r="QM132" s="36"/>
      <c r="QN132" s="36"/>
      <c r="QO132" s="36"/>
      <c r="QP132" s="36"/>
      <c r="QQ132" s="36"/>
      <c r="QR132" s="36"/>
      <c r="QS132" s="36"/>
      <c r="QT132" s="36"/>
      <c r="QU132" s="36"/>
      <c r="QV132" s="36"/>
      <c r="QW132" s="36"/>
      <c r="QX132" s="36"/>
      <c r="QY132" s="36"/>
      <c r="QZ132" s="36"/>
      <c r="RA132" s="36"/>
      <c r="RB132" s="36"/>
      <c r="RC132" s="36"/>
      <c r="RD132" s="36"/>
      <c r="RE132" s="36"/>
      <c r="RF132" s="36"/>
      <c r="RG132" s="36"/>
      <c r="RH132" s="36"/>
      <c r="RI132" s="36"/>
      <c r="RJ132" s="36"/>
      <c r="RK132" s="36"/>
      <c r="RL132" s="36"/>
      <c r="RM132" s="36"/>
      <c r="RN132" s="36"/>
      <c r="RO132" s="36"/>
      <c r="RP132" s="36"/>
      <c r="RQ132" s="36"/>
      <c r="RR132" s="36"/>
      <c r="RS132" s="36"/>
      <c r="RT132" s="36"/>
      <c r="RU132" s="36"/>
      <c r="RV132" s="36"/>
      <c r="RW132" s="36"/>
      <c r="RX132" s="36"/>
      <c r="RY132" s="36"/>
      <c r="RZ132" s="36"/>
      <c r="SA132" s="36"/>
      <c r="SB132" s="36"/>
      <c r="SC132" s="36"/>
      <c r="SD132" s="36"/>
      <c r="SE132" s="36"/>
      <c r="SF132" s="36"/>
      <c r="SG132" s="36"/>
      <c r="SH132" s="36"/>
      <c r="SI132" s="36"/>
      <c r="SJ132" s="36"/>
      <c r="SK132" s="36"/>
      <c r="SL132" s="36"/>
      <c r="SM132" s="36"/>
      <c r="SN132" s="36"/>
      <c r="SO132" s="36"/>
      <c r="SP132" s="36"/>
      <c r="SQ132" s="36"/>
      <c r="SR132" s="36"/>
      <c r="SS132" s="36"/>
      <c r="ST132" s="36"/>
      <c r="SU132" s="36"/>
      <c r="SV132" s="36"/>
      <c r="SW132" s="36"/>
      <c r="SX132" s="36"/>
      <c r="SY132" s="36"/>
      <c r="SZ132" s="36"/>
      <c r="TA132" s="36"/>
      <c r="TB132" s="36"/>
      <c r="TC132" s="36"/>
      <c r="TD132" s="36"/>
      <c r="TE132" s="36"/>
      <c r="TF132" s="36"/>
      <c r="TG132" s="36"/>
      <c r="TH132" s="36"/>
      <c r="TI132" s="36"/>
    </row>
    <row r="133" spans="1:529" s="23" customFormat="1" ht="22.5" customHeight="1" x14ac:dyDescent="0.25">
      <c r="A133" s="43" t="s">
        <v>176</v>
      </c>
      <c r="B133" s="44" t="str">
        <f>'дод 4'!A125</f>
        <v>7640</v>
      </c>
      <c r="C133" s="44" t="str">
        <f>'дод 4'!B125</f>
        <v>0470</v>
      </c>
      <c r="D133" s="24" t="str">
        <f>'дод 4'!C125</f>
        <v>Заходи з енергозбереження</v>
      </c>
      <c r="E133" s="69">
        <f t="shared" si="58"/>
        <v>0</v>
      </c>
      <c r="F133" s="69"/>
      <c r="G133" s="69"/>
      <c r="H133" s="69"/>
      <c r="I133" s="69"/>
      <c r="J133" s="69">
        <f t="shared" si="60"/>
        <v>396000</v>
      </c>
      <c r="K133" s="69">
        <v>396000</v>
      </c>
      <c r="L133" s="69"/>
      <c r="M133" s="69"/>
      <c r="N133" s="69"/>
      <c r="O133" s="69">
        <v>396000</v>
      </c>
      <c r="P133" s="69">
        <f t="shared" si="59"/>
        <v>396000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  <c r="JK133" s="26"/>
      <c r="JL133" s="26"/>
      <c r="JM133" s="26"/>
      <c r="JN133" s="26"/>
      <c r="JO133" s="26"/>
      <c r="JP133" s="26"/>
      <c r="JQ133" s="26"/>
      <c r="JR133" s="26"/>
      <c r="JS133" s="26"/>
      <c r="JT133" s="26"/>
      <c r="JU133" s="26"/>
      <c r="JV133" s="26"/>
      <c r="JW133" s="26"/>
      <c r="JX133" s="26"/>
      <c r="JY133" s="26"/>
      <c r="JZ133" s="26"/>
      <c r="KA133" s="26"/>
      <c r="KB133" s="26"/>
      <c r="KC133" s="26"/>
      <c r="KD133" s="26"/>
      <c r="KE133" s="26"/>
      <c r="KF133" s="26"/>
      <c r="KG133" s="26"/>
      <c r="KH133" s="26"/>
      <c r="KI133" s="26"/>
      <c r="KJ133" s="26"/>
      <c r="KK133" s="26"/>
      <c r="KL133" s="26"/>
      <c r="KM133" s="26"/>
      <c r="KN133" s="26"/>
      <c r="KO133" s="26"/>
      <c r="KP133" s="26"/>
      <c r="KQ133" s="26"/>
      <c r="KR133" s="26"/>
      <c r="KS133" s="26"/>
      <c r="KT133" s="26"/>
      <c r="KU133" s="26"/>
      <c r="KV133" s="26"/>
      <c r="KW133" s="26"/>
      <c r="KX133" s="26"/>
      <c r="KY133" s="26"/>
      <c r="KZ133" s="26"/>
      <c r="LA133" s="26"/>
      <c r="LB133" s="26"/>
      <c r="LC133" s="26"/>
      <c r="LD133" s="26"/>
      <c r="LE133" s="26"/>
      <c r="LF133" s="26"/>
      <c r="LG133" s="26"/>
      <c r="LH133" s="26"/>
      <c r="LI133" s="26"/>
      <c r="LJ133" s="26"/>
      <c r="LK133" s="26"/>
      <c r="LL133" s="26"/>
      <c r="LM133" s="26"/>
      <c r="LN133" s="26"/>
      <c r="LO133" s="26"/>
      <c r="LP133" s="26"/>
      <c r="LQ133" s="26"/>
      <c r="LR133" s="26"/>
      <c r="LS133" s="26"/>
      <c r="LT133" s="26"/>
      <c r="LU133" s="26"/>
      <c r="LV133" s="26"/>
      <c r="LW133" s="26"/>
      <c r="LX133" s="26"/>
      <c r="LY133" s="26"/>
      <c r="LZ133" s="26"/>
      <c r="MA133" s="26"/>
      <c r="MB133" s="26"/>
      <c r="MC133" s="26"/>
      <c r="MD133" s="26"/>
      <c r="ME133" s="26"/>
      <c r="MF133" s="26"/>
      <c r="MG133" s="26"/>
      <c r="MH133" s="26"/>
      <c r="MI133" s="26"/>
      <c r="MJ133" s="26"/>
      <c r="MK133" s="26"/>
      <c r="ML133" s="26"/>
      <c r="MM133" s="26"/>
      <c r="MN133" s="26"/>
      <c r="MO133" s="26"/>
      <c r="MP133" s="26"/>
      <c r="MQ133" s="26"/>
      <c r="MR133" s="26"/>
      <c r="MS133" s="26"/>
      <c r="MT133" s="26"/>
      <c r="MU133" s="26"/>
      <c r="MV133" s="26"/>
      <c r="MW133" s="26"/>
      <c r="MX133" s="26"/>
      <c r="MY133" s="26"/>
      <c r="MZ133" s="26"/>
      <c r="NA133" s="26"/>
      <c r="NB133" s="26"/>
      <c r="NC133" s="26"/>
      <c r="ND133" s="26"/>
      <c r="NE133" s="26"/>
      <c r="NF133" s="26"/>
      <c r="NG133" s="26"/>
      <c r="NH133" s="26"/>
      <c r="NI133" s="26"/>
      <c r="NJ133" s="26"/>
      <c r="NK133" s="26"/>
      <c r="NL133" s="26"/>
      <c r="NM133" s="26"/>
      <c r="NN133" s="26"/>
      <c r="NO133" s="26"/>
      <c r="NP133" s="26"/>
      <c r="NQ133" s="26"/>
      <c r="NR133" s="26"/>
      <c r="NS133" s="26"/>
      <c r="NT133" s="26"/>
      <c r="NU133" s="26"/>
      <c r="NV133" s="26"/>
      <c r="NW133" s="26"/>
      <c r="NX133" s="26"/>
      <c r="NY133" s="26"/>
      <c r="NZ133" s="26"/>
      <c r="OA133" s="26"/>
      <c r="OB133" s="26"/>
      <c r="OC133" s="26"/>
      <c r="OD133" s="26"/>
      <c r="OE133" s="26"/>
      <c r="OF133" s="26"/>
      <c r="OG133" s="26"/>
      <c r="OH133" s="26"/>
      <c r="OI133" s="26"/>
      <c r="OJ133" s="26"/>
      <c r="OK133" s="26"/>
      <c r="OL133" s="26"/>
      <c r="OM133" s="26"/>
      <c r="ON133" s="26"/>
      <c r="OO133" s="26"/>
      <c r="OP133" s="26"/>
      <c r="OQ133" s="26"/>
      <c r="OR133" s="26"/>
      <c r="OS133" s="26"/>
      <c r="OT133" s="26"/>
      <c r="OU133" s="26"/>
      <c r="OV133" s="26"/>
      <c r="OW133" s="26"/>
      <c r="OX133" s="26"/>
      <c r="OY133" s="26"/>
      <c r="OZ133" s="26"/>
      <c r="PA133" s="26"/>
      <c r="PB133" s="26"/>
      <c r="PC133" s="26"/>
      <c r="PD133" s="26"/>
      <c r="PE133" s="26"/>
      <c r="PF133" s="26"/>
      <c r="PG133" s="26"/>
      <c r="PH133" s="26"/>
      <c r="PI133" s="26"/>
      <c r="PJ133" s="26"/>
      <c r="PK133" s="26"/>
      <c r="PL133" s="26"/>
      <c r="PM133" s="26"/>
      <c r="PN133" s="26"/>
      <c r="PO133" s="26"/>
      <c r="PP133" s="26"/>
      <c r="PQ133" s="26"/>
      <c r="PR133" s="26"/>
      <c r="PS133" s="26"/>
      <c r="PT133" s="26"/>
      <c r="PU133" s="26"/>
      <c r="PV133" s="26"/>
      <c r="PW133" s="26"/>
      <c r="PX133" s="26"/>
      <c r="PY133" s="26"/>
      <c r="PZ133" s="26"/>
      <c r="QA133" s="26"/>
      <c r="QB133" s="26"/>
      <c r="QC133" s="26"/>
      <c r="QD133" s="26"/>
      <c r="QE133" s="26"/>
      <c r="QF133" s="26"/>
      <c r="QG133" s="26"/>
      <c r="QH133" s="26"/>
      <c r="QI133" s="26"/>
      <c r="QJ133" s="26"/>
      <c r="QK133" s="26"/>
      <c r="QL133" s="26"/>
      <c r="QM133" s="26"/>
      <c r="QN133" s="26"/>
      <c r="QO133" s="26"/>
      <c r="QP133" s="26"/>
      <c r="QQ133" s="26"/>
      <c r="QR133" s="26"/>
      <c r="QS133" s="26"/>
      <c r="QT133" s="26"/>
      <c r="QU133" s="26"/>
      <c r="QV133" s="26"/>
      <c r="QW133" s="26"/>
      <c r="QX133" s="26"/>
      <c r="QY133" s="26"/>
      <c r="QZ133" s="26"/>
      <c r="RA133" s="26"/>
      <c r="RB133" s="26"/>
      <c r="RC133" s="26"/>
      <c r="RD133" s="26"/>
      <c r="RE133" s="26"/>
      <c r="RF133" s="26"/>
      <c r="RG133" s="26"/>
      <c r="RH133" s="26"/>
      <c r="RI133" s="26"/>
      <c r="RJ133" s="26"/>
      <c r="RK133" s="26"/>
      <c r="RL133" s="26"/>
      <c r="RM133" s="26"/>
      <c r="RN133" s="26"/>
      <c r="RO133" s="26"/>
      <c r="RP133" s="26"/>
      <c r="RQ133" s="26"/>
      <c r="RR133" s="26"/>
      <c r="RS133" s="26"/>
      <c r="RT133" s="26"/>
      <c r="RU133" s="26"/>
      <c r="RV133" s="26"/>
      <c r="RW133" s="26"/>
      <c r="RX133" s="26"/>
      <c r="RY133" s="26"/>
      <c r="RZ133" s="26"/>
      <c r="SA133" s="26"/>
      <c r="SB133" s="26"/>
      <c r="SC133" s="26"/>
      <c r="SD133" s="26"/>
      <c r="SE133" s="26"/>
      <c r="SF133" s="26"/>
      <c r="SG133" s="26"/>
      <c r="SH133" s="26"/>
      <c r="SI133" s="26"/>
      <c r="SJ133" s="26"/>
      <c r="SK133" s="26"/>
      <c r="SL133" s="26"/>
      <c r="SM133" s="26"/>
      <c r="SN133" s="26"/>
      <c r="SO133" s="26"/>
      <c r="SP133" s="26"/>
      <c r="SQ133" s="26"/>
      <c r="SR133" s="26"/>
      <c r="SS133" s="26"/>
      <c r="ST133" s="26"/>
      <c r="SU133" s="26"/>
      <c r="SV133" s="26"/>
      <c r="SW133" s="26"/>
      <c r="SX133" s="26"/>
      <c r="SY133" s="26"/>
      <c r="SZ133" s="26"/>
      <c r="TA133" s="26"/>
      <c r="TB133" s="26"/>
      <c r="TC133" s="26"/>
      <c r="TD133" s="26"/>
      <c r="TE133" s="26"/>
      <c r="TF133" s="26"/>
      <c r="TG133" s="26"/>
      <c r="TH133" s="26"/>
      <c r="TI133" s="26"/>
    </row>
    <row r="134" spans="1:529" s="23" customFormat="1" ht="22.5" customHeight="1" x14ac:dyDescent="0.25">
      <c r="A134" s="43">
        <v>1018340</v>
      </c>
      <c r="B134" s="44" t="str">
        <f>'дод 4'!A142</f>
        <v>8340</v>
      </c>
      <c r="C134" s="44" t="str">
        <f>'дод 4'!B142</f>
        <v>0540</v>
      </c>
      <c r="D134" s="78" t="str">
        <f>'дод 4'!C142</f>
        <v>Природоохоронні заходи за рахунок цільових фондів</v>
      </c>
      <c r="E134" s="69">
        <f t="shared" si="58"/>
        <v>0</v>
      </c>
      <c r="F134" s="69"/>
      <c r="G134" s="69"/>
      <c r="H134" s="69"/>
      <c r="I134" s="69"/>
      <c r="J134" s="69">
        <f t="shared" si="60"/>
        <v>3000</v>
      </c>
      <c r="K134" s="69"/>
      <c r="L134" s="69">
        <v>3000</v>
      </c>
      <c r="M134" s="69"/>
      <c r="N134" s="69"/>
      <c r="O134" s="69"/>
      <c r="P134" s="69">
        <f t="shared" si="59"/>
        <v>3000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  <c r="KG134" s="26"/>
      <c r="KH134" s="26"/>
      <c r="KI134" s="26"/>
      <c r="KJ134" s="26"/>
      <c r="KK134" s="26"/>
      <c r="KL134" s="26"/>
      <c r="KM134" s="26"/>
      <c r="KN134" s="26"/>
      <c r="KO134" s="26"/>
      <c r="KP134" s="26"/>
      <c r="KQ134" s="26"/>
      <c r="KR134" s="26"/>
      <c r="KS134" s="26"/>
      <c r="KT134" s="26"/>
      <c r="KU134" s="26"/>
      <c r="KV134" s="26"/>
      <c r="KW134" s="26"/>
      <c r="KX134" s="26"/>
      <c r="KY134" s="26"/>
      <c r="KZ134" s="26"/>
      <c r="LA134" s="26"/>
      <c r="LB134" s="26"/>
      <c r="LC134" s="26"/>
      <c r="LD134" s="26"/>
      <c r="LE134" s="26"/>
      <c r="LF134" s="26"/>
      <c r="LG134" s="26"/>
      <c r="LH134" s="26"/>
      <c r="LI134" s="26"/>
      <c r="LJ134" s="26"/>
      <c r="LK134" s="26"/>
      <c r="LL134" s="26"/>
      <c r="LM134" s="26"/>
      <c r="LN134" s="26"/>
      <c r="LO134" s="26"/>
      <c r="LP134" s="26"/>
      <c r="LQ134" s="26"/>
      <c r="LR134" s="26"/>
      <c r="LS134" s="26"/>
      <c r="LT134" s="26"/>
      <c r="LU134" s="26"/>
      <c r="LV134" s="26"/>
      <c r="LW134" s="26"/>
      <c r="LX134" s="26"/>
      <c r="LY134" s="26"/>
      <c r="LZ134" s="26"/>
      <c r="MA134" s="26"/>
      <c r="MB134" s="26"/>
      <c r="MC134" s="26"/>
      <c r="MD134" s="26"/>
      <c r="ME134" s="26"/>
      <c r="MF134" s="26"/>
      <c r="MG134" s="26"/>
      <c r="MH134" s="26"/>
      <c r="MI134" s="26"/>
      <c r="MJ134" s="26"/>
      <c r="MK134" s="26"/>
      <c r="ML134" s="26"/>
      <c r="MM134" s="26"/>
      <c r="MN134" s="26"/>
      <c r="MO134" s="26"/>
      <c r="MP134" s="26"/>
      <c r="MQ134" s="26"/>
      <c r="MR134" s="26"/>
      <c r="MS134" s="26"/>
      <c r="MT134" s="26"/>
      <c r="MU134" s="26"/>
      <c r="MV134" s="26"/>
      <c r="MW134" s="26"/>
      <c r="MX134" s="26"/>
      <c r="MY134" s="26"/>
      <c r="MZ134" s="26"/>
      <c r="NA134" s="26"/>
      <c r="NB134" s="26"/>
      <c r="NC134" s="26"/>
      <c r="ND134" s="26"/>
      <c r="NE134" s="26"/>
      <c r="NF134" s="26"/>
      <c r="NG134" s="26"/>
      <c r="NH134" s="26"/>
      <c r="NI134" s="26"/>
      <c r="NJ134" s="26"/>
      <c r="NK134" s="26"/>
      <c r="NL134" s="26"/>
      <c r="NM134" s="26"/>
      <c r="NN134" s="26"/>
      <c r="NO134" s="26"/>
      <c r="NP134" s="26"/>
      <c r="NQ134" s="26"/>
      <c r="NR134" s="26"/>
      <c r="NS134" s="26"/>
      <c r="NT134" s="26"/>
      <c r="NU134" s="26"/>
      <c r="NV134" s="26"/>
      <c r="NW134" s="26"/>
      <c r="NX134" s="26"/>
      <c r="NY134" s="26"/>
      <c r="NZ134" s="26"/>
      <c r="OA134" s="26"/>
      <c r="OB134" s="26"/>
      <c r="OC134" s="26"/>
      <c r="OD134" s="26"/>
      <c r="OE134" s="26"/>
      <c r="OF134" s="26"/>
      <c r="OG134" s="26"/>
      <c r="OH134" s="26"/>
      <c r="OI134" s="26"/>
      <c r="OJ134" s="26"/>
      <c r="OK134" s="26"/>
      <c r="OL134" s="26"/>
      <c r="OM134" s="26"/>
      <c r="ON134" s="26"/>
      <c r="OO134" s="26"/>
      <c r="OP134" s="26"/>
      <c r="OQ134" s="26"/>
      <c r="OR134" s="26"/>
      <c r="OS134" s="26"/>
      <c r="OT134" s="26"/>
      <c r="OU134" s="26"/>
      <c r="OV134" s="26"/>
      <c r="OW134" s="26"/>
      <c r="OX134" s="26"/>
      <c r="OY134" s="26"/>
      <c r="OZ134" s="26"/>
      <c r="PA134" s="26"/>
      <c r="PB134" s="26"/>
      <c r="PC134" s="26"/>
      <c r="PD134" s="26"/>
      <c r="PE134" s="26"/>
      <c r="PF134" s="26"/>
      <c r="PG134" s="26"/>
      <c r="PH134" s="26"/>
      <c r="PI134" s="26"/>
      <c r="PJ134" s="26"/>
      <c r="PK134" s="26"/>
      <c r="PL134" s="26"/>
      <c r="PM134" s="26"/>
      <c r="PN134" s="26"/>
      <c r="PO134" s="26"/>
      <c r="PP134" s="26"/>
      <c r="PQ134" s="26"/>
      <c r="PR134" s="26"/>
      <c r="PS134" s="26"/>
      <c r="PT134" s="26"/>
      <c r="PU134" s="26"/>
      <c r="PV134" s="26"/>
      <c r="PW134" s="26"/>
      <c r="PX134" s="26"/>
      <c r="PY134" s="26"/>
      <c r="PZ134" s="26"/>
      <c r="QA134" s="26"/>
      <c r="QB134" s="26"/>
      <c r="QC134" s="26"/>
      <c r="QD134" s="26"/>
      <c r="QE134" s="26"/>
      <c r="QF134" s="26"/>
      <c r="QG134" s="26"/>
      <c r="QH134" s="26"/>
      <c r="QI134" s="26"/>
      <c r="QJ134" s="26"/>
      <c r="QK134" s="26"/>
      <c r="QL134" s="26"/>
      <c r="QM134" s="26"/>
      <c r="QN134" s="26"/>
      <c r="QO134" s="26"/>
      <c r="QP134" s="26"/>
      <c r="QQ134" s="26"/>
      <c r="QR134" s="26"/>
      <c r="QS134" s="26"/>
      <c r="QT134" s="26"/>
      <c r="QU134" s="26"/>
      <c r="QV134" s="26"/>
      <c r="QW134" s="26"/>
      <c r="QX134" s="26"/>
      <c r="QY134" s="26"/>
      <c r="QZ134" s="26"/>
      <c r="RA134" s="26"/>
      <c r="RB134" s="26"/>
      <c r="RC134" s="26"/>
      <c r="RD134" s="26"/>
      <c r="RE134" s="26"/>
      <c r="RF134" s="26"/>
      <c r="RG134" s="26"/>
      <c r="RH134" s="26"/>
      <c r="RI134" s="26"/>
      <c r="RJ134" s="26"/>
      <c r="RK134" s="26"/>
      <c r="RL134" s="26"/>
      <c r="RM134" s="26"/>
      <c r="RN134" s="26"/>
      <c r="RO134" s="26"/>
      <c r="RP134" s="26"/>
      <c r="RQ134" s="26"/>
      <c r="RR134" s="26"/>
      <c r="RS134" s="26"/>
      <c r="RT134" s="26"/>
      <c r="RU134" s="26"/>
      <c r="RV134" s="26"/>
      <c r="RW134" s="26"/>
      <c r="RX134" s="26"/>
      <c r="RY134" s="26"/>
      <c r="RZ134" s="26"/>
      <c r="SA134" s="26"/>
      <c r="SB134" s="26"/>
      <c r="SC134" s="26"/>
      <c r="SD134" s="26"/>
      <c r="SE134" s="26"/>
      <c r="SF134" s="26"/>
      <c r="SG134" s="26"/>
      <c r="SH134" s="26"/>
      <c r="SI134" s="26"/>
      <c r="SJ134" s="26"/>
      <c r="SK134" s="26"/>
      <c r="SL134" s="26"/>
      <c r="SM134" s="26"/>
      <c r="SN134" s="26"/>
      <c r="SO134" s="26"/>
      <c r="SP134" s="26"/>
      <c r="SQ134" s="26"/>
      <c r="SR134" s="26"/>
      <c r="SS134" s="26"/>
      <c r="ST134" s="26"/>
      <c r="SU134" s="26"/>
      <c r="SV134" s="26"/>
      <c r="SW134" s="26"/>
      <c r="SX134" s="26"/>
      <c r="SY134" s="26"/>
      <c r="SZ134" s="26"/>
      <c r="TA134" s="26"/>
      <c r="TB134" s="26"/>
      <c r="TC134" s="26"/>
      <c r="TD134" s="26"/>
      <c r="TE134" s="26"/>
      <c r="TF134" s="26"/>
      <c r="TG134" s="26"/>
      <c r="TH134" s="26"/>
      <c r="TI134" s="26"/>
    </row>
    <row r="135" spans="1:529" s="31" customFormat="1" ht="34.5" customHeight="1" x14ac:dyDescent="0.2">
      <c r="A135" s="76" t="s">
        <v>231</v>
      </c>
      <c r="B135" s="74"/>
      <c r="C135" s="74"/>
      <c r="D135" s="30" t="s">
        <v>44</v>
      </c>
      <c r="E135" s="66">
        <f>E136</f>
        <v>256578890.95999998</v>
      </c>
      <c r="F135" s="66">
        <f t="shared" ref="F135:J135" si="61">F136</f>
        <v>222469358.95999998</v>
      </c>
      <c r="G135" s="66">
        <f t="shared" si="61"/>
        <v>10410700</v>
      </c>
      <c r="H135" s="66">
        <f t="shared" si="61"/>
        <v>27870106</v>
      </c>
      <c r="I135" s="66">
        <f t="shared" si="61"/>
        <v>34109532</v>
      </c>
      <c r="J135" s="66">
        <f t="shared" si="61"/>
        <v>196522189.63999999</v>
      </c>
      <c r="K135" s="66">
        <f t="shared" ref="K135" si="62">K136</f>
        <v>110553055.92</v>
      </c>
      <c r="L135" s="66">
        <f t="shared" ref="L135" si="63">L136</f>
        <v>82026890.269999996</v>
      </c>
      <c r="M135" s="66">
        <f t="shared" ref="M135" si="64">M136</f>
        <v>0</v>
      </c>
      <c r="N135" s="66">
        <f t="shared" ref="N135" si="65">N136</f>
        <v>540000</v>
      </c>
      <c r="O135" s="66">
        <f t="shared" ref="O135:P135" si="66">O136</f>
        <v>114495299.37</v>
      </c>
      <c r="P135" s="66">
        <f t="shared" si="66"/>
        <v>453101080.59999996</v>
      </c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  <c r="IV135" s="38"/>
      <c r="IW135" s="38"/>
      <c r="IX135" s="38"/>
      <c r="IY135" s="38"/>
      <c r="IZ135" s="38"/>
      <c r="JA135" s="38"/>
      <c r="JB135" s="38"/>
      <c r="JC135" s="38"/>
      <c r="JD135" s="38"/>
      <c r="JE135" s="38"/>
      <c r="JF135" s="38"/>
      <c r="JG135" s="38"/>
      <c r="JH135" s="38"/>
      <c r="JI135" s="38"/>
      <c r="JJ135" s="38"/>
      <c r="JK135" s="38"/>
      <c r="JL135" s="38"/>
      <c r="JM135" s="38"/>
      <c r="JN135" s="38"/>
      <c r="JO135" s="38"/>
      <c r="JP135" s="38"/>
      <c r="JQ135" s="38"/>
      <c r="JR135" s="38"/>
      <c r="JS135" s="38"/>
      <c r="JT135" s="38"/>
      <c r="JU135" s="38"/>
      <c r="JV135" s="38"/>
      <c r="JW135" s="38"/>
      <c r="JX135" s="38"/>
      <c r="JY135" s="38"/>
      <c r="JZ135" s="38"/>
      <c r="KA135" s="38"/>
      <c r="KB135" s="38"/>
      <c r="KC135" s="38"/>
      <c r="KD135" s="38"/>
      <c r="KE135" s="38"/>
      <c r="KF135" s="38"/>
      <c r="KG135" s="38"/>
      <c r="KH135" s="38"/>
      <c r="KI135" s="38"/>
      <c r="KJ135" s="38"/>
      <c r="KK135" s="38"/>
      <c r="KL135" s="38"/>
      <c r="KM135" s="38"/>
      <c r="KN135" s="38"/>
      <c r="KO135" s="38"/>
      <c r="KP135" s="38"/>
      <c r="KQ135" s="38"/>
      <c r="KR135" s="38"/>
      <c r="KS135" s="38"/>
      <c r="KT135" s="38"/>
      <c r="KU135" s="38"/>
      <c r="KV135" s="38"/>
      <c r="KW135" s="38"/>
      <c r="KX135" s="38"/>
      <c r="KY135" s="38"/>
      <c r="KZ135" s="38"/>
      <c r="LA135" s="38"/>
      <c r="LB135" s="38"/>
      <c r="LC135" s="38"/>
      <c r="LD135" s="38"/>
      <c r="LE135" s="38"/>
      <c r="LF135" s="38"/>
      <c r="LG135" s="38"/>
      <c r="LH135" s="38"/>
      <c r="LI135" s="38"/>
      <c r="LJ135" s="38"/>
      <c r="LK135" s="38"/>
      <c r="LL135" s="38"/>
      <c r="LM135" s="38"/>
      <c r="LN135" s="38"/>
      <c r="LO135" s="38"/>
      <c r="LP135" s="38"/>
      <c r="LQ135" s="38"/>
      <c r="LR135" s="38"/>
      <c r="LS135" s="38"/>
      <c r="LT135" s="38"/>
      <c r="LU135" s="38"/>
      <c r="LV135" s="38"/>
      <c r="LW135" s="38"/>
      <c r="LX135" s="38"/>
      <c r="LY135" s="38"/>
      <c r="LZ135" s="38"/>
      <c r="MA135" s="38"/>
      <c r="MB135" s="38"/>
      <c r="MC135" s="38"/>
      <c r="MD135" s="38"/>
      <c r="ME135" s="38"/>
      <c r="MF135" s="38"/>
      <c r="MG135" s="38"/>
      <c r="MH135" s="38"/>
      <c r="MI135" s="38"/>
      <c r="MJ135" s="38"/>
      <c r="MK135" s="38"/>
      <c r="ML135" s="38"/>
      <c r="MM135" s="38"/>
      <c r="MN135" s="38"/>
      <c r="MO135" s="38"/>
      <c r="MP135" s="38"/>
      <c r="MQ135" s="38"/>
      <c r="MR135" s="38"/>
      <c r="MS135" s="38"/>
      <c r="MT135" s="38"/>
      <c r="MU135" s="38"/>
      <c r="MV135" s="38"/>
      <c r="MW135" s="38"/>
      <c r="MX135" s="38"/>
      <c r="MY135" s="38"/>
      <c r="MZ135" s="38"/>
      <c r="NA135" s="38"/>
      <c r="NB135" s="38"/>
      <c r="NC135" s="38"/>
      <c r="ND135" s="38"/>
      <c r="NE135" s="38"/>
      <c r="NF135" s="38"/>
      <c r="NG135" s="38"/>
      <c r="NH135" s="38"/>
      <c r="NI135" s="38"/>
      <c r="NJ135" s="38"/>
      <c r="NK135" s="38"/>
      <c r="NL135" s="38"/>
      <c r="NM135" s="38"/>
      <c r="NN135" s="38"/>
      <c r="NO135" s="38"/>
      <c r="NP135" s="38"/>
      <c r="NQ135" s="38"/>
      <c r="NR135" s="38"/>
      <c r="NS135" s="38"/>
      <c r="NT135" s="38"/>
      <c r="NU135" s="38"/>
      <c r="NV135" s="38"/>
      <c r="NW135" s="38"/>
      <c r="NX135" s="38"/>
      <c r="NY135" s="38"/>
      <c r="NZ135" s="38"/>
      <c r="OA135" s="38"/>
      <c r="OB135" s="38"/>
      <c r="OC135" s="38"/>
      <c r="OD135" s="38"/>
      <c r="OE135" s="38"/>
      <c r="OF135" s="38"/>
      <c r="OG135" s="38"/>
      <c r="OH135" s="38"/>
      <c r="OI135" s="38"/>
      <c r="OJ135" s="38"/>
      <c r="OK135" s="38"/>
      <c r="OL135" s="38"/>
      <c r="OM135" s="38"/>
      <c r="ON135" s="38"/>
      <c r="OO135" s="38"/>
      <c r="OP135" s="38"/>
      <c r="OQ135" s="38"/>
      <c r="OR135" s="38"/>
      <c r="OS135" s="38"/>
      <c r="OT135" s="38"/>
      <c r="OU135" s="38"/>
      <c r="OV135" s="38"/>
      <c r="OW135" s="38"/>
      <c r="OX135" s="38"/>
      <c r="OY135" s="38"/>
      <c r="OZ135" s="38"/>
      <c r="PA135" s="38"/>
      <c r="PB135" s="38"/>
      <c r="PC135" s="38"/>
      <c r="PD135" s="38"/>
      <c r="PE135" s="38"/>
      <c r="PF135" s="38"/>
      <c r="PG135" s="38"/>
      <c r="PH135" s="38"/>
      <c r="PI135" s="38"/>
      <c r="PJ135" s="38"/>
      <c r="PK135" s="38"/>
      <c r="PL135" s="38"/>
      <c r="PM135" s="38"/>
      <c r="PN135" s="38"/>
      <c r="PO135" s="38"/>
      <c r="PP135" s="38"/>
      <c r="PQ135" s="38"/>
      <c r="PR135" s="38"/>
      <c r="PS135" s="38"/>
      <c r="PT135" s="38"/>
      <c r="PU135" s="38"/>
      <c r="PV135" s="38"/>
      <c r="PW135" s="38"/>
      <c r="PX135" s="38"/>
      <c r="PY135" s="38"/>
      <c r="PZ135" s="38"/>
      <c r="QA135" s="38"/>
      <c r="QB135" s="38"/>
      <c r="QC135" s="38"/>
      <c r="QD135" s="38"/>
      <c r="QE135" s="38"/>
      <c r="QF135" s="38"/>
      <c r="QG135" s="38"/>
      <c r="QH135" s="38"/>
      <c r="QI135" s="38"/>
      <c r="QJ135" s="38"/>
      <c r="QK135" s="38"/>
      <c r="QL135" s="38"/>
      <c r="QM135" s="38"/>
      <c r="QN135" s="38"/>
      <c r="QO135" s="38"/>
      <c r="QP135" s="38"/>
      <c r="QQ135" s="38"/>
      <c r="QR135" s="38"/>
      <c r="QS135" s="38"/>
      <c r="QT135" s="38"/>
      <c r="QU135" s="38"/>
      <c r="QV135" s="38"/>
      <c r="QW135" s="38"/>
      <c r="QX135" s="38"/>
      <c r="QY135" s="38"/>
      <c r="QZ135" s="38"/>
      <c r="RA135" s="38"/>
      <c r="RB135" s="38"/>
      <c r="RC135" s="38"/>
      <c r="RD135" s="38"/>
      <c r="RE135" s="38"/>
      <c r="RF135" s="38"/>
      <c r="RG135" s="38"/>
      <c r="RH135" s="38"/>
      <c r="RI135" s="38"/>
      <c r="RJ135" s="38"/>
      <c r="RK135" s="38"/>
      <c r="RL135" s="38"/>
      <c r="RM135" s="38"/>
      <c r="RN135" s="38"/>
      <c r="RO135" s="38"/>
      <c r="RP135" s="38"/>
      <c r="RQ135" s="38"/>
      <c r="RR135" s="38"/>
      <c r="RS135" s="38"/>
      <c r="RT135" s="38"/>
      <c r="RU135" s="38"/>
      <c r="RV135" s="38"/>
      <c r="RW135" s="38"/>
      <c r="RX135" s="38"/>
      <c r="RY135" s="38"/>
      <c r="RZ135" s="38"/>
      <c r="SA135" s="38"/>
      <c r="SB135" s="38"/>
      <c r="SC135" s="38"/>
      <c r="SD135" s="38"/>
      <c r="SE135" s="38"/>
      <c r="SF135" s="38"/>
      <c r="SG135" s="38"/>
      <c r="SH135" s="38"/>
      <c r="SI135" s="38"/>
      <c r="SJ135" s="38"/>
      <c r="SK135" s="38"/>
      <c r="SL135" s="38"/>
      <c r="SM135" s="38"/>
      <c r="SN135" s="38"/>
      <c r="SO135" s="38"/>
      <c r="SP135" s="38"/>
      <c r="SQ135" s="38"/>
      <c r="SR135" s="38"/>
      <c r="SS135" s="38"/>
      <c r="ST135" s="38"/>
      <c r="SU135" s="38"/>
      <c r="SV135" s="38"/>
      <c r="SW135" s="38"/>
      <c r="SX135" s="38"/>
      <c r="SY135" s="38"/>
      <c r="SZ135" s="38"/>
      <c r="TA135" s="38"/>
      <c r="TB135" s="38"/>
      <c r="TC135" s="38"/>
      <c r="TD135" s="38"/>
      <c r="TE135" s="38"/>
      <c r="TF135" s="38"/>
      <c r="TG135" s="38"/>
      <c r="TH135" s="38"/>
      <c r="TI135" s="38"/>
    </row>
    <row r="136" spans="1:529" s="40" customFormat="1" ht="36.75" customHeight="1" x14ac:dyDescent="0.25">
      <c r="A136" s="77" t="s">
        <v>232</v>
      </c>
      <c r="B136" s="75"/>
      <c r="C136" s="75"/>
      <c r="D136" s="33" t="s">
        <v>44</v>
      </c>
      <c r="E136" s="68">
        <f>E138+E139+E140+E141+E142+E143+E144+E145+E146+E147+E148+E150+E149+E152+E156+E157+E158+E161+E162+E151+E154+E160+E159</f>
        <v>256578890.95999998</v>
      </c>
      <c r="F136" s="68">
        <f>F138+F139+F140+F141+F142+F143+F144+F145+F146+F147+F148+F150+F149+F152+F156+F157+F158+F161+F162+F151+F154+F160+F159</f>
        <v>222469358.95999998</v>
      </c>
      <c r="G136" s="68">
        <f t="shared" ref="G136:P136" si="67">G138+G139+G140+G141+G142+G143+G144+G145+G146+G147+G148+G150+G149+G152+G156+G157+G158+G161+G162+G151+G154+G160+G159</f>
        <v>10410700</v>
      </c>
      <c r="H136" s="68">
        <f t="shared" si="67"/>
        <v>27870106</v>
      </c>
      <c r="I136" s="68">
        <f t="shared" si="67"/>
        <v>34109532</v>
      </c>
      <c r="J136" s="68">
        <f t="shared" si="67"/>
        <v>196522189.63999999</v>
      </c>
      <c r="K136" s="68">
        <f t="shared" si="67"/>
        <v>110553055.92</v>
      </c>
      <c r="L136" s="68">
        <f t="shared" si="67"/>
        <v>82026890.269999996</v>
      </c>
      <c r="M136" s="68">
        <f t="shared" si="67"/>
        <v>0</v>
      </c>
      <c r="N136" s="68">
        <f t="shared" si="67"/>
        <v>540000</v>
      </c>
      <c r="O136" s="68">
        <f t="shared" si="67"/>
        <v>114495299.37</v>
      </c>
      <c r="P136" s="68">
        <f t="shared" si="67"/>
        <v>453101080.59999996</v>
      </c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  <c r="IV136" s="39"/>
      <c r="IW136" s="39"/>
      <c r="IX136" s="39"/>
      <c r="IY136" s="39"/>
      <c r="IZ136" s="39"/>
      <c r="JA136" s="39"/>
      <c r="JB136" s="39"/>
      <c r="JC136" s="39"/>
      <c r="JD136" s="39"/>
      <c r="JE136" s="39"/>
      <c r="JF136" s="39"/>
      <c r="JG136" s="39"/>
      <c r="JH136" s="39"/>
      <c r="JI136" s="39"/>
      <c r="JJ136" s="39"/>
      <c r="JK136" s="39"/>
      <c r="JL136" s="39"/>
      <c r="JM136" s="39"/>
      <c r="JN136" s="39"/>
      <c r="JO136" s="39"/>
      <c r="JP136" s="39"/>
      <c r="JQ136" s="39"/>
      <c r="JR136" s="39"/>
      <c r="JS136" s="39"/>
      <c r="JT136" s="39"/>
      <c r="JU136" s="39"/>
      <c r="JV136" s="39"/>
      <c r="JW136" s="39"/>
      <c r="JX136" s="39"/>
      <c r="JY136" s="39"/>
      <c r="JZ136" s="39"/>
      <c r="KA136" s="39"/>
      <c r="KB136" s="39"/>
      <c r="KC136" s="39"/>
      <c r="KD136" s="39"/>
      <c r="KE136" s="39"/>
      <c r="KF136" s="39"/>
      <c r="KG136" s="39"/>
      <c r="KH136" s="39"/>
      <c r="KI136" s="39"/>
      <c r="KJ136" s="39"/>
      <c r="KK136" s="39"/>
      <c r="KL136" s="39"/>
      <c r="KM136" s="39"/>
      <c r="KN136" s="39"/>
      <c r="KO136" s="39"/>
      <c r="KP136" s="39"/>
      <c r="KQ136" s="39"/>
      <c r="KR136" s="39"/>
      <c r="KS136" s="39"/>
      <c r="KT136" s="39"/>
      <c r="KU136" s="39"/>
      <c r="KV136" s="39"/>
      <c r="KW136" s="39"/>
      <c r="KX136" s="39"/>
      <c r="KY136" s="39"/>
      <c r="KZ136" s="39"/>
      <c r="LA136" s="39"/>
      <c r="LB136" s="39"/>
      <c r="LC136" s="39"/>
      <c r="LD136" s="39"/>
      <c r="LE136" s="39"/>
      <c r="LF136" s="39"/>
      <c r="LG136" s="39"/>
      <c r="LH136" s="39"/>
      <c r="LI136" s="39"/>
      <c r="LJ136" s="39"/>
      <c r="LK136" s="39"/>
      <c r="LL136" s="39"/>
      <c r="LM136" s="39"/>
      <c r="LN136" s="39"/>
      <c r="LO136" s="39"/>
      <c r="LP136" s="39"/>
      <c r="LQ136" s="39"/>
      <c r="LR136" s="39"/>
      <c r="LS136" s="39"/>
      <c r="LT136" s="39"/>
      <c r="LU136" s="39"/>
      <c r="LV136" s="39"/>
      <c r="LW136" s="39"/>
      <c r="LX136" s="39"/>
      <c r="LY136" s="39"/>
      <c r="LZ136" s="39"/>
      <c r="MA136" s="39"/>
      <c r="MB136" s="39"/>
      <c r="MC136" s="39"/>
      <c r="MD136" s="39"/>
      <c r="ME136" s="39"/>
      <c r="MF136" s="39"/>
      <c r="MG136" s="39"/>
      <c r="MH136" s="39"/>
      <c r="MI136" s="39"/>
      <c r="MJ136" s="39"/>
      <c r="MK136" s="39"/>
      <c r="ML136" s="39"/>
      <c r="MM136" s="39"/>
      <c r="MN136" s="39"/>
      <c r="MO136" s="39"/>
      <c r="MP136" s="39"/>
      <c r="MQ136" s="39"/>
      <c r="MR136" s="39"/>
      <c r="MS136" s="39"/>
      <c r="MT136" s="39"/>
      <c r="MU136" s="39"/>
      <c r="MV136" s="39"/>
      <c r="MW136" s="39"/>
      <c r="MX136" s="39"/>
      <c r="MY136" s="39"/>
      <c r="MZ136" s="39"/>
      <c r="NA136" s="39"/>
      <c r="NB136" s="39"/>
      <c r="NC136" s="39"/>
      <c r="ND136" s="39"/>
      <c r="NE136" s="39"/>
      <c r="NF136" s="39"/>
      <c r="NG136" s="39"/>
      <c r="NH136" s="39"/>
      <c r="NI136" s="39"/>
      <c r="NJ136" s="39"/>
      <c r="NK136" s="39"/>
      <c r="NL136" s="39"/>
      <c r="NM136" s="39"/>
      <c r="NN136" s="39"/>
      <c r="NO136" s="39"/>
      <c r="NP136" s="39"/>
      <c r="NQ136" s="39"/>
      <c r="NR136" s="39"/>
      <c r="NS136" s="39"/>
      <c r="NT136" s="39"/>
      <c r="NU136" s="39"/>
      <c r="NV136" s="39"/>
      <c r="NW136" s="39"/>
      <c r="NX136" s="39"/>
      <c r="NY136" s="39"/>
      <c r="NZ136" s="39"/>
      <c r="OA136" s="39"/>
      <c r="OB136" s="39"/>
      <c r="OC136" s="39"/>
      <c r="OD136" s="39"/>
      <c r="OE136" s="39"/>
      <c r="OF136" s="39"/>
      <c r="OG136" s="39"/>
      <c r="OH136" s="39"/>
      <c r="OI136" s="39"/>
      <c r="OJ136" s="39"/>
      <c r="OK136" s="39"/>
      <c r="OL136" s="39"/>
      <c r="OM136" s="39"/>
      <c r="ON136" s="39"/>
      <c r="OO136" s="39"/>
      <c r="OP136" s="39"/>
      <c r="OQ136" s="39"/>
      <c r="OR136" s="39"/>
      <c r="OS136" s="39"/>
      <c r="OT136" s="39"/>
      <c r="OU136" s="39"/>
      <c r="OV136" s="39"/>
      <c r="OW136" s="39"/>
      <c r="OX136" s="39"/>
      <c r="OY136" s="39"/>
      <c r="OZ136" s="39"/>
      <c r="PA136" s="39"/>
      <c r="PB136" s="39"/>
      <c r="PC136" s="39"/>
      <c r="PD136" s="39"/>
      <c r="PE136" s="39"/>
      <c r="PF136" s="39"/>
      <c r="PG136" s="39"/>
      <c r="PH136" s="39"/>
      <c r="PI136" s="39"/>
      <c r="PJ136" s="39"/>
      <c r="PK136" s="39"/>
      <c r="PL136" s="39"/>
      <c r="PM136" s="39"/>
      <c r="PN136" s="39"/>
      <c r="PO136" s="39"/>
      <c r="PP136" s="39"/>
      <c r="PQ136" s="39"/>
      <c r="PR136" s="39"/>
      <c r="PS136" s="39"/>
      <c r="PT136" s="39"/>
      <c r="PU136" s="39"/>
      <c r="PV136" s="39"/>
      <c r="PW136" s="39"/>
      <c r="PX136" s="39"/>
      <c r="PY136" s="39"/>
      <c r="PZ136" s="39"/>
      <c r="QA136" s="39"/>
      <c r="QB136" s="39"/>
      <c r="QC136" s="39"/>
      <c r="QD136" s="39"/>
      <c r="QE136" s="39"/>
      <c r="QF136" s="39"/>
      <c r="QG136" s="39"/>
      <c r="QH136" s="39"/>
      <c r="QI136" s="39"/>
      <c r="QJ136" s="39"/>
      <c r="QK136" s="39"/>
      <c r="QL136" s="39"/>
      <c r="QM136" s="39"/>
      <c r="QN136" s="39"/>
      <c r="QO136" s="39"/>
      <c r="QP136" s="39"/>
      <c r="QQ136" s="39"/>
      <c r="QR136" s="39"/>
      <c r="QS136" s="39"/>
      <c r="QT136" s="39"/>
      <c r="QU136" s="39"/>
      <c r="QV136" s="39"/>
      <c r="QW136" s="39"/>
      <c r="QX136" s="39"/>
      <c r="QY136" s="39"/>
      <c r="QZ136" s="39"/>
      <c r="RA136" s="39"/>
      <c r="RB136" s="39"/>
      <c r="RC136" s="39"/>
      <c r="RD136" s="39"/>
      <c r="RE136" s="39"/>
      <c r="RF136" s="39"/>
      <c r="RG136" s="39"/>
      <c r="RH136" s="39"/>
      <c r="RI136" s="39"/>
      <c r="RJ136" s="39"/>
      <c r="RK136" s="39"/>
      <c r="RL136" s="39"/>
      <c r="RM136" s="39"/>
      <c r="RN136" s="39"/>
      <c r="RO136" s="39"/>
      <c r="RP136" s="39"/>
      <c r="RQ136" s="39"/>
      <c r="RR136" s="39"/>
      <c r="RS136" s="39"/>
      <c r="RT136" s="39"/>
      <c r="RU136" s="39"/>
      <c r="RV136" s="39"/>
      <c r="RW136" s="39"/>
      <c r="RX136" s="39"/>
      <c r="RY136" s="39"/>
      <c r="RZ136" s="39"/>
      <c r="SA136" s="39"/>
      <c r="SB136" s="39"/>
      <c r="SC136" s="39"/>
      <c r="SD136" s="39"/>
      <c r="SE136" s="39"/>
      <c r="SF136" s="39"/>
      <c r="SG136" s="39"/>
      <c r="SH136" s="39"/>
      <c r="SI136" s="39"/>
      <c r="SJ136" s="39"/>
      <c r="SK136" s="39"/>
      <c r="SL136" s="39"/>
      <c r="SM136" s="39"/>
      <c r="SN136" s="39"/>
      <c r="SO136" s="39"/>
      <c r="SP136" s="39"/>
      <c r="SQ136" s="39"/>
      <c r="SR136" s="39"/>
      <c r="SS136" s="39"/>
      <c r="ST136" s="39"/>
      <c r="SU136" s="39"/>
      <c r="SV136" s="39"/>
      <c r="SW136" s="39"/>
      <c r="SX136" s="39"/>
      <c r="SY136" s="39"/>
      <c r="SZ136" s="39"/>
      <c r="TA136" s="39"/>
      <c r="TB136" s="39"/>
      <c r="TC136" s="39"/>
      <c r="TD136" s="39"/>
      <c r="TE136" s="39"/>
      <c r="TF136" s="39"/>
      <c r="TG136" s="39"/>
      <c r="TH136" s="39"/>
      <c r="TI136" s="39"/>
    </row>
    <row r="137" spans="1:529" s="40" customFormat="1" ht="15" customHeight="1" x14ac:dyDescent="0.25">
      <c r="A137" s="77"/>
      <c r="B137" s="75"/>
      <c r="C137" s="75"/>
      <c r="D137" s="33" t="s">
        <v>308</v>
      </c>
      <c r="E137" s="68">
        <f>E153+E155</f>
        <v>0</v>
      </c>
      <c r="F137" s="68">
        <f t="shared" ref="F137:P137" si="68">F153+F155</f>
        <v>0</v>
      </c>
      <c r="G137" s="68">
        <f t="shared" si="68"/>
        <v>0</v>
      </c>
      <c r="H137" s="68">
        <f t="shared" si="68"/>
        <v>0</v>
      </c>
      <c r="I137" s="68">
        <f t="shared" si="68"/>
        <v>0</v>
      </c>
      <c r="J137" s="68">
        <f t="shared" si="68"/>
        <v>80937420.379999995</v>
      </c>
      <c r="K137" s="68">
        <f t="shared" si="68"/>
        <v>937420.38</v>
      </c>
      <c r="L137" s="68">
        <f t="shared" si="68"/>
        <v>80000000</v>
      </c>
      <c r="M137" s="68">
        <f t="shared" si="68"/>
        <v>0</v>
      </c>
      <c r="N137" s="68">
        <f t="shared" si="68"/>
        <v>0</v>
      </c>
      <c r="O137" s="68">
        <f t="shared" si="68"/>
        <v>937420.38</v>
      </c>
      <c r="P137" s="68">
        <f t="shared" si="68"/>
        <v>80937420.379999995</v>
      </c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  <c r="IQ137" s="39"/>
      <c r="IR137" s="39"/>
      <c r="IS137" s="39"/>
      <c r="IT137" s="39"/>
      <c r="IU137" s="39"/>
      <c r="IV137" s="39"/>
      <c r="IW137" s="39"/>
      <c r="IX137" s="39"/>
      <c r="IY137" s="39"/>
      <c r="IZ137" s="39"/>
      <c r="JA137" s="39"/>
      <c r="JB137" s="39"/>
      <c r="JC137" s="39"/>
      <c r="JD137" s="39"/>
      <c r="JE137" s="39"/>
      <c r="JF137" s="39"/>
      <c r="JG137" s="39"/>
      <c r="JH137" s="39"/>
      <c r="JI137" s="39"/>
      <c r="JJ137" s="39"/>
      <c r="JK137" s="39"/>
      <c r="JL137" s="39"/>
      <c r="JM137" s="39"/>
      <c r="JN137" s="39"/>
      <c r="JO137" s="39"/>
      <c r="JP137" s="39"/>
      <c r="JQ137" s="39"/>
      <c r="JR137" s="39"/>
      <c r="JS137" s="39"/>
      <c r="JT137" s="39"/>
      <c r="JU137" s="39"/>
      <c r="JV137" s="39"/>
      <c r="JW137" s="39"/>
      <c r="JX137" s="39"/>
      <c r="JY137" s="39"/>
      <c r="JZ137" s="39"/>
      <c r="KA137" s="39"/>
      <c r="KB137" s="39"/>
      <c r="KC137" s="39"/>
      <c r="KD137" s="39"/>
      <c r="KE137" s="39"/>
      <c r="KF137" s="39"/>
      <c r="KG137" s="39"/>
      <c r="KH137" s="39"/>
      <c r="KI137" s="39"/>
      <c r="KJ137" s="39"/>
      <c r="KK137" s="39"/>
      <c r="KL137" s="39"/>
      <c r="KM137" s="39"/>
      <c r="KN137" s="39"/>
      <c r="KO137" s="39"/>
      <c r="KP137" s="39"/>
      <c r="KQ137" s="39"/>
      <c r="KR137" s="39"/>
      <c r="KS137" s="39"/>
      <c r="KT137" s="39"/>
      <c r="KU137" s="39"/>
      <c r="KV137" s="39"/>
      <c r="KW137" s="39"/>
      <c r="KX137" s="39"/>
      <c r="KY137" s="39"/>
      <c r="KZ137" s="39"/>
      <c r="LA137" s="39"/>
      <c r="LB137" s="39"/>
      <c r="LC137" s="39"/>
      <c r="LD137" s="39"/>
      <c r="LE137" s="39"/>
      <c r="LF137" s="39"/>
      <c r="LG137" s="39"/>
      <c r="LH137" s="39"/>
      <c r="LI137" s="39"/>
      <c r="LJ137" s="39"/>
      <c r="LK137" s="39"/>
      <c r="LL137" s="39"/>
      <c r="LM137" s="39"/>
      <c r="LN137" s="39"/>
      <c r="LO137" s="39"/>
      <c r="LP137" s="39"/>
      <c r="LQ137" s="39"/>
      <c r="LR137" s="39"/>
      <c r="LS137" s="39"/>
      <c r="LT137" s="39"/>
      <c r="LU137" s="39"/>
      <c r="LV137" s="39"/>
      <c r="LW137" s="39"/>
      <c r="LX137" s="39"/>
      <c r="LY137" s="39"/>
      <c r="LZ137" s="39"/>
      <c r="MA137" s="39"/>
      <c r="MB137" s="39"/>
      <c r="MC137" s="39"/>
      <c r="MD137" s="39"/>
      <c r="ME137" s="39"/>
      <c r="MF137" s="39"/>
      <c r="MG137" s="39"/>
      <c r="MH137" s="39"/>
      <c r="MI137" s="39"/>
      <c r="MJ137" s="39"/>
      <c r="MK137" s="39"/>
      <c r="ML137" s="39"/>
      <c r="MM137" s="39"/>
      <c r="MN137" s="39"/>
      <c r="MO137" s="39"/>
      <c r="MP137" s="39"/>
      <c r="MQ137" s="39"/>
      <c r="MR137" s="39"/>
      <c r="MS137" s="39"/>
      <c r="MT137" s="39"/>
      <c r="MU137" s="39"/>
      <c r="MV137" s="39"/>
      <c r="MW137" s="39"/>
      <c r="MX137" s="39"/>
      <c r="MY137" s="39"/>
      <c r="MZ137" s="39"/>
      <c r="NA137" s="39"/>
      <c r="NB137" s="39"/>
      <c r="NC137" s="39"/>
      <c r="ND137" s="39"/>
      <c r="NE137" s="39"/>
      <c r="NF137" s="39"/>
      <c r="NG137" s="39"/>
      <c r="NH137" s="39"/>
      <c r="NI137" s="39"/>
      <c r="NJ137" s="39"/>
      <c r="NK137" s="39"/>
      <c r="NL137" s="39"/>
      <c r="NM137" s="39"/>
      <c r="NN137" s="39"/>
      <c r="NO137" s="39"/>
      <c r="NP137" s="39"/>
      <c r="NQ137" s="39"/>
      <c r="NR137" s="39"/>
      <c r="NS137" s="39"/>
      <c r="NT137" s="39"/>
      <c r="NU137" s="39"/>
      <c r="NV137" s="39"/>
      <c r="NW137" s="39"/>
      <c r="NX137" s="39"/>
      <c r="NY137" s="39"/>
      <c r="NZ137" s="39"/>
      <c r="OA137" s="39"/>
      <c r="OB137" s="39"/>
      <c r="OC137" s="39"/>
      <c r="OD137" s="39"/>
      <c r="OE137" s="39"/>
      <c r="OF137" s="39"/>
      <c r="OG137" s="39"/>
      <c r="OH137" s="39"/>
      <c r="OI137" s="39"/>
      <c r="OJ137" s="39"/>
      <c r="OK137" s="39"/>
      <c r="OL137" s="39"/>
      <c r="OM137" s="39"/>
      <c r="ON137" s="39"/>
      <c r="OO137" s="39"/>
      <c r="OP137" s="39"/>
      <c r="OQ137" s="39"/>
      <c r="OR137" s="39"/>
      <c r="OS137" s="39"/>
      <c r="OT137" s="39"/>
      <c r="OU137" s="39"/>
      <c r="OV137" s="39"/>
      <c r="OW137" s="39"/>
      <c r="OX137" s="39"/>
      <c r="OY137" s="39"/>
      <c r="OZ137" s="39"/>
      <c r="PA137" s="39"/>
      <c r="PB137" s="39"/>
      <c r="PC137" s="39"/>
      <c r="PD137" s="39"/>
      <c r="PE137" s="39"/>
      <c r="PF137" s="39"/>
      <c r="PG137" s="39"/>
      <c r="PH137" s="39"/>
      <c r="PI137" s="39"/>
      <c r="PJ137" s="39"/>
      <c r="PK137" s="39"/>
      <c r="PL137" s="39"/>
      <c r="PM137" s="39"/>
      <c r="PN137" s="39"/>
      <c r="PO137" s="39"/>
      <c r="PP137" s="39"/>
      <c r="PQ137" s="39"/>
      <c r="PR137" s="39"/>
      <c r="PS137" s="39"/>
      <c r="PT137" s="39"/>
      <c r="PU137" s="39"/>
      <c r="PV137" s="39"/>
      <c r="PW137" s="39"/>
      <c r="PX137" s="39"/>
      <c r="PY137" s="39"/>
      <c r="PZ137" s="39"/>
      <c r="QA137" s="39"/>
      <c r="QB137" s="39"/>
      <c r="QC137" s="39"/>
      <c r="QD137" s="39"/>
      <c r="QE137" s="39"/>
      <c r="QF137" s="39"/>
      <c r="QG137" s="39"/>
      <c r="QH137" s="39"/>
      <c r="QI137" s="39"/>
      <c r="QJ137" s="39"/>
      <c r="QK137" s="39"/>
      <c r="QL137" s="39"/>
      <c r="QM137" s="39"/>
      <c r="QN137" s="39"/>
      <c r="QO137" s="39"/>
      <c r="QP137" s="39"/>
      <c r="QQ137" s="39"/>
      <c r="QR137" s="39"/>
      <c r="QS137" s="39"/>
      <c r="QT137" s="39"/>
      <c r="QU137" s="39"/>
      <c r="QV137" s="39"/>
      <c r="QW137" s="39"/>
      <c r="QX137" s="39"/>
      <c r="QY137" s="39"/>
      <c r="QZ137" s="39"/>
      <c r="RA137" s="39"/>
      <c r="RB137" s="39"/>
      <c r="RC137" s="39"/>
      <c r="RD137" s="39"/>
      <c r="RE137" s="39"/>
      <c r="RF137" s="39"/>
      <c r="RG137" s="39"/>
      <c r="RH137" s="39"/>
      <c r="RI137" s="39"/>
      <c r="RJ137" s="39"/>
      <c r="RK137" s="39"/>
      <c r="RL137" s="39"/>
      <c r="RM137" s="39"/>
      <c r="RN137" s="39"/>
      <c r="RO137" s="39"/>
      <c r="RP137" s="39"/>
      <c r="RQ137" s="39"/>
      <c r="RR137" s="39"/>
      <c r="RS137" s="39"/>
      <c r="RT137" s="39"/>
      <c r="RU137" s="39"/>
      <c r="RV137" s="39"/>
      <c r="RW137" s="39"/>
      <c r="RX137" s="39"/>
      <c r="RY137" s="39"/>
      <c r="RZ137" s="39"/>
      <c r="SA137" s="39"/>
      <c r="SB137" s="39"/>
      <c r="SC137" s="39"/>
      <c r="SD137" s="39"/>
      <c r="SE137" s="39"/>
      <c r="SF137" s="39"/>
      <c r="SG137" s="39"/>
      <c r="SH137" s="39"/>
      <c r="SI137" s="39"/>
      <c r="SJ137" s="39"/>
      <c r="SK137" s="39"/>
      <c r="SL137" s="39"/>
      <c r="SM137" s="39"/>
      <c r="SN137" s="39"/>
      <c r="SO137" s="39"/>
      <c r="SP137" s="39"/>
      <c r="SQ137" s="39"/>
      <c r="SR137" s="39"/>
      <c r="SS137" s="39"/>
      <c r="ST137" s="39"/>
      <c r="SU137" s="39"/>
      <c r="SV137" s="39"/>
      <c r="SW137" s="39"/>
      <c r="SX137" s="39"/>
      <c r="SY137" s="39"/>
      <c r="SZ137" s="39"/>
      <c r="TA137" s="39"/>
      <c r="TB137" s="39"/>
      <c r="TC137" s="39"/>
      <c r="TD137" s="39"/>
      <c r="TE137" s="39"/>
      <c r="TF137" s="39"/>
      <c r="TG137" s="39"/>
      <c r="TH137" s="39"/>
      <c r="TI137" s="39"/>
    </row>
    <row r="138" spans="1:529" s="23" customFormat="1" ht="48.75" customHeight="1" x14ac:dyDescent="0.25">
      <c r="A138" s="43" t="s">
        <v>233</v>
      </c>
      <c r="B138" s="44" t="str">
        <f>'дод 4'!A20</f>
        <v>0160</v>
      </c>
      <c r="C138" s="44" t="str">
        <f>'дод 4'!B20</f>
        <v>0111</v>
      </c>
      <c r="D138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38" s="69">
        <f t="shared" ref="E138:E162" si="69">F138+I138</f>
        <v>13501800</v>
      </c>
      <c r="F138" s="69">
        <f>13873900+90800-678700+244800-29000</f>
        <v>13501800</v>
      </c>
      <c r="G138" s="69">
        <f>10990800-556300-23800</f>
        <v>10410700</v>
      </c>
      <c r="H138" s="69">
        <v>164000</v>
      </c>
      <c r="I138" s="69"/>
      <c r="J138" s="69">
        <f>L138+O138</f>
        <v>0</v>
      </c>
      <c r="K138" s="69"/>
      <c r="L138" s="69"/>
      <c r="M138" s="69"/>
      <c r="N138" s="69"/>
      <c r="O138" s="69"/>
      <c r="P138" s="69">
        <f t="shared" ref="P138:P162" si="70">E138+J138</f>
        <v>13501800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  <c r="IW138" s="26"/>
      <c r="IX138" s="26"/>
      <c r="IY138" s="26"/>
      <c r="IZ138" s="26"/>
      <c r="JA138" s="26"/>
      <c r="JB138" s="26"/>
      <c r="JC138" s="26"/>
      <c r="JD138" s="26"/>
      <c r="JE138" s="26"/>
      <c r="JF138" s="26"/>
      <c r="JG138" s="26"/>
      <c r="JH138" s="26"/>
      <c r="JI138" s="26"/>
      <c r="JJ138" s="26"/>
      <c r="JK138" s="26"/>
      <c r="JL138" s="26"/>
      <c r="JM138" s="26"/>
      <c r="JN138" s="26"/>
      <c r="JO138" s="26"/>
      <c r="JP138" s="26"/>
      <c r="JQ138" s="26"/>
      <c r="JR138" s="26"/>
      <c r="JS138" s="26"/>
      <c r="JT138" s="26"/>
      <c r="JU138" s="26"/>
      <c r="JV138" s="26"/>
      <c r="JW138" s="26"/>
      <c r="JX138" s="26"/>
      <c r="JY138" s="26"/>
      <c r="JZ138" s="26"/>
      <c r="KA138" s="26"/>
      <c r="KB138" s="26"/>
      <c r="KC138" s="26"/>
      <c r="KD138" s="26"/>
      <c r="KE138" s="26"/>
      <c r="KF138" s="26"/>
      <c r="KG138" s="26"/>
      <c r="KH138" s="26"/>
      <c r="KI138" s="26"/>
      <c r="KJ138" s="26"/>
      <c r="KK138" s="26"/>
      <c r="KL138" s="26"/>
      <c r="KM138" s="26"/>
      <c r="KN138" s="26"/>
      <c r="KO138" s="26"/>
      <c r="KP138" s="26"/>
      <c r="KQ138" s="26"/>
      <c r="KR138" s="26"/>
      <c r="KS138" s="26"/>
      <c r="KT138" s="26"/>
      <c r="KU138" s="26"/>
      <c r="KV138" s="26"/>
      <c r="KW138" s="26"/>
      <c r="KX138" s="26"/>
      <c r="KY138" s="26"/>
      <c r="KZ138" s="26"/>
      <c r="LA138" s="26"/>
      <c r="LB138" s="26"/>
      <c r="LC138" s="26"/>
      <c r="LD138" s="26"/>
      <c r="LE138" s="26"/>
      <c r="LF138" s="26"/>
      <c r="LG138" s="26"/>
      <c r="LH138" s="26"/>
      <c r="LI138" s="26"/>
      <c r="LJ138" s="26"/>
      <c r="LK138" s="26"/>
      <c r="LL138" s="26"/>
      <c r="LM138" s="26"/>
      <c r="LN138" s="26"/>
      <c r="LO138" s="26"/>
      <c r="LP138" s="26"/>
      <c r="LQ138" s="26"/>
      <c r="LR138" s="26"/>
      <c r="LS138" s="26"/>
      <c r="LT138" s="26"/>
      <c r="LU138" s="26"/>
      <c r="LV138" s="26"/>
      <c r="LW138" s="26"/>
      <c r="LX138" s="26"/>
      <c r="LY138" s="26"/>
      <c r="LZ138" s="26"/>
      <c r="MA138" s="26"/>
      <c r="MB138" s="26"/>
      <c r="MC138" s="26"/>
      <c r="MD138" s="26"/>
      <c r="ME138" s="26"/>
      <c r="MF138" s="26"/>
      <c r="MG138" s="26"/>
      <c r="MH138" s="26"/>
      <c r="MI138" s="26"/>
      <c r="MJ138" s="26"/>
      <c r="MK138" s="26"/>
      <c r="ML138" s="26"/>
      <c r="MM138" s="26"/>
      <c r="MN138" s="26"/>
      <c r="MO138" s="26"/>
      <c r="MP138" s="26"/>
      <c r="MQ138" s="26"/>
      <c r="MR138" s="26"/>
      <c r="MS138" s="26"/>
      <c r="MT138" s="26"/>
      <c r="MU138" s="26"/>
      <c r="MV138" s="26"/>
      <c r="MW138" s="26"/>
      <c r="MX138" s="26"/>
      <c r="MY138" s="26"/>
      <c r="MZ138" s="26"/>
      <c r="NA138" s="26"/>
      <c r="NB138" s="26"/>
      <c r="NC138" s="26"/>
      <c r="ND138" s="26"/>
      <c r="NE138" s="26"/>
      <c r="NF138" s="26"/>
      <c r="NG138" s="26"/>
      <c r="NH138" s="26"/>
      <c r="NI138" s="26"/>
      <c r="NJ138" s="26"/>
      <c r="NK138" s="26"/>
      <c r="NL138" s="26"/>
      <c r="NM138" s="26"/>
      <c r="NN138" s="26"/>
      <c r="NO138" s="26"/>
      <c r="NP138" s="26"/>
      <c r="NQ138" s="26"/>
      <c r="NR138" s="26"/>
      <c r="NS138" s="26"/>
      <c r="NT138" s="26"/>
      <c r="NU138" s="26"/>
      <c r="NV138" s="26"/>
      <c r="NW138" s="26"/>
      <c r="NX138" s="26"/>
      <c r="NY138" s="26"/>
      <c r="NZ138" s="26"/>
      <c r="OA138" s="26"/>
      <c r="OB138" s="26"/>
      <c r="OC138" s="26"/>
      <c r="OD138" s="26"/>
      <c r="OE138" s="26"/>
      <c r="OF138" s="26"/>
      <c r="OG138" s="26"/>
      <c r="OH138" s="26"/>
      <c r="OI138" s="26"/>
      <c r="OJ138" s="26"/>
      <c r="OK138" s="26"/>
      <c r="OL138" s="26"/>
      <c r="OM138" s="26"/>
      <c r="ON138" s="26"/>
      <c r="OO138" s="26"/>
      <c r="OP138" s="26"/>
      <c r="OQ138" s="26"/>
      <c r="OR138" s="26"/>
      <c r="OS138" s="26"/>
      <c r="OT138" s="26"/>
      <c r="OU138" s="26"/>
      <c r="OV138" s="26"/>
      <c r="OW138" s="26"/>
      <c r="OX138" s="26"/>
      <c r="OY138" s="26"/>
      <c r="OZ138" s="26"/>
      <c r="PA138" s="26"/>
      <c r="PB138" s="26"/>
      <c r="PC138" s="26"/>
      <c r="PD138" s="26"/>
      <c r="PE138" s="26"/>
      <c r="PF138" s="26"/>
      <c r="PG138" s="26"/>
      <c r="PH138" s="26"/>
      <c r="PI138" s="26"/>
      <c r="PJ138" s="26"/>
      <c r="PK138" s="26"/>
      <c r="PL138" s="26"/>
      <c r="PM138" s="26"/>
      <c r="PN138" s="26"/>
      <c r="PO138" s="26"/>
      <c r="PP138" s="26"/>
      <c r="PQ138" s="26"/>
      <c r="PR138" s="26"/>
      <c r="PS138" s="26"/>
      <c r="PT138" s="26"/>
      <c r="PU138" s="26"/>
      <c r="PV138" s="26"/>
      <c r="PW138" s="26"/>
      <c r="PX138" s="26"/>
      <c r="PY138" s="26"/>
      <c r="PZ138" s="26"/>
      <c r="QA138" s="26"/>
      <c r="QB138" s="26"/>
      <c r="QC138" s="26"/>
      <c r="QD138" s="26"/>
      <c r="QE138" s="26"/>
      <c r="QF138" s="26"/>
      <c r="QG138" s="26"/>
      <c r="QH138" s="26"/>
      <c r="QI138" s="26"/>
      <c r="QJ138" s="26"/>
      <c r="QK138" s="26"/>
      <c r="QL138" s="26"/>
      <c r="QM138" s="26"/>
      <c r="QN138" s="26"/>
      <c r="QO138" s="26"/>
      <c r="QP138" s="26"/>
      <c r="QQ138" s="26"/>
      <c r="QR138" s="26"/>
      <c r="QS138" s="26"/>
      <c r="QT138" s="26"/>
      <c r="QU138" s="26"/>
      <c r="QV138" s="26"/>
      <c r="QW138" s="26"/>
      <c r="QX138" s="26"/>
      <c r="QY138" s="26"/>
      <c r="QZ138" s="26"/>
      <c r="RA138" s="26"/>
      <c r="RB138" s="26"/>
      <c r="RC138" s="26"/>
      <c r="RD138" s="26"/>
      <c r="RE138" s="26"/>
      <c r="RF138" s="26"/>
      <c r="RG138" s="26"/>
      <c r="RH138" s="26"/>
      <c r="RI138" s="26"/>
      <c r="RJ138" s="26"/>
      <c r="RK138" s="26"/>
      <c r="RL138" s="26"/>
      <c r="RM138" s="26"/>
      <c r="RN138" s="26"/>
      <c r="RO138" s="26"/>
      <c r="RP138" s="26"/>
      <c r="RQ138" s="26"/>
      <c r="RR138" s="26"/>
      <c r="RS138" s="26"/>
      <c r="RT138" s="26"/>
      <c r="RU138" s="26"/>
      <c r="RV138" s="26"/>
      <c r="RW138" s="26"/>
      <c r="RX138" s="26"/>
      <c r="RY138" s="26"/>
      <c r="RZ138" s="26"/>
      <c r="SA138" s="26"/>
      <c r="SB138" s="26"/>
      <c r="SC138" s="26"/>
      <c r="SD138" s="26"/>
      <c r="SE138" s="26"/>
      <c r="SF138" s="26"/>
      <c r="SG138" s="26"/>
      <c r="SH138" s="26"/>
      <c r="SI138" s="26"/>
      <c r="SJ138" s="26"/>
      <c r="SK138" s="26"/>
      <c r="SL138" s="26"/>
      <c r="SM138" s="26"/>
      <c r="SN138" s="26"/>
      <c r="SO138" s="26"/>
      <c r="SP138" s="26"/>
      <c r="SQ138" s="26"/>
      <c r="SR138" s="26"/>
      <c r="SS138" s="26"/>
      <c r="ST138" s="26"/>
      <c r="SU138" s="26"/>
      <c r="SV138" s="26"/>
      <c r="SW138" s="26"/>
      <c r="SX138" s="26"/>
      <c r="SY138" s="26"/>
      <c r="SZ138" s="26"/>
      <c r="TA138" s="26"/>
      <c r="TB138" s="26"/>
      <c r="TC138" s="26"/>
      <c r="TD138" s="26"/>
      <c r="TE138" s="26"/>
      <c r="TF138" s="26"/>
      <c r="TG138" s="26"/>
      <c r="TH138" s="26"/>
      <c r="TI138" s="26"/>
    </row>
    <row r="139" spans="1:529" s="23" customFormat="1" ht="19.5" customHeight="1" x14ac:dyDescent="0.25">
      <c r="A139" s="52" t="s">
        <v>352</v>
      </c>
      <c r="B139" s="45" t="str">
        <f>'дод 4'!A74</f>
        <v>3210</v>
      </c>
      <c r="C139" s="45" t="str">
        <f>'дод 4'!B74</f>
        <v>1050</v>
      </c>
      <c r="D139" s="22" t="str">
        <f>'дод 4'!C74</f>
        <v>Організація та проведення громадських робіт</v>
      </c>
      <c r="E139" s="69">
        <f t="shared" si="69"/>
        <v>400000</v>
      </c>
      <c r="F139" s="69">
        <v>400000</v>
      </c>
      <c r="G139" s="69"/>
      <c r="H139" s="69"/>
      <c r="I139" s="69"/>
      <c r="J139" s="69">
        <f t="shared" ref="J139:J162" si="71">L139+O139</f>
        <v>0</v>
      </c>
      <c r="K139" s="69"/>
      <c r="L139" s="69"/>
      <c r="M139" s="69"/>
      <c r="N139" s="69"/>
      <c r="O139" s="69"/>
      <c r="P139" s="69">
        <f t="shared" si="70"/>
        <v>400000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  <c r="JK139" s="26"/>
      <c r="JL139" s="26"/>
      <c r="JM139" s="26"/>
      <c r="JN139" s="26"/>
      <c r="JO139" s="26"/>
      <c r="JP139" s="26"/>
      <c r="JQ139" s="26"/>
      <c r="JR139" s="26"/>
      <c r="JS139" s="26"/>
      <c r="JT139" s="26"/>
      <c r="JU139" s="26"/>
      <c r="JV139" s="26"/>
      <c r="JW139" s="26"/>
      <c r="JX139" s="26"/>
      <c r="JY139" s="26"/>
      <c r="JZ139" s="26"/>
      <c r="KA139" s="26"/>
      <c r="KB139" s="26"/>
      <c r="KC139" s="26"/>
      <c r="KD139" s="26"/>
      <c r="KE139" s="26"/>
      <c r="KF139" s="26"/>
      <c r="KG139" s="26"/>
      <c r="KH139" s="26"/>
      <c r="KI139" s="26"/>
      <c r="KJ139" s="26"/>
      <c r="KK139" s="26"/>
      <c r="KL139" s="26"/>
      <c r="KM139" s="26"/>
      <c r="KN139" s="26"/>
      <c r="KO139" s="26"/>
      <c r="KP139" s="26"/>
      <c r="KQ139" s="26"/>
      <c r="KR139" s="26"/>
      <c r="KS139" s="26"/>
      <c r="KT139" s="26"/>
      <c r="KU139" s="26"/>
      <c r="KV139" s="26"/>
      <c r="KW139" s="26"/>
      <c r="KX139" s="26"/>
      <c r="KY139" s="26"/>
      <c r="KZ139" s="26"/>
      <c r="LA139" s="26"/>
      <c r="LB139" s="26"/>
      <c r="LC139" s="26"/>
      <c r="LD139" s="26"/>
      <c r="LE139" s="26"/>
      <c r="LF139" s="26"/>
      <c r="LG139" s="26"/>
      <c r="LH139" s="26"/>
      <c r="LI139" s="26"/>
      <c r="LJ139" s="26"/>
      <c r="LK139" s="26"/>
      <c r="LL139" s="26"/>
      <c r="LM139" s="26"/>
      <c r="LN139" s="26"/>
      <c r="LO139" s="26"/>
      <c r="LP139" s="26"/>
      <c r="LQ139" s="26"/>
      <c r="LR139" s="26"/>
      <c r="LS139" s="26"/>
      <c r="LT139" s="26"/>
      <c r="LU139" s="26"/>
      <c r="LV139" s="26"/>
      <c r="LW139" s="26"/>
      <c r="LX139" s="26"/>
      <c r="LY139" s="26"/>
      <c r="LZ139" s="26"/>
      <c r="MA139" s="26"/>
      <c r="MB139" s="26"/>
      <c r="MC139" s="26"/>
      <c r="MD139" s="26"/>
      <c r="ME139" s="26"/>
      <c r="MF139" s="26"/>
      <c r="MG139" s="26"/>
      <c r="MH139" s="26"/>
      <c r="MI139" s="26"/>
      <c r="MJ139" s="26"/>
      <c r="MK139" s="26"/>
      <c r="ML139" s="26"/>
      <c r="MM139" s="26"/>
      <c r="MN139" s="26"/>
      <c r="MO139" s="26"/>
      <c r="MP139" s="26"/>
      <c r="MQ139" s="26"/>
      <c r="MR139" s="26"/>
      <c r="MS139" s="26"/>
      <c r="MT139" s="26"/>
      <c r="MU139" s="26"/>
      <c r="MV139" s="26"/>
      <c r="MW139" s="26"/>
      <c r="MX139" s="26"/>
      <c r="MY139" s="26"/>
      <c r="MZ139" s="26"/>
      <c r="NA139" s="26"/>
      <c r="NB139" s="26"/>
      <c r="NC139" s="26"/>
      <c r="ND139" s="26"/>
      <c r="NE139" s="26"/>
      <c r="NF139" s="26"/>
      <c r="NG139" s="26"/>
      <c r="NH139" s="26"/>
      <c r="NI139" s="26"/>
      <c r="NJ139" s="26"/>
      <c r="NK139" s="26"/>
      <c r="NL139" s="26"/>
      <c r="NM139" s="26"/>
      <c r="NN139" s="26"/>
      <c r="NO139" s="26"/>
      <c r="NP139" s="26"/>
      <c r="NQ139" s="26"/>
      <c r="NR139" s="26"/>
      <c r="NS139" s="26"/>
      <c r="NT139" s="26"/>
      <c r="NU139" s="26"/>
      <c r="NV139" s="26"/>
      <c r="NW139" s="26"/>
      <c r="NX139" s="26"/>
      <c r="NY139" s="26"/>
      <c r="NZ139" s="26"/>
      <c r="OA139" s="26"/>
      <c r="OB139" s="26"/>
      <c r="OC139" s="26"/>
      <c r="OD139" s="26"/>
      <c r="OE139" s="26"/>
      <c r="OF139" s="26"/>
      <c r="OG139" s="26"/>
      <c r="OH139" s="26"/>
      <c r="OI139" s="26"/>
      <c r="OJ139" s="26"/>
      <c r="OK139" s="26"/>
      <c r="OL139" s="26"/>
      <c r="OM139" s="26"/>
      <c r="ON139" s="26"/>
      <c r="OO139" s="26"/>
      <c r="OP139" s="26"/>
      <c r="OQ139" s="26"/>
      <c r="OR139" s="26"/>
      <c r="OS139" s="26"/>
      <c r="OT139" s="26"/>
      <c r="OU139" s="26"/>
      <c r="OV139" s="26"/>
      <c r="OW139" s="26"/>
      <c r="OX139" s="26"/>
      <c r="OY139" s="26"/>
      <c r="OZ139" s="26"/>
      <c r="PA139" s="26"/>
      <c r="PB139" s="26"/>
      <c r="PC139" s="26"/>
      <c r="PD139" s="26"/>
      <c r="PE139" s="26"/>
      <c r="PF139" s="26"/>
      <c r="PG139" s="26"/>
      <c r="PH139" s="26"/>
      <c r="PI139" s="26"/>
      <c r="PJ139" s="26"/>
      <c r="PK139" s="26"/>
      <c r="PL139" s="26"/>
      <c r="PM139" s="26"/>
      <c r="PN139" s="26"/>
      <c r="PO139" s="26"/>
      <c r="PP139" s="26"/>
      <c r="PQ139" s="26"/>
      <c r="PR139" s="26"/>
      <c r="PS139" s="26"/>
      <c r="PT139" s="26"/>
      <c r="PU139" s="26"/>
      <c r="PV139" s="26"/>
      <c r="PW139" s="26"/>
      <c r="PX139" s="26"/>
      <c r="PY139" s="26"/>
      <c r="PZ139" s="26"/>
      <c r="QA139" s="26"/>
      <c r="QB139" s="26"/>
      <c r="QC139" s="26"/>
      <c r="QD139" s="26"/>
      <c r="QE139" s="26"/>
      <c r="QF139" s="26"/>
      <c r="QG139" s="26"/>
      <c r="QH139" s="26"/>
      <c r="QI139" s="26"/>
      <c r="QJ139" s="26"/>
      <c r="QK139" s="26"/>
      <c r="QL139" s="26"/>
      <c r="QM139" s="26"/>
      <c r="QN139" s="26"/>
      <c r="QO139" s="26"/>
      <c r="QP139" s="26"/>
      <c r="QQ139" s="26"/>
      <c r="QR139" s="26"/>
      <c r="QS139" s="26"/>
      <c r="QT139" s="26"/>
      <c r="QU139" s="26"/>
      <c r="QV139" s="26"/>
      <c r="QW139" s="26"/>
      <c r="QX139" s="26"/>
      <c r="QY139" s="26"/>
      <c r="QZ139" s="26"/>
      <c r="RA139" s="26"/>
      <c r="RB139" s="26"/>
      <c r="RC139" s="26"/>
      <c r="RD139" s="26"/>
      <c r="RE139" s="26"/>
      <c r="RF139" s="26"/>
      <c r="RG139" s="26"/>
      <c r="RH139" s="26"/>
      <c r="RI139" s="26"/>
      <c r="RJ139" s="26"/>
      <c r="RK139" s="26"/>
      <c r="RL139" s="26"/>
      <c r="RM139" s="26"/>
      <c r="RN139" s="26"/>
      <c r="RO139" s="26"/>
      <c r="RP139" s="26"/>
      <c r="RQ139" s="26"/>
      <c r="RR139" s="26"/>
      <c r="RS139" s="26"/>
      <c r="RT139" s="26"/>
      <c r="RU139" s="26"/>
      <c r="RV139" s="26"/>
      <c r="RW139" s="26"/>
      <c r="RX139" s="26"/>
      <c r="RY139" s="26"/>
      <c r="RZ139" s="26"/>
      <c r="SA139" s="26"/>
      <c r="SB139" s="26"/>
      <c r="SC139" s="26"/>
      <c r="SD139" s="26"/>
      <c r="SE139" s="26"/>
      <c r="SF139" s="26"/>
      <c r="SG139" s="26"/>
      <c r="SH139" s="26"/>
      <c r="SI139" s="26"/>
      <c r="SJ139" s="26"/>
      <c r="SK139" s="26"/>
      <c r="SL139" s="26"/>
      <c r="SM139" s="26"/>
      <c r="SN139" s="26"/>
      <c r="SO139" s="26"/>
      <c r="SP139" s="26"/>
      <c r="SQ139" s="26"/>
      <c r="SR139" s="26"/>
      <c r="SS139" s="26"/>
      <c r="ST139" s="26"/>
      <c r="SU139" s="26"/>
      <c r="SV139" s="26"/>
      <c r="SW139" s="26"/>
      <c r="SX139" s="26"/>
      <c r="SY139" s="26"/>
      <c r="SZ139" s="26"/>
      <c r="TA139" s="26"/>
      <c r="TB139" s="26"/>
      <c r="TC139" s="26"/>
      <c r="TD139" s="26"/>
      <c r="TE139" s="26"/>
      <c r="TF139" s="26"/>
      <c r="TG139" s="26"/>
      <c r="TH139" s="26"/>
      <c r="TI139" s="26"/>
    </row>
    <row r="140" spans="1:529" s="23" customFormat="1" ht="38.25" customHeight="1" x14ac:dyDescent="0.25">
      <c r="A140" s="43" t="s">
        <v>234</v>
      </c>
      <c r="B140" s="44" t="str">
        <f>'дод 4'!A90</f>
        <v>6011</v>
      </c>
      <c r="C140" s="44" t="str">
        <f>'дод 4'!B90</f>
        <v>0610</v>
      </c>
      <c r="D140" s="24" t="str">
        <f>'дод 4'!C90</f>
        <v>Експлуатація та технічне обслуговування житлового фонду</v>
      </c>
      <c r="E140" s="69">
        <f t="shared" si="69"/>
        <v>0</v>
      </c>
      <c r="F140" s="69"/>
      <c r="G140" s="69"/>
      <c r="H140" s="69"/>
      <c r="I140" s="69"/>
      <c r="J140" s="69">
        <f t="shared" si="71"/>
        <v>12118067.93</v>
      </c>
      <c r="K140" s="69">
        <f>20000000-4500000-5000000-1188215.76-766.31+827545+291000+100000+309505+49000+1200000</f>
        <v>12088067.93</v>
      </c>
      <c r="L140" s="69"/>
      <c r="M140" s="69"/>
      <c r="N140" s="69"/>
      <c r="O140" s="69">
        <f>20000000+30000-4500000-5000000-1188215.76-766.31+827545+291000+100000+309505+49000+1200000</f>
        <v>12118067.93</v>
      </c>
      <c r="P140" s="69">
        <f t="shared" si="70"/>
        <v>12118067.93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  <c r="IW140" s="26"/>
      <c r="IX140" s="26"/>
      <c r="IY140" s="26"/>
      <c r="IZ140" s="26"/>
      <c r="JA140" s="26"/>
      <c r="JB140" s="26"/>
      <c r="JC140" s="26"/>
      <c r="JD140" s="26"/>
      <c r="JE140" s="26"/>
      <c r="JF140" s="26"/>
      <c r="JG140" s="26"/>
      <c r="JH140" s="26"/>
      <c r="JI140" s="26"/>
      <c r="JJ140" s="26"/>
      <c r="JK140" s="26"/>
      <c r="JL140" s="26"/>
      <c r="JM140" s="26"/>
      <c r="JN140" s="26"/>
      <c r="JO140" s="26"/>
      <c r="JP140" s="26"/>
      <c r="JQ140" s="26"/>
      <c r="JR140" s="26"/>
      <c r="JS140" s="26"/>
      <c r="JT140" s="26"/>
      <c r="JU140" s="26"/>
      <c r="JV140" s="26"/>
      <c r="JW140" s="26"/>
      <c r="JX140" s="26"/>
      <c r="JY140" s="26"/>
      <c r="JZ140" s="26"/>
      <c r="KA140" s="26"/>
      <c r="KB140" s="26"/>
      <c r="KC140" s="26"/>
      <c r="KD140" s="26"/>
      <c r="KE140" s="26"/>
      <c r="KF140" s="26"/>
      <c r="KG140" s="26"/>
      <c r="KH140" s="26"/>
      <c r="KI140" s="26"/>
      <c r="KJ140" s="26"/>
      <c r="KK140" s="26"/>
      <c r="KL140" s="26"/>
      <c r="KM140" s="26"/>
      <c r="KN140" s="26"/>
      <c r="KO140" s="26"/>
      <c r="KP140" s="26"/>
      <c r="KQ140" s="26"/>
      <c r="KR140" s="26"/>
      <c r="KS140" s="26"/>
      <c r="KT140" s="26"/>
      <c r="KU140" s="26"/>
      <c r="KV140" s="26"/>
      <c r="KW140" s="26"/>
      <c r="KX140" s="26"/>
      <c r="KY140" s="26"/>
      <c r="KZ140" s="26"/>
      <c r="LA140" s="26"/>
      <c r="LB140" s="26"/>
      <c r="LC140" s="26"/>
      <c r="LD140" s="26"/>
      <c r="LE140" s="26"/>
      <c r="LF140" s="26"/>
      <c r="LG140" s="26"/>
      <c r="LH140" s="26"/>
      <c r="LI140" s="26"/>
      <c r="LJ140" s="26"/>
      <c r="LK140" s="26"/>
      <c r="LL140" s="26"/>
      <c r="LM140" s="26"/>
      <c r="LN140" s="26"/>
      <c r="LO140" s="26"/>
      <c r="LP140" s="26"/>
      <c r="LQ140" s="26"/>
      <c r="LR140" s="26"/>
      <c r="LS140" s="26"/>
      <c r="LT140" s="26"/>
      <c r="LU140" s="26"/>
      <c r="LV140" s="26"/>
      <c r="LW140" s="26"/>
      <c r="LX140" s="26"/>
      <c r="LY140" s="26"/>
      <c r="LZ140" s="26"/>
      <c r="MA140" s="26"/>
      <c r="MB140" s="26"/>
      <c r="MC140" s="26"/>
      <c r="MD140" s="26"/>
      <c r="ME140" s="26"/>
      <c r="MF140" s="26"/>
      <c r="MG140" s="26"/>
      <c r="MH140" s="26"/>
      <c r="MI140" s="26"/>
      <c r="MJ140" s="26"/>
      <c r="MK140" s="26"/>
      <c r="ML140" s="26"/>
      <c r="MM140" s="26"/>
      <c r="MN140" s="26"/>
      <c r="MO140" s="26"/>
      <c r="MP140" s="26"/>
      <c r="MQ140" s="26"/>
      <c r="MR140" s="26"/>
      <c r="MS140" s="26"/>
      <c r="MT140" s="26"/>
      <c r="MU140" s="26"/>
      <c r="MV140" s="26"/>
      <c r="MW140" s="26"/>
      <c r="MX140" s="26"/>
      <c r="MY140" s="26"/>
      <c r="MZ140" s="26"/>
      <c r="NA140" s="26"/>
      <c r="NB140" s="26"/>
      <c r="NC140" s="26"/>
      <c r="ND140" s="26"/>
      <c r="NE140" s="26"/>
      <c r="NF140" s="26"/>
      <c r="NG140" s="26"/>
      <c r="NH140" s="26"/>
      <c r="NI140" s="26"/>
      <c r="NJ140" s="26"/>
      <c r="NK140" s="26"/>
      <c r="NL140" s="26"/>
      <c r="NM140" s="26"/>
      <c r="NN140" s="26"/>
      <c r="NO140" s="26"/>
      <c r="NP140" s="26"/>
      <c r="NQ140" s="26"/>
      <c r="NR140" s="26"/>
      <c r="NS140" s="26"/>
      <c r="NT140" s="26"/>
      <c r="NU140" s="26"/>
      <c r="NV140" s="26"/>
      <c r="NW140" s="26"/>
      <c r="NX140" s="26"/>
      <c r="NY140" s="26"/>
      <c r="NZ140" s="26"/>
      <c r="OA140" s="26"/>
      <c r="OB140" s="26"/>
      <c r="OC140" s="26"/>
      <c r="OD140" s="26"/>
      <c r="OE140" s="26"/>
      <c r="OF140" s="26"/>
      <c r="OG140" s="26"/>
      <c r="OH140" s="26"/>
      <c r="OI140" s="26"/>
      <c r="OJ140" s="26"/>
      <c r="OK140" s="26"/>
      <c r="OL140" s="26"/>
      <c r="OM140" s="26"/>
      <c r="ON140" s="26"/>
      <c r="OO140" s="26"/>
      <c r="OP140" s="26"/>
      <c r="OQ140" s="26"/>
      <c r="OR140" s="26"/>
      <c r="OS140" s="26"/>
      <c r="OT140" s="26"/>
      <c r="OU140" s="26"/>
      <c r="OV140" s="26"/>
      <c r="OW140" s="26"/>
      <c r="OX140" s="26"/>
      <c r="OY140" s="26"/>
      <c r="OZ140" s="26"/>
      <c r="PA140" s="26"/>
      <c r="PB140" s="26"/>
      <c r="PC140" s="26"/>
      <c r="PD140" s="26"/>
      <c r="PE140" s="26"/>
      <c r="PF140" s="26"/>
      <c r="PG140" s="26"/>
      <c r="PH140" s="26"/>
      <c r="PI140" s="26"/>
      <c r="PJ140" s="26"/>
      <c r="PK140" s="26"/>
      <c r="PL140" s="26"/>
      <c r="PM140" s="26"/>
      <c r="PN140" s="26"/>
      <c r="PO140" s="26"/>
      <c r="PP140" s="26"/>
      <c r="PQ140" s="26"/>
      <c r="PR140" s="26"/>
      <c r="PS140" s="26"/>
      <c r="PT140" s="26"/>
      <c r="PU140" s="26"/>
      <c r="PV140" s="26"/>
      <c r="PW140" s="26"/>
      <c r="PX140" s="26"/>
      <c r="PY140" s="26"/>
      <c r="PZ140" s="26"/>
      <c r="QA140" s="26"/>
      <c r="QB140" s="26"/>
      <c r="QC140" s="26"/>
      <c r="QD140" s="26"/>
      <c r="QE140" s="26"/>
      <c r="QF140" s="26"/>
      <c r="QG140" s="26"/>
      <c r="QH140" s="26"/>
      <c r="QI140" s="26"/>
      <c r="QJ140" s="26"/>
      <c r="QK140" s="26"/>
      <c r="QL140" s="26"/>
      <c r="QM140" s="26"/>
      <c r="QN140" s="26"/>
      <c r="QO140" s="26"/>
      <c r="QP140" s="26"/>
      <c r="QQ140" s="26"/>
      <c r="QR140" s="26"/>
      <c r="QS140" s="26"/>
      <c r="QT140" s="26"/>
      <c r="QU140" s="26"/>
      <c r="QV140" s="26"/>
      <c r="QW140" s="26"/>
      <c r="QX140" s="26"/>
      <c r="QY140" s="26"/>
      <c r="QZ140" s="26"/>
      <c r="RA140" s="26"/>
      <c r="RB140" s="26"/>
      <c r="RC140" s="26"/>
      <c r="RD140" s="26"/>
      <c r="RE140" s="26"/>
      <c r="RF140" s="26"/>
      <c r="RG140" s="26"/>
      <c r="RH140" s="26"/>
      <c r="RI140" s="26"/>
      <c r="RJ140" s="26"/>
      <c r="RK140" s="26"/>
      <c r="RL140" s="26"/>
      <c r="RM140" s="26"/>
      <c r="RN140" s="26"/>
      <c r="RO140" s="26"/>
      <c r="RP140" s="26"/>
      <c r="RQ140" s="26"/>
      <c r="RR140" s="26"/>
      <c r="RS140" s="26"/>
      <c r="RT140" s="26"/>
      <c r="RU140" s="26"/>
      <c r="RV140" s="26"/>
      <c r="RW140" s="26"/>
      <c r="RX140" s="26"/>
      <c r="RY140" s="26"/>
      <c r="RZ140" s="26"/>
      <c r="SA140" s="26"/>
      <c r="SB140" s="26"/>
      <c r="SC140" s="26"/>
      <c r="SD140" s="26"/>
      <c r="SE140" s="26"/>
      <c r="SF140" s="26"/>
      <c r="SG140" s="26"/>
      <c r="SH140" s="26"/>
      <c r="SI140" s="26"/>
      <c r="SJ140" s="26"/>
      <c r="SK140" s="26"/>
      <c r="SL140" s="26"/>
      <c r="SM140" s="26"/>
      <c r="SN140" s="26"/>
      <c r="SO140" s="26"/>
      <c r="SP140" s="26"/>
      <c r="SQ140" s="26"/>
      <c r="SR140" s="26"/>
      <c r="SS140" s="26"/>
      <c r="ST140" s="26"/>
      <c r="SU140" s="26"/>
      <c r="SV140" s="26"/>
      <c r="SW140" s="26"/>
      <c r="SX140" s="26"/>
      <c r="SY140" s="26"/>
      <c r="SZ140" s="26"/>
      <c r="TA140" s="26"/>
      <c r="TB140" s="26"/>
      <c r="TC140" s="26"/>
      <c r="TD140" s="26"/>
      <c r="TE140" s="26"/>
      <c r="TF140" s="26"/>
      <c r="TG140" s="26"/>
      <c r="TH140" s="26"/>
      <c r="TI140" s="26"/>
    </row>
    <row r="141" spans="1:529" s="23" customFormat="1" ht="33" customHeight="1" x14ac:dyDescent="0.25">
      <c r="A141" s="43" t="s">
        <v>235</v>
      </c>
      <c r="B141" s="44" t="str">
        <f>'дод 4'!A91</f>
        <v>6013</v>
      </c>
      <c r="C141" s="44" t="str">
        <f>'дод 4'!B91</f>
        <v>0620</v>
      </c>
      <c r="D141" s="24" t="str">
        <f>'дод 4'!C91</f>
        <v>Забезпечення діяльності водопровідно-каналізаційного господарства</v>
      </c>
      <c r="E141" s="69">
        <f t="shared" si="69"/>
        <v>30925000</v>
      </c>
      <c r="F141" s="69">
        <f>775000-350000</f>
        <v>425000</v>
      </c>
      <c r="G141" s="69"/>
      <c r="H141" s="69"/>
      <c r="I141" s="69">
        <f>30150000+350000</f>
        <v>30500000</v>
      </c>
      <c r="J141" s="69">
        <f t="shared" si="71"/>
        <v>1721000</v>
      </c>
      <c r="K141" s="69">
        <f>1700000+20000+1000</f>
        <v>1721000</v>
      </c>
      <c r="L141" s="69"/>
      <c r="M141" s="69"/>
      <c r="N141" s="69"/>
      <c r="O141" s="69">
        <f>1700000+20000+1000</f>
        <v>1721000</v>
      </c>
      <c r="P141" s="69">
        <f t="shared" si="70"/>
        <v>32646000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  <c r="IW141" s="26"/>
      <c r="IX141" s="26"/>
      <c r="IY141" s="26"/>
      <c r="IZ141" s="26"/>
      <c r="JA141" s="26"/>
      <c r="JB141" s="26"/>
      <c r="JC141" s="26"/>
      <c r="JD141" s="26"/>
      <c r="JE141" s="26"/>
      <c r="JF141" s="26"/>
      <c r="JG141" s="26"/>
      <c r="JH141" s="26"/>
      <c r="JI141" s="26"/>
      <c r="JJ141" s="26"/>
      <c r="JK141" s="26"/>
      <c r="JL141" s="26"/>
      <c r="JM141" s="26"/>
      <c r="JN141" s="26"/>
      <c r="JO141" s="26"/>
      <c r="JP141" s="26"/>
      <c r="JQ141" s="26"/>
      <c r="JR141" s="26"/>
      <c r="JS141" s="26"/>
      <c r="JT141" s="26"/>
      <c r="JU141" s="26"/>
      <c r="JV141" s="26"/>
      <c r="JW141" s="26"/>
      <c r="JX141" s="26"/>
      <c r="JY141" s="26"/>
      <c r="JZ141" s="26"/>
      <c r="KA141" s="26"/>
      <c r="KB141" s="26"/>
      <c r="KC141" s="26"/>
      <c r="KD141" s="26"/>
      <c r="KE141" s="26"/>
      <c r="KF141" s="26"/>
      <c r="KG141" s="26"/>
      <c r="KH141" s="26"/>
      <c r="KI141" s="26"/>
      <c r="KJ141" s="26"/>
      <c r="KK141" s="26"/>
      <c r="KL141" s="26"/>
      <c r="KM141" s="26"/>
      <c r="KN141" s="26"/>
      <c r="KO141" s="26"/>
      <c r="KP141" s="26"/>
      <c r="KQ141" s="26"/>
      <c r="KR141" s="26"/>
      <c r="KS141" s="26"/>
      <c r="KT141" s="26"/>
      <c r="KU141" s="26"/>
      <c r="KV141" s="26"/>
      <c r="KW141" s="26"/>
      <c r="KX141" s="26"/>
      <c r="KY141" s="26"/>
      <c r="KZ141" s="26"/>
      <c r="LA141" s="26"/>
      <c r="LB141" s="26"/>
      <c r="LC141" s="26"/>
      <c r="LD141" s="26"/>
      <c r="LE141" s="26"/>
      <c r="LF141" s="26"/>
      <c r="LG141" s="26"/>
      <c r="LH141" s="26"/>
      <c r="LI141" s="26"/>
      <c r="LJ141" s="26"/>
      <c r="LK141" s="26"/>
      <c r="LL141" s="26"/>
      <c r="LM141" s="26"/>
      <c r="LN141" s="26"/>
      <c r="LO141" s="26"/>
      <c r="LP141" s="26"/>
      <c r="LQ141" s="26"/>
      <c r="LR141" s="26"/>
      <c r="LS141" s="26"/>
      <c r="LT141" s="26"/>
      <c r="LU141" s="26"/>
      <c r="LV141" s="26"/>
      <c r="LW141" s="26"/>
      <c r="LX141" s="26"/>
      <c r="LY141" s="26"/>
      <c r="LZ141" s="26"/>
      <c r="MA141" s="26"/>
      <c r="MB141" s="26"/>
      <c r="MC141" s="26"/>
      <c r="MD141" s="26"/>
      <c r="ME141" s="26"/>
      <c r="MF141" s="26"/>
      <c r="MG141" s="26"/>
      <c r="MH141" s="26"/>
      <c r="MI141" s="26"/>
      <c r="MJ141" s="26"/>
      <c r="MK141" s="26"/>
      <c r="ML141" s="26"/>
      <c r="MM141" s="26"/>
      <c r="MN141" s="26"/>
      <c r="MO141" s="26"/>
      <c r="MP141" s="26"/>
      <c r="MQ141" s="26"/>
      <c r="MR141" s="26"/>
      <c r="MS141" s="26"/>
      <c r="MT141" s="26"/>
      <c r="MU141" s="26"/>
      <c r="MV141" s="26"/>
      <c r="MW141" s="26"/>
      <c r="MX141" s="26"/>
      <c r="MY141" s="26"/>
      <c r="MZ141" s="26"/>
      <c r="NA141" s="26"/>
      <c r="NB141" s="26"/>
      <c r="NC141" s="26"/>
      <c r="ND141" s="26"/>
      <c r="NE141" s="26"/>
      <c r="NF141" s="26"/>
      <c r="NG141" s="26"/>
      <c r="NH141" s="26"/>
      <c r="NI141" s="26"/>
      <c r="NJ141" s="26"/>
      <c r="NK141" s="26"/>
      <c r="NL141" s="26"/>
      <c r="NM141" s="26"/>
      <c r="NN141" s="26"/>
      <c r="NO141" s="26"/>
      <c r="NP141" s="26"/>
      <c r="NQ141" s="26"/>
      <c r="NR141" s="26"/>
      <c r="NS141" s="26"/>
      <c r="NT141" s="26"/>
      <c r="NU141" s="26"/>
      <c r="NV141" s="26"/>
      <c r="NW141" s="26"/>
      <c r="NX141" s="26"/>
      <c r="NY141" s="26"/>
      <c r="NZ141" s="26"/>
      <c r="OA141" s="26"/>
      <c r="OB141" s="26"/>
      <c r="OC141" s="26"/>
      <c r="OD141" s="26"/>
      <c r="OE141" s="26"/>
      <c r="OF141" s="26"/>
      <c r="OG141" s="26"/>
      <c r="OH141" s="26"/>
      <c r="OI141" s="26"/>
      <c r="OJ141" s="26"/>
      <c r="OK141" s="26"/>
      <c r="OL141" s="26"/>
      <c r="OM141" s="26"/>
      <c r="ON141" s="26"/>
      <c r="OO141" s="26"/>
      <c r="OP141" s="26"/>
      <c r="OQ141" s="26"/>
      <c r="OR141" s="26"/>
      <c r="OS141" s="26"/>
      <c r="OT141" s="26"/>
      <c r="OU141" s="26"/>
      <c r="OV141" s="26"/>
      <c r="OW141" s="26"/>
      <c r="OX141" s="26"/>
      <c r="OY141" s="26"/>
      <c r="OZ141" s="26"/>
      <c r="PA141" s="26"/>
      <c r="PB141" s="26"/>
      <c r="PC141" s="26"/>
      <c r="PD141" s="26"/>
      <c r="PE141" s="26"/>
      <c r="PF141" s="26"/>
      <c r="PG141" s="26"/>
      <c r="PH141" s="26"/>
      <c r="PI141" s="26"/>
      <c r="PJ141" s="26"/>
      <c r="PK141" s="26"/>
      <c r="PL141" s="26"/>
      <c r="PM141" s="26"/>
      <c r="PN141" s="26"/>
      <c r="PO141" s="26"/>
      <c r="PP141" s="26"/>
      <c r="PQ141" s="26"/>
      <c r="PR141" s="26"/>
      <c r="PS141" s="26"/>
      <c r="PT141" s="26"/>
      <c r="PU141" s="26"/>
      <c r="PV141" s="26"/>
      <c r="PW141" s="26"/>
      <c r="PX141" s="26"/>
      <c r="PY141" s="26"/>
      <c r="PZ141" s="26"/>
      <c r="QA141" s="26"/>
      <c r="QB141" s="26"/>
      <c r="QC141" s="26"/>
      <c r="QD141" s="26"/>
      <c r="QE141" s="26"/>
      <c r="QF141" s="26"/>
      <c r="QG141" s="26"/>
      <c r="QH141" s="26"/>
      <c r="QI141" s="26"/>
      <c r="QJ141" s="26"/>
      <c r="QK141" s="26"/>
      <c r="QL141" s="26"/>
      <c r="QM141" s="26"/>
      <c r="QN141" s="26"/>
      <c r="QO141" s="26"/>
      <c r="QP141" s="26"/>
      <c r="QQ141" s="26"/>
      <c r="QR141" s="26"/>
      <c r="QS141" s="26"/>
      <c r="QT141" s="26"/>
      <c r="QU141" s="26"/>
      <c r="QV141" s="26"/>
      <c r="QW141" s="26"/>
      <c r="QX141" s="26"/>
      <c r="QY141" s="26"/>
      <c r="QZ141" s="26"/>
      <c r="RA141" s="26"/>
      <c r="RB141" s="26"/>
      <c r="RC141" s="26"/>
      <c r="RD141" s="26"/>
      <c r="RE141" s="26"/>
      <c r="RF141" s="26"/>
      <c r="RG141" s="26"/>
      <c r="RH141" s="26"/>
      <c r="RI141" s="26"/>
      <c r="RJ141" s="26"/>
      <c r="RK141" s="26"/>
      <c r="RL141" s="26"/>
      <c r="RM141" s="26"/>
      <c r="RN141" s="26"/>
      <c r="RO141" s="26"/>
      <c r="RP141" s="26"/>
      <c r="RQ141" s="26"/>
      <c r="RR141" s="26"/>
      <c r="RS141" s="26"/>
      <c r="RT141" s="26"/>
      <c r="RU141" s="26"/>
      <c r="RV141" s="26"/>
      <c r="RW141" s="26"/>
      <c r="RX141" s="26"/>
      <c r="RY141" s="26"/>
      <c r="RZ141" s="26"/>
      <c r="SA141" s="26"/>
      <c r="SB141" s="26"/>
      <c r="SC141" s="26"/>
      <c r="SD141" s="26"/>
      <c r="SE141" s="26"/>
      <c r="SF141" s="26"/>
      <c r="SG141" s="26"/>
      <c r="SH141" s="26"/>
      <c r="SI141" s="26"/>
      <c r="SJ141" s="26"/>
      <c r="SK141" s="26"/>
      <c r="SL141" s="26"/>
      <c r="SM141" s="26"/>
      <c r="SN141" s="26"/>
      <c r="SO141" s="26"/>
      <c r="SP141" s="26"/>
      <c r="SQ141" s="26"/>
      <c r="SR141" s="26"/>
      <c r="SS141" s="26"/>
      <c r="ST141" s="26"/>
      <c r="SU141" s="26"/>
      <c r="SV141" s="26"/>
      <c r="SW141" s="26"/>
      <c r="SX141" s="26"/>
      <c r="SY141" s="26"/>
      <c r="SZ141" s="26"/>
      <c r="TA141" s="26"/>
      <c r="TB141" s="26"/>
      <c r="TC141" s="26"/>
      <c r="TD141" s="26"/>
      <c r="TE141" s="26"/>
      <c r="TF141" s="26"/>
      <c r="TG141" s="26"/>
      <c r="TH141" s="26"/>
      <c r="TI141" s="26"/>
    </row>
    <row r="142" spans="1:529" s="23" customFormat="1" ht="27.75" customHeight="1" x14ac:dyDescent="0.25">
      <c r="A142" s="43" t="s">
        <v>301</v>
      </c>
      <c r="B142" s="44" t="str">
        <f>'дод 4'!A92</f>
        <v>6015</v>
      </c>
      <c r="C142" s="44" t="str">
        <f>'дод 4'!B92</f>
        <v>0620</v>
      </c>
      <c r="D142" s="24" t="str">
        <f>'дод 4'!C92</f>
        <v>Забезпечення надійної та безперебійної експлуатації ліфтів</v>
      </c>
      <c r="E142" s="69">
        <f t="shared" si="69"/>
        <v>193887</v>
      </c>
      <c r="F142" s="69">
        <f>200000-6113</f>
        <v>193887</v>
      </c>
      <c r="G142" s="69"/>
      <c r="H142" s="69"/>
      <c r="I142" s="69"/>
      <c r="J142" s="69">
        <f t="shared" si="71"/>
        <v>13408448.83</v>
      </c>
      <c r="K142" s="69">
        <f>15000000+9-1500000-405560.17+164000+100000-935318+935318</f>
        <v>13358448.83</v>
      </c>
      <c r="L142" s="69"/>
      <c r="M142" s="69"/>
      <c r="N142" s="69"/>
      <c r="O142" s="69">
        <f>15000000+50000+9-1500000-405560.17+164000+100000-935318+935318</f>
        <v>13408448.83</v>
      </c>
      <c r="P142" s="69">
        <f t="shared" si="70"/>
        <v>13602335.83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  <c r="JK142" s="26"/>
      <c r="JL142" s="26"/>
      <c r="JM142" s="26"/>
      <c r="JN142" s="26"/>
      <c r="JO142" s="26"/>
      <c r="JP142" s="26"/>
      <c r="JQ142" s="26"/>
      <c r="JR142" s="26"/>
      <c r="JS142" s="26"/>
      <c r="JT142" s="26"/>
      <c r="JU142" s="26"/>
      <c r="JV142" s="26"/>
      <c r="JW142" s="26"/>
      <c r="JX142" s="26"/>
      <c r="JY142" s="26"/>
      <c r="JZ142" s="26"/>
      <c r="KA142" s="26"/>
      <c r="KB142" s="26"/>
      <c r="KC142" s="26"/>
      <c r="KD142" s="26"/>
      <c r="KE142" s="26"/>
      <c r="KF142" s="26"/>
      <c r="KG142" s="26"/>
      <c r="KH142" s="26"/>
      <c r="KI142" s="26"/>
      <c r="KJ142" s="26"/>
      <c r="KK142" s="26"/>
      <c r="KL142" s="26"/>
      <c r="KM142" s="26"/>
      <c r="KN142" s="26"/>
      <c r="KO142" s="26"/>
      <c r="KP142" s="26"/>
      <c r="KQ142" s="26"/>
      <c r="KR142" s="26"/>
      <c r="KS142" s="26"/>
      <c r="KT142" s="26"/>
      <c r="KU142" s="26"/>
      <c r="KV142" s="26"/>
      <c r="KW142" s="26"/>
      <c r="KX142" s="26"/>
      <c r="KY142" s="26"/>
      <c r="KZ142" s="26"/>
      <c r="LA142" s="26"/>
      <c r="LB142" s="26"/>
      <c r="LC142" s="26"/>
      <c r="LD142" s="26"/>
      <c r="LE142" s="26"/>
      <c r="LF142" s="26"/>
      <c r="LG142" s="26"/>
      <c r="LH142" s="26"/>
      <c r="LI142" s="26"/>
      <c r="LJ142" s="26"/>
      <c r="LK142" s="26"/>
      <c r="LL142" s="26"/>
      <c r="LM142" s="26"/>
      <c r="LN142" s="26"/>
      <c r="LO142" s="26"/>
      <c r="LP142" s="26"/>
      <c r="LQ142" s="26"/>
      <c r="LR142" s="26"/>
      <c r="LS142" s="26"/>
      <c r="LT142" s="26"/>
      <c r="LU142" s="26"/>
      <c r="LV142" s="26"/>
      <c r="LW142" s="26"/>
      <c r="LX142" s="26"/>
      <c r="LY142" s="26"/>
      <c r="LZ142" s="26"/>
      <c r="MA142" s="26"/>
      <c r="MB142" s="26"/>
      <c r="MC142" s="26"/>
      <c r="MD142" s="26"/>
      <c r="ME142" s="26"/>
      <c r="MF142" s="26"/>
      <c r="MG142" s="26"/>
      <c r="MH142" s="26"/>
      <c r="MI142" s="26"/>
      <c r="MJ142" s="26"/>
      <c r="MK142" s="26"/>
      <c r="ML142" s="26"/>
      <c r="MM142" s="26"/>
      <c r="MN142" s="26"/>
      <c r="MO142" s="26"/>
      <c r="MP142" s="26"/>
      <c r="MQ142" s="26"/>
      <c r="MR142" s="26"/>
      <c r="MS142" s="26"/>
      <c r="MT142" s="26"/>
      <c r="MU142" s="26"/>
      <c r="MV142" s="26"/>
      <c r="MW142" s="26"/>
      <c r="MX142" s="26"/>
      <c r="MY142" s="26"/>
      <c r="MZ142" s="26"/>
      <c r="NA142" s="26"/>
      <c r="NB142" s="26"/>
      <c r="NC142" s="26"/>
      <c r="ND142" s="26"/>
      <c r="NE142" s="26"/>
      <c r="NF142" s="26"/>
      <c r="NG142" s="26"/>
      <c r="NH142" s="26"/>
      <c r="NI142" s="26"/>
      <c r="NJ142" s="26"/>
      <c r="NK142" s="26"/>
      <c r="NL142" s="26"/>
      <c r="NM142" s="26"/>
      <c r="NN142" s="26"/>
      <c r="NO142" s="26"/>
      <c r="NP142" s="26"/>
      <c r="NQ142" s="26"/>
      <c r="NR142" s="26"/>
      <c r="NS142" s="26"/>
      <c r="NT142" s="26"/>
      <c r="NU142" s="26"/>
      <c r="NV142" s="26"/>
      <c r="NW142" s="26"/>
      <c r="NX142" s="26"/>
      <c r="NY142" s="26"/>
      <c r="NZ142" s="26"/>
      <c r="OA142" s="26"/>
      <c r="OB142" s="26"/>
      <c r="OC142" s="26"/>
      <c r="OD142" s="26"/>
      <c r="OE142" s="26"/>
      <c r="OF142" s="26"/>
      <c r="OG142" s="26"/>
      <c r="OH142" s="26"/>
      <c r="OI142" s="26"/>
      <c r="OJ142" s="26"/>
      <c r="OK142" s="26"/>
      <c r="OL142" s="26"/>
      <c r="OM142" s="26"/>
      <c r="ON142" s="26"/>
      <c r="OO142" s="26"/>
      <c r="OP142" s="26"/>
      <c r="OQ142" s="26"/>
      <c r="OR142" s="26"/>
      <c r="OS142" s="26"/>
      <c r="OT142" s="26"/>
      <c r="OU142" s="26"/>
      <c r="OV142" s="26"/>
      <c r="OW142" s="26"/>
      <c r="OX142" s="26"/>
      <c r="OY142" s="26"/>
      <c r="OZ142" s="26"/>
      <c r="PA142" s="26"/>
      <c r="PB142" s="26"/>
      <c r="PC142" s="26"/>
      <c r="PD142" s="26"/>
      <c r="PE142" s="26"/>
      <c r="PF142" s="26"/>
      <c r="PG142" s="26"/>
      <c r="PH142" s="26"/>
      <c r="PI142" s="26"/>
      <c r="PJ142" s="26"/>
      <c r="PK142" s="26"/>
      <c r="PL142" s="26"/>
      <c r="PM142" s="26"/>
      <c r="PN142" s="26"/>
      <c r="PO142" s="26"/>
      <c r="PP142" s="26"/>
      <c r="PQ142" s="26"/>
      <c r="PR142" s="26"/>
      <c r="PS142" s="26"/>
      <c r="PT142" s="26"/>
      <c r="PU142" s="26"/>
      <c r="PV142" s="26"/>
      <c r="PW142" s="26"/>
      <c r="PX142" s="26"/>
      <c r="PY142" s="26"/>
      <c r="PZ142" s="26"/>
      <c r="QA142" s="26"/>
      <c r="QB142" s="26"/>
      <c r="QC142" s="26"/>
      <c r="QD142" s="26"/>
      <c r="QE142" s="26"/>
      <c r="QF142" s="26"/>
      <c r="QG142" s="26"/>
      <c r="QH142" s="26"/>
      <c r="QI142" s="26"/>
      <c r="QJ142" s="26"/>
      <c r="QK142" s="26"/>
      <c r="QL142" s="26"/>
      <c r="QM142" s="26"/>
      <c r="QN142" s="26"/>
      <c r="QO142" s="26"/>
      <c r="QP142" s="26"/>
      <c r="QQ142" s="26"/>
      <c r="QR142" s="26"/>
      <c r="QS142" s="26"/>
      <c r="QT142" s="26"/>
      <c r="QU142" s="26"/>
      <c r="QV142" s="26"/>
      <c r="QW142" s="26"/>
      <c r="QX142" s="26"/>
      <c r="QY142" s="26"/>
      <c r="QZ142" s="26"/>
      <c r="RA142" s="26"/>
      <c r="RB142" s="26"/>
      <c r="RC142" s="26"/>
      <c r="RD142" s="26"/>
      <c r="RE142" s="26"/>
      <c r="RF142" s="26"/>
      <c r="RG142" s="26"/>
      <c r="RH142" s="26"/>
      <c r="RI142" s="26"/>
      <c r="RJ142" s="26"/>
      <c r="RK142" s="26"/>
      <c r="RL142" s="26"/>
      <c r="RM142" s="26"/>
      <c r="RN142" s="26"/>
      <c r="RO142" s="26"/>
      <c r="RP142" s="26"/>
      <c r="RQ142" s="26"/>
      <c r="RR142" s="26"/>
      <c r="RS142" s="26"/>
      <c r="RT142" s="26"/>
      <c r="RU142" s="26"/>
      <c r="RV142" s="26"/>
      <c r="RW142" s="26"/>
      <c r="RX142" s="26"/>
      <c r="RY142" s="26"/>
      <c r="RZ142" s="26"/>
      <c r="SA142" s="26"/>
      <c r="SB142" s="26"/>
      <c r="SC142" s="26"/>
      <c r="SD142" s="26"/>
      <c r="SE142" s="26"/>
      <c r="SF142" s="26"/>
      <c r="SG142" s="26"/>
      <c r="SH142" s="26"/>
      <c r="SI142" s="26"/>
      <c r="SJ142" s="26"/>
      <c r="SK142" s="26"/>
      <c r="SL142" s="26"/>
      <c r="SM142" s="26"/>
      <c r="SN142" s="26"/>
      <c r="SO142" s="26"/>
      <c r="SP142" s="26"/>
      <c r="SQ142" s="26"/>
      <c r="SR142" s="26"/>
      <c r="SS142" s="26"/>
      <c r="ST142" s="26"/>
      <c r="SU142" s="26"/>
      <c r="SV142" s="26"/>
      <c r="SW142" s="26"/>
      <c r="SX142" s="26"/>
      <c r="SY142" s="26"/>
      <c r="SZ142" s="26"/>
      <c r="TA142" s="26"/>
      <c r="TB142" s="26"/>
      <c r="TC142" s="26"/>
      <c r="TD142" s="26"/>
      <c r="TE142" s="26"/>
      <c r="TF142" s="26"/>
      <c r="TG142" s="26"/>
      <c r="TH142" s="26"/>
      <c r="TI142" s="26"/>
    </row>
    <row r="143" spans="1:529" s="23" customFormat="1" ht="38.25" customHeight="1" x14ac:dyDescent="0.25">
      <c r="A143" s="43" t="s">
        <v>304</v>
      </c>
      <c r="B143" s="44" t="str">
        <f>'дод 4'!A93</f>
        <v>6017</v>
      </c>
      <c r="C143" s="44" t="str">
        <f>'дод 4'!B93</f>
        <v>0620</v>
      </c>
      <c r="D143" s="24" t="str">
        <f>'дод 4'!C93</f>
        <v>Інша діяльність, пов’язана з експлуатацією об’єктів житлово-комунального господарства</v>
      </c>
      <c r="E143" s="69">
        <f t="shared" si="69"/>
        <v>100000</v>
      </c>
      <c r="F143" s="69">
        <f>100000+1500000-1500000</f>
        <v>100000</v>
      </c>
      <c r="G143" s="69"/>
      <c r="H143" s="69"/>
      <c r="I143" s="69"/>
      <c r="J143" s="69">
        <f t="shared" si="71"/>
        <v>0</v>
      </c>
      <c r="K143" s="69"/>
      <c r="L143" s="69"/>
      <c r="M143" s="69"/>
      <c r="N143" s="69"/>
      <c r="O143" s="69"/>
      <c r="P143" s="69">
        <f t="shared" si="70"/>
        <v>100000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  <c r="JK143" s="26"/>
      <c r="JL143" s="26"/>
      <c r="JM143" s="26"/>
      <c r="JN143" s="26"/>
      <c r="JO143" s="26"/>
      <c r="JP143" s="26"/>
      <c r="JQ143" s="26"/>
      <c r="JR143" s="26"/>
      <c r="JS143" s="26"/>
      <c r="JT143" s="26"/>
      <c r="JU143" s="26"/>
      <c r="JV143" s="26"/>
      <c r="JW143" s="26"/>
      <c r="JX143" s="26"/>
      <c r="JY143" s="26"/>
      <c r="JZ143" s="26"/>
      <c r="KA143" s="26"/>
      <c r="KB143" s="26"/>
      <c r="KC143" s="26"/>
      <c r="KD143" s="26"/>
      <c r="KE143" s="26"/>
      <c r="KF143" s="26"/>
      <c r="KG143" s="26"/>
      <c r="KH143" s="26"/>
      <c r="KI143" s="26"/>
      <c r="KJ143" s="26"/>
      <c r="KK143" s="26"/>
      <c r="KL143" s="26"/>
      <c r="KM143" s="26"/>
      <c r="KN143" s="26"/>
      <c r="KO143" s="26"/>
      <c r="KP143" s="26"/>
      <c r="KQ143" s="26"/>
      <c r="KR143" s="26"/>
      <c r="KS143" s="26"/>
      <c r="KT143" s="26"/>
      <c r="KU143" s="26"/>
      <c r="KV143" s="26"/>
      <c r="KW143" s="26"/>
      <c r="KX143" s="26"/>
      <c r="KY143" s="26"/>
      <c r="KZ143" s="26"/>
      <c r="LA143" s="26"/>
      <c r="LB143" s="26"/>
      <c r="LC143" s="26"/>
      <c r="LD143" s="26"/>
      <c r="LE143" s="26"/>
      <c r="LF143" s="26"/>
      <c r="LG143" s="26"/>
      <c r="LH143" s="26"/>
      <c r="LI143" s="26"/>
      <c r="LJ143" s="26"/>
      <c r="LK143" s="26"/>
      <c r="LL143" s="26"/>
      <c r="LM143" s="26"/>
      <c r="LN143" s="26"/>
      <c r="LO143" s="26"/>
      <c r="LP143" s="26"/>
      <c r="LQ143" s="26"/>
      <c r="LR143" s="26"/>
      <c r="LS143" s="26"/>
      <c r="LT143" s="26"/>
      <c r="LU143" s="26"/>
      <c r="LV143" s="26"/>
      <c r="LW143" s="26"/>
      <c r="LX143" s="26"/>
      <c r="LY143" s="26"/>
      <c r="LZ143" s="26"/>
      <c r="MA143" s="26"/>
      <c r="MB143" s="26"/>
      <c r="MC143" s="26"/>
      <c r="MD143" s="26"/>
      <c r="ME143" s="26"/>
      <c r="MF143" s="26"/>
      <c r="MG143" s="26"/>
      <c r="MH143" s="26"/>
      <c r="MI143" s="26"/>
      <c r="MJ143" s="26"/>
      <c r="MK143" s="26"/>
      <c r="ML143" s="26"/>
      <c r="MM143" s="26"/>
      <c r="MN143" s="26"/>
      <c r="MO143" s="26"/>
      <c r="MP143" s="26"/>
      <c r="MQ143" s="26"/>
      <c r="MR143" s="26"/>
      <c r="MS143" s="26"/>
      <c r="MT143" s="26"/>
      <c r="MU143" s="26"/>
      <c r="MV143" s="26"/>
      <c r="MW143" s="26"/>
      <c r="MX143" s="26"/>
      <c r="MY143" s="26"/>
      <c r="MZ143" s="26"/>
      <c r="NA143" s="26"/>
      <c r="NB143" s="26"/>
      <c r="NC143" s="26"/>
      <c r="ND143" s="26"/>
      <c r="NE143" s="26"/>
      <c r="NF143" s="26"/>
      <c r="NG143" s="26"/>
      <c r="NH143" s="26"/>
      <c r="NI143" s="26"/>
      <c r="NJ143" s="26"/>
      <c r="NK143" s="26"/>
      <c r="NL143" s="26"/>
      <c r="NM143" s="26"/>
      <c r="NN143" s="26"/>
      <c r="NO143" s="26"/>
      <c r="NP143" s="26"/>
      <c r="NQ143" s="26"/>
      <c r="NR143" s="26"/>
      <c r="NS143" s="26"/>
      <c r="NT143" s="26"/>
      <c r="NU143" s="26"/>
      <c r="NV143" s="26"/>
      <c r="NW143" s="26"/>
      <c r="NX143" s="26"/>
      <c r="NY143" s="26"/>
      <c r="NZ143" s="26"/>
      <c r="OA143" s="26"/>
      <c r="OB143" s="26"/>
      <c r="OC143" s="26"/>
      <c r="OD143" s="26"/>
      <c r="OE143" s="26"/>
      <c r="OF143" s="26"/>
      <c r="OG143" s="26"/>
      <c r="OH143" s="26"/>
      <c r="OI143" s="26"/>
      <c r="OJ143" s="26"/>
      <c r="OK143" s="26"/>
      <c r="OL143" s="26"/>
      <c r="OM143" s="26"/>
      <c r="ON143" s="26"/>
      <c r="OO143" s="26"/>
      <c r="OP143" s="26"/>
      <c r="OQ143" s="26"/>
      <c r="OR143" s="26"/>
      <c r="OS143" s="26"/>
      <c r="OT143" s="26"/>
      <c r="OU143" s="26"/>
      <c r="OV143" s="26"/>
      <c r="OW143" s="26"/>
      <c r="OX143" s="26"/>
      <c r="OY143" s="26"/>
      <c r="OZ143" s="26"/>
      <c r="PA143" s="26"/>
      <c r="PB143" s="26"/>
      <c r="PC143" s="26"/>
      <c r="PD143" s="26"/>
      <c r="PE143" s="26"/>
      <c r="PF143" s="26"/>
      <c r="PG143" s="26"/>
      <c r="PH143" s="26"/>
      <c r="PI143" s="26"/>
      <c r="PJ143" s="26"/>
      <c r="PK143" s="26"/>
      <c r="PL143" s="26"/>
      <c r="PM143" s="26"/>
      <c r="PN143" s="26"/>
      <c r="PO143" s="26"/>
      <c r="PP143" s="26"/>
      <c r="PQ143" s="26"/>
      <c r="PR143" s="26"/>
      <c r="PS143" s="26"/>
      <c r="PT143" s="26"/>
      <c r="PU143" s="26"/>
      <c r="PV143" s="26"/>
      <c r="PW143" s="26"/>
      <c r="PX143" s="26"/>
      <c r="PY143" s="26"/>
      <c r="PZ143" s="26"/>
      <c r="QA143" s="26"/>
      <c r="QB143" s="26"/>
      <c r="QC143" s="26"/>
      <c r="QD143" s="26"/>
      <c r="QE143" s="26"/>
      <c r="QF143" s="26"/>
      <c r="QG143" s="26"/>
      <c r="QH143" s="26"/>
      <c r="QI143" s="26"/>
      <c r="QJ143" s="26"/>
      <c r="QK143" s="26"/>
      <c r="QL143" s="26"/>
      <c r="QM143" s="26"/>
      <c r="QN143" s="26"/>
      <c r="QO143" s="26"/>
      <c r="QP143" s="26"/>
      <c r="QQ143" s="26"/>
      <c r="QR143" s="26"/>
      <c r="QS143" s="26"/>
      <c r="QT143" s="26"/>
      <c r="QU143" s="26"/>
      <c r="QV143" s="26"/>
      <c r="QW143" s="26"/>
      <c r="QX143" s="26"/>
      <c r="QY143" s="26"/>
      <c r="QZ143" s="26"/>
      <c r="RA143" s="26"/>
      <c r="RB143" s="26"/>
      <c r="RC143" s="26"/>
      <c r="RD143" s="26"/>
      <c r="RE143" s="26"/>
      <c r="RF143" s="26"/>
      <c r="RG143" s="26"/>
      <c r="RH143" s="26"/>
      <c r="RI143" s="26"/>
      <c r="RJ143" s="26"/>
      <c r="RK143" s="26"/>
      <c r="RL143" s="26"/>
      <c r="RM143" s="26"/>
      <c r="RN143" s="26"/>
      <c r="RO143" s="26"/>
      <c r="RP143" s="26"/>
      <c r="RQ143" s="26"/>
      <c r="RR143" s="26"/>
      <c r="RS143" s="26"/>
      <c r="RT143" s="26"/>
      <c r="RU143" s="26"/>
      <c r="RV143" s="26"/>
      <c r="RW143" s="26"/>
      <c r="RX143" s="26"/>
      <c r="RY143" s="26"/>
      <c r="RZ143" s="26"/>
      <c r="SA143" s="26"/>
      <c r="SB143" s="26"/>
      <c r="SC143" s="26"/>
      <c r="SD143" s="26"/>
      <c r="SE143" s="26"/>
      <c r="SF143" s="26"/>
      <c r="SG143" s="26"/>
      <c r="SH143" s="26"/>
      <c r="SI143" s="26"/>
      <c r="SJ143" s="26"/>
      <c r="SK143" s="26"/>
      <c r="SL143" s="26"/>
      <c r="SM143" s="26"/>
      <c r="SN143" s="26"/>
      <c r="SO143" s="26"/>
      <c r="SP143" s="26"/>
      <c r="SQ143" s="26"/>
      <c r="SR143" s="26"/>
      <c r="SS143" s="26"/>
      <c r="ST143" s="26"/>
      <c r="SU143" s="26"/>
      <c r="SV143" s="26"/>
      <c r="SW143" s="26"/>
      <c r="SX143" s="26"/>
      <c r="SY143" s="26"/>
      <c r="SZ143" s="26"/>
      <c r="TA143" s="26"/>
      <c r="TB143" s="26"/>
      <c r="TC143" s="26"/>
      <c r="TD143" s="26"/>
      <c r="TE143" s="26"/>
      <c r="TF143" s="26"/>
      <c r="TG143" s="26"/>
      <c r="TH143" s="26"/>
      <c r="TI143" s="26"/>
    </row>
    <row r="144" spans="1:529" s="23" customFormat="1" ht="45" x14ac:dyDescent="0.25">
      <c r="A144" s="43" t="s">
        <v>236</v>
      </c>
      <c r="B144" s="44" t="str">
        <f>'дод 4'!A94</f>
        <v>6020</v>
      </c>
      <c r="C144" s="44" t="str">
        <f>'дод 4'!B94</f>
        <v>0620</v>
      </c>
      <c r="D144" s="24" t="str">
        <f>'дод 4'!C94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44" s="69">
        <f t="shared" si="69"/>
        <v>2605232</v>
      </c>
      <c r="F144" s="69"/>
      <c r="G144" s="69"/>
      <c r="H144" s="69"/>
      <c r="I144" s="69">
        <f>2595232+2000000+10000-2000000</f>
        <v>2605232</v>
      </c>
      <c r="J144" s="69">
        <f t="shared" si="71"/>
        <v>2000000</v>
      </c>
      <c r="K144" s="69">
        <f>2000000-2000000+2000000</f>
        <v>2000000</v>
      </c>
      <c r="L144" s="69"/>
      <c r="M144" s="69"/>
      <c r="N144" s="69"/>
      <c r="O144" s="69">
        <f>2000000-2000000+2000000</f>
        <v>2000000</v>
      </c>
      <c r="P144" s="69">
        <f t="shared" si="70"/>
        <v>4605232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  <c r="IW144" s="26"/>
      <c r="IX144" s="26"/>
      <c r="IY144" s="26"/>
      <c r="IZ144" s="26"/>
      <c r="JA144" s="26"/>
      <c r="JB144" s="26"/>
      <c r="JC144" s="26"/>
      <c r="JD144" s="26"/>
      <c r="JE144" s="26"/>
      <c r="JF144" s="26"/>
      <c r="JG144" s="26"/>
      <c r="JH144" s="26"/>
      <c r="JI144" s="26"/>
      <c r="JJ144" s="26"/>
      <c r="JK144" s="26"/>
      <c r="JL144" s="26"/>
      <c r="JM144" s="26"/>
      <c r="JN144" s="26"/>
      <c r="JO144" s="26"/>
      <c r="JP144" s="26"/>
      <c r="JQ144" s="26"/>
      <c r="JR144" s="26"/>
      <c r="JS144" s="26"/>
      <c r="JT144" s="26"/>
      <c r="JU144" s="26"/>
      <c r="JV144" s="26"/>
      <c r="JW144" s="26"/>
      <c r="JX144" s="26"/>
      <c r="JY144" s="26"/>
      <c r="JZ144" s="26"/>
      <c r="KA144" s="26"/>
      <c r="KB144" s="26"/>
      <c r="KC144" s="26"/>
      <c r="KD144" s="26"/>
      <c r="KE144" s="26"/>
      <c r="KF144" s="26"/>
      <c r="KG144" s="26"/>
      <c r="KH144" s="26"/>
      <c r="KI144" s="26"/>
      <c r="KJ144" s="26"/>
      <c r="KK144" s="26"/>
      <c r="KL144" s="26"/>
      <c r="KM144" s="26"/>
      <c r="KN144" s="26"/>
      <c r="KO144" s="26"/>
      <c r="KP144" s="26"/>
      <c r="KQ144" s="26"/>
      <c r="KR144" s="26"/>
      <c r="KS144" s="26"/>
      <c r="KT144" s="26"/>
      <c r="KU144" s="26"/>
      <c r="KV144" s="26"/>
      <c r="KW144" s="26"/>
      <c r="KX144" s="26"/>
      <c r="KY144" s="26"/>
      <c r="KZ144" s="26"/>
      <c r="LA144" s="26"/>
      <c r="LB144" s="26"/>
      <c r="LC144" s="26"/>
      <c r="LD144" s="26"/>
      <c r="LE144" s="26"/>
      <c r="LF144" s="26"/>
      <c r="LG144" s="26"/>
      <c r="LH144" s="26"/>
      <c r="LI144" s="26"/>
      <c r="LJ144" s="26"/>
      <c r="LK144" s="26"/>
      <c r="LL144" s="26"/>
      <c r="LM144" s="26"/>
      <c r="LN144" s="26"/>
      <c r="LO144" s="26"/>
      <c r="LP144" s="26"/>
      <c r="LQ144" s="26"/>
      <c r="LR144" s="26"/>
      <c r="LS144" s="26"/>
      <c r="LT144" s="26"/>
      <c r="LU144" s="26"/>
      <c r="LV144" s="26"/>
      <c r="LW144" s="26"/>
      <c r="LX144" s="26"/>
      <c r="LY144" s="26"/>
      <c r="LZ144" s="26"/>
      <c r="MA144" s="26"/>
      <c r="MB144" s="26"/>
      <c r="MC144" s="26"/>
      <c r="MD144" s="26"/>
      <c r="ME144" s="26"/>
      <c r="MF144" s="26"/>
      <c r="MG144" s="26"/>
      <c r="MH144" s="26"/>
      <c r="MI144" s="26"/>
      <c r="MJ144" s="26"/>
      <c r="MK144" s="26"/>
      <c r="ML144" s="26"/>
      <c r="MM144" s="26"/>
      <c r="MN144" s="26"/>
      <c r="MO144" s="26"/>
      <c r="MP144" s="26"/>
      <c r="MQ144" s="26"/>
      <c r="MR144" s="26"/>
      <c r="MS144" s="26"/>
      <c r="MT144" s="26"/>
      <c r="MU144" s="26"/>
      <c r="MV144" s="26"/>
      <c r="MW144" s="26"/>
      <c r="MX144" s="26"/>
      <c r="MY144" s="26"/>
      <c r="MZ144" s="26"/>
      <c r="NA144" s="26"/>
      <c r="NB144" s="26"/>
      <c r="NC144" s="26"/>
      <c r="ND144" s="26"/>
      <c r="NE144" s="26"/>
      <c r="NF144" s="26"/>
      <c r="NG144" s="26"/>
      <c r="NH144" s="26"/>
      <c r="NI144" s="26"/>
      <c r="NJ144" s="26"/>
      <c r="NK144" s="26"/>
      <c r="NL144" s="26"/>
      <c r="NM144" s="26"/>
      <c r="NN144" s="26"/>
      <c r="NO144" s="26"/>
      <c r="NP144" s="26"/>
      <c r="NQ144" s="26"/>
      <c r="NR144" s="26"/>
      <c r="NS144" s="26"/>
      <c r="NT144" s="26"/>
      <c r="NU144" s="26"/>
      <c r="NV144" s="26"/>
      <c r="NW144" s="26"/>
      <c r="NX144" s="26"/>
      <c r="NY144" s="26"/>
      <c r="NZ144" s="26"/>
      <c r="OA144" s="26"/>
      <c r="OB144" s="26"/>
      <c r="OC144" s="26"/>
      <c r="OD144" s="26"/>
      <c r="OE144" s="26"/>
      <c r="OF144" s="26"/>
      <c r="OG144" s="26"/>
      <c r="OH144" s="26"/>
      <c r="OI144" s="26"/>
      <c r="OJ144" s="26"/>
      <c r="OK144" s="26"/>
      <c r="OL144" s="26"/>
      <c r="OM144" s="26"/>
      <c r="ON144" s="26"/>
      <c r="OO144" s="26"/>
      <c r="OP144" s="26"/>
      <c r="OQ144" s="26"/>
      <c r="OR144" s="26"/>
      <c r="OS144" s="26"/>
      <c r="OT144" s="26"/>
      <c r="OU144" s="26"/>
      <c r="OV144" s="26"/>
      <c r="OW144" s="26"/>
      <c r="OX144" s="26"/>
      <c r="OY144" s="26"/>
      <c r="OZ144" s="26"/>
      <c r="PA144" s="26"/>
      <c r="PB144" s="26"/>
      <c r="PC144" s="26"/>
      <c r="PD144" s="26"/>
      <c r="PE144" s="26"/>
      <c r="PF144" s="26"/>
      <c r="PG144" s="26"/>
      <c r="PH144" s="26"/>
      <c r="PI144" s="26"/>
      <c r="PJ144" s="26"/>
      <c r="PK144" s="26"/>
      <c r="PL144" s="26"/>
      <c r="PM144" s="26"/>
      <c r="PN144" s="26"/>
      <c r="PO144" s="26"/>
      <c r="PP144" s="26"/>
      <c r="PQ144" s="26"/>
      <c r="PR144" s="26"/>
      <c r="PS144" s="26"/>
      <c r="PT144" s="26"/>
      <c r="PU144" s="26"/>
      <c r="PV144" s="26"/>
      <c r="PW144" s="26"/>
      <c r="PX144" s="26"/>
      <c r="PY144" s="26"/>
      <c r="PZ144" s="26"/>
      <c r="QA144" s="26"/>
      <c r="QB144" s="26"/>
      <c r="QC144" s="26"/>
      <c r="QD144" s="26"/>
      <c r="QE144" s="26"/>
      <c r="QF144" s="26"/>
      <c r="QG144" s="26"/>
      <c r="QH144" s="26"/>
      <c r="QI144" s="26"/>
      <c r="QJ144" s="26"/>
      <c r="QK144" s="26"/>
      <c r="QL144" s="26"/>
      <c r="QM144" s="26"/>
      <c r="QN144" s="26"/>
      <c r="QO144" s="26"/>
      <c r="QP144" s="26"/>
      <c r="QQ144" s="26"/>
      <c r="QR144" s="26"/>
      <c r="QS144" s="26"/>
      <c r="QT144" s="26"/>
      <c r="QU144" s="26"/>
      <c r="QV144" s="26"/>
      <c r="QW144" s="26"/>
      <c r="QX144" s="26"/>
      <c r="QY144" s="26"/>
      <c r="QZ144" s="26"/>
      <c r="RA144" s="26"/>
      <c r="RB144" s="26"/>
      <c r="RC144" s="26"/>
      <c r="RD144" s="26"/>
      <c r="RE144" s="26"/>
      <c r="RF144" s="26"/>
      <c r="RG144" s="26"/>
      <c r="RH144" s="26"/>
      <c r="RI144" s="26"/>
      <c r="RJ144" s="26"/>
      <c r="RK144" s="26"/>
      <c r="RL144" s="26"/>
      <c r="RM144" s="26"/>
      <c r="RN144" s="26"/>
      <c r="RO144" s="26"/>
      <c r="RP144" s="26"/>
      <c r="RQ144" s="26"/>
      <c r="RR144" s="26"/>
      <c r="RS144" s="26"/>
      <c r="RT144" s="26"/>
      <c r="RU144" s="26"/>
      <c r="RV144" s="26"/>
      <c r="RW144" s="26"/>
      <c r="RX144" s="26"/>
      <c r="RY144" s="26"/>
      <c r="RZ144" s="26"/>
      <c r="SA144" s="26"/>
      <c r="SB144" s="26"/>
      <c r="SC144" s="26"/>
      <c r="SD144" s="26"/>
      <c r="SE144" s="26"/>
      <c r="SF144" s="26"/>
      <c r="SG144" s="26"/>
      <c r="SH144" s="26"/>
      <c r="SI144" s="26"/>
      <c r="SJ144" s="26"/>
      <c r="SK144" s="26"/>
      <c r="SL144" s="26"/>
      <c r="SM144" s="26"/>
      <c r="SN144" s="26"/>
      <c r="SO144" s="26"/>
      <c r="SP144" s="26"/>
      <c r="SQ144" s="26"/>
      <c r="SR144" s="26"/>
      <c r="SS144" s="26"/>
      <c r="ST144" s="26"/>
      <c r="SU144" s="26"/>
      <c r="SV144" s="26"/>
      <c r="SW144" s="26"/>
      <c r="SX144" s="26"/>
      <c r="SY144" s="26"/>
      <c r="SZ144" s="26"/>
      <c r="TA144" s="26"/>
      <c r="TB144" s="26"/>
      <c r="TC144" s="26"/>
      <c r="TD144" s="26"/>
      <c r="TE144" s="26"/>
      <c r="TF144" s="26"/>
      <c r="TG144" s="26"/>
      <c r="TH144" s="26"/>
      <c r="TI144" s="26"/>
    </row>
    <row r="145" spans="1:529" s="23" customFormat="1" ht="21.75" customHeight="1" x14ac:dyDescent="0.25">
      <c r="A145" s="43" t="s">
        <v>237</v>
      </c>
      <c r="B145" s="44" t="str">
        <f>'дод 4'!A95</f>
        <v>6030</v>
      </c>
      <c r="C145" s="44" t="str">
        <f>'дод 4'!B95</f>
        <v>0620</v>
      </c>
      <c r="D145" s="24" t="str">
        <f>'дод 4'!C95</f>
        <v>Організація благоустрою населених пунктів</v>
      </c>
      <c r="E145" s="69">
        <f t="shared" si="69"/>
        <v>192550441.56999999</v>
      </c>
      <c r="F145" s="69">
        <f>191911836-108000-2000000-100000-2000000+2907700+786500+575000+788511.57-2000000+199000-300000-100000+489939+100000-95000+377000+150000-16200-180000+180000-200000-127000+900000+211155+200000</f>
        <v>192550441.56999999</v>
      </c>
      <c r="G145" s="69"/>
      <c r="H145" s="69">
        <f>27870906-16200-180000-59000</f>
        <v>27615706</v>
      </c>
      <c r="I145" s="69"/>
      <c r="J145" s="69">
        <f t="shared" si="71"/>
        <v>35861304.150000006</v>
      </c>
      <c r="K145" s="69">
        <f>27800000+1000000+5000000+5550000-5000000+150000+100000-4000000+10112784.63-4629526.59+12715677.07-18000+75000+110000-575000+163369.04+569000-199000-6600000-6700000-50000+110000+177000</f>
        <v>35861304.150000006</v>
      </c>
      <c r="L145" s="71"/>
      <c r="M145" s="69"/>
      <c r="N145" s="69"/>
      <c r="O145" s="69">
        <f>27800000+1000000+5000000+5550000-5000000+150000+100000-4000000+10112784.63-4629526.59+12715677.07-18000+75000+110000-575000+163369.04+569000-199000-6600000-6700000-50000+110000+177000</f>
        <v>35861304.150000006</v>
      </c>
      <c r="P145" s="69">
        <f t="shared" si="70"/>
        <v>228411745.72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  <c r="IW145" s="26"/>
      <c r="IX145" s="26"/>
      <c r="IY145" s="26"/>
      <c r="IZ145" s="26"/>
      <c r="JA145" s="26"/>
      <c r="JB145" s="26"/>
      <c r="JC145" s="26"/>
      <c r="JD145" s="26"/>
      <c r="JE145" s="26"/>
      <c r="JF145" s="26"/>
      <c r="JG145" s="26"/>
      <c r="JH145" s="26"/>
      <c r="JI145" s="26"/>
      <c r="JJ145" s="26"/>
      <c r="JK145" s="26"/>
      <c r="JL145" s="26"/>
      <c r="JM145" s="26"/>
      <c r="JN145" s="26"/>
      <c r="JO145" s="26"/>
      <c r="JP145" s="26"/>
      <c r="JQ145" s="26"/>
      <c r="JR145" s="26"/>
      <c r="JS145" s="26"/>
      <c r="JT145" s="26"/>
      <c r="JU145" s="26"/>
      <c r="JV145" s="26"/>
      <c r="JW145" s="26"/>
      <c r="JX145" s="26"/>
      <c r="JY145" s="26"/>
      <c r="JZ145" s="26"/>
      <c r="KA145" s="26"/>
      <c r="KB145" s="26"/>
      <c r="KC145" s="26"/>
      <c r="KD145" s="26"/>
      <c r="KE145" s="26"/>
      <c r="KF145" s="26"/>
      <c r="KG145" s="26"/>
      <c r="KH145" s="26"/>
      <c r="KI145" s="26"/>
      <c r="KJ145" s="26"/>
      <c r="KK145" s="26"/>
      <c r="KL145" s="26"/>
      <c r="KM145" s="26"/>
      <c r="KN145" s="26"/>
      <c r="KO145" s="26"/>
      <c r="KP145" s="26"/>
      <c r="KQ145" s="26"/>
      <c r="KR145" s="26"/>
      <c r="KS145" s="26"/>
      <c r="KT145" s="26"/>
      <c r="KU145" s="26"/>
      <c r="KV145" s="26"/>
      <c r="KW145" s="26"/>
      <c r="KX145" s="26"/>
      <c r="KY145" s="26"/>
      <c r="KZ145" s="26"/>
      <c r="LA145" s="26"/>
      <c r="LB145" s="26"/>
      <c r="LC145" s="26"/>
      <c r="LD145" s="26"/>
      <c r="LE145" s="26"/>
      <c r="LF145" s="26"/>
      <c r="LG145" s="26"/>
      <c r="LH145" s="26"/>
      <c r="LI145" s="26"/>
      <c r="LJ145" s="26"/>
      <c r="LK145" s="26"/>
      <c r="LL145" s="26"/>
      <c r="LM145" s="26"/>
      <c r="LN145" s="26"/>
      <c r="LO145" s="26"/>
      <c r="LP145" s="26"/>
      <c r="LQ145" s="26"/>
      <c r="LR145" s="26"/>
      <c r="LS145" s="26"/>
      <c r="LT145" s="26"/>
      <c r="LU145" s="26"/>
      <c r="LV145" s="26"/>
      <c r="LW145" s="26"/>
      <c r="LX145" s="26"/>
      <c r="LY145" s="26"/>
      <c r="LZ145" s="26"/>
      <c r="MA145" s="26"/>
      <c r="MB145" s="26"/>
      <c r="MC145" s="26"/>
      <c r="MD145" s="26"/>
      <c r="ME145" s="26"/>
      <c r="MF145" s="26"/>
      <c r="MG145" s="26"/>
      <c r="MH145" s="26"/>
      <c r="MI145" s="26"/>
      <c r="MJ145" s="26"/>
      <c r="MK145" s="26"/>
      <c r="ML145" s="26"/>
      <c r="MM145" s="26"/>
      <c r="MN145" s="26"/>
      <c r="MO145" s="26"/>
      <c r="MP145" s="26"/>
      <c r="MQ145" s="26"/>
      <c r="MR145" s="26"/>
      <c r="MS145" s="26"/>
      <c r="MT145" s="26"/>
      <c r="MU145" s="26"/>
      <c r="MV145" s="26"/>
      <c r="MW145" s="26"/>
      <c r="MX145" s="26"/>
      <c r="MY145" s="26"/>
      <c r="MZ145" s="26"/>
      <c r="NA145" s="26"/>
      <c r="NB145" s="26"/>
      <c r="NC145" s="26"/>
      <c r="ND145" s="26"/>
      <c r="NE145" s="26"/>
      <c r="NF145" s="26"/>
      <c r="NG145" s="26"/>
      <c r="NH145" s="26"/>
      <c r="NI145" s="26"/>
      <c r="NJ145" s="26"/>
      <c r="NK145" s="26"/>
      <c r="NL145" s="26"/>
      <c r="NM145" s="26"/>
      <c r="NN145" s="26"/>
      <c r="NO145" s="26"/>
      <c r="NP145" s="26"/>
      <c r="NQ145" s="26"/>
      <c r="NR145" s="26"/>
      <c r="NS145" s="26"/>
      <c r="NT145" s="26"/>
      <c r="NU145" s="26"/>
      <c r="NV145" s="26"/>
      <c r="NW145" s="26"/>
      <c r="NX145" s="26"/>
      <c r="NY145" s="26"/>
      <c r="NZ145" s="26"/>
      <c r="OA145" s="26"/>
      <c r="OB145" s="26"/>
      <c r="OC145" s="26"/>
      <c r="OD145" s="26"/>
      <c r="OE145" s="26"/>
      <c r="OF145" s="26"/>
      <c r="OG145" s="26"/>
      <c r="OH145" s="26"/>
      <c r="OI145" s="26"/>
      <c r="OJ145" s="26"/>
      <c r="OK145" s="26"/>
      <c r="OL145" s="26"/>
      <c r="OM145" s="26"/>
      <c r="ON145" s="26"/>
      <c r="OO145" s="26"/>
      <c r="OP145" s="26"/>
      <c r="OQ145" s="26"/>
      <c r="OR145" s="26"/>
      <c r="OS145" s="26"/>
      <c r="OT145" s="26"/>
      <c r="OU145" s="26"/>
      <c r="OV145" s="26"/>
      <c r="OW145" s="26"/>
      <c r="OX145" s="26"/>
      <c r="OY145" s="26"/>
      <c r="OZ145" s="26"/>
      <c r="PA145" s="26"/>
      <c r="PB145" s="26"/>
      <c r="PC145" s="26"/>
      <c r="PD145" s="26"/>
      <c r="PE145" s="26"/>
      <c r="PF145" s="26"/>
      <c r="PG145" s="26"/>
      <c r="PH145" s="26"/>
      <c r="PI145" s="26"/>
      <c r="PJ145" s="26"/>
      <c r="PK145" s="26"/>
      <c r="PL145" s="26"/>
      <c r="PM145" s="26"/>
      <c r="PN145" s="26"/>
      <c r="PO145" s="26"/>
      <c r="PP145" s="26"/>
      <c r="PQ145" s="26"/>
      <c r="PR145" s="26"/>
      <c r="PS145" s="26"/>
      <c r="PT145" s="26"/>
      <c r="PU145" s="26"/>
      <c r="PV145" s="26"/>
      <c r="PW145" s="26"/>
      <c r="PX145" s="26"/>
      <c r="PY145" s="26"/>
      <c r="PZ145" s="26"/>
      <c r="QA145" s="26"/>
      <c r="QB145" s="26"/>
      <c r="QC145" s="26"/>
      <c r="QD145" s="26"/>
      <c r="QE145" s="26"/>
      <c r="QF145" s="26"/>
      <c r="QG145" s="26"/>
      <c r="QH145" s="26"/>
      <c r="QI145" s="26"/>
      <c r="QJ145" s="26"/>
      <c r="QK145" s="26"/>
      <c r="QL145" s="26"/>
      <c r="QM145" s="26"/>
      <c r="QN145" s="26"/>
      <c r="QO145" s="26"/>
      <c r="QP145" s="26"/>
      <c r="QQ145" s="26"/>
      <c r="QR145" s="26"/>
      <c r="QS145" s="26"/>
      <c r="QT145" s="26"/>
      <c r="QU145" s="26"/>
      <c r="QV145" s="26"/>
      <c r="QW145" s="26"/>
      <c r="QX145" s="26"/>
      <c r="QY145" s="26"/>
      <c r="QZ145" s="26"/>
      <c r="RA145" s="26"/>
      <c r="RB145" s="26"/>
      <c r="RC145" s="26"/>
      <c r="RD145" s="26"/>
      <c r="RE145" s="26"/>
      <c r="RF145" s="26"/>
      <c r="RG145" s="26"/>
      <c r="RH145" s="26"/>
      <c r="RI145" s="26"/>
      <c r="RJ145" s="26"/>
      <c r="RK145" s="26"/>
      <c r="RL145" s="26"/>
      <c r="RM145" s="26"/>
      <c r="RN145" s="26"/>
      <c r="RO145" s="26"/>
      <c r="RP145" s="26"/>
      <c r="RQ145" s="26"/>
      <c r="RR145" s="26"/>
      <c r="RS145" s="26"/>
      <c r="RT145" s="26"/>
      <c r="RU145" s="26"/>
      <c r="RV145" s="26"/>
      <c r="RW145" s="26"/>
      <c r="RX145" s="26"/>
      <c r="RY145" s="26"/>
      <c r="RZ145" s="26"/>
      <c r="SA145" s="26"/>
      <c r="SB145" s="26"/>
      <c r="SC145" s="26"/>
      <c r="SD145" s="26"/>
      <c r="SE145" s="26"/>
      <c r="SF145" s="26"/>
      <c r="SG145" s="26"/>
      <c r="SH145" s="26"/>
      <c r="SI145" s="26"/>
      <c r="SJ145" s="26"/>
      <c r="SK145" s="26"/>
      <c r="SL145" s="26"/>
      <c r="SM145" s="26"/>
      <c r="SN145" s="26"/>
      <c r="SO145" s="26"/>
      <c r="SP145" s="26"/>
      <c r="SQ145" s="26"/>
      <c r="SR145" s="26"/>
      <c r="SS145" s="26"/>
      <c r="ST145" s="26"/>
      <c r="SU145" s="26"/>
      <c r="SV145" s="26"/>
      <c r="SW145" s="26"/>
      <c r="SX145" s="26"/>
      <c r="SY145" s="26"/>
      <c r="SZ145" s="26"/>
      <c r="TA145" s="26"/>
      <c r="TB145" s="26"/>
      <c r="TC145" s="26"/>
      <c r="TD145" s="26"/>
      <c r="TE145" s="26"/>
      <c r="TF145" s="26"/>
      <c r="TG145" s="26"/>
      <c r="TH145" s="26"/>
      <c r="TI145" s="26"/>
    </row>
    <row r="146" spans="1:529" s="23" customFormat="1" ht="31.5" customHeight="1" x14ac:dyDescent="0.25">
      <c r="A146" s="43" t="s">
        <v>294</v>
      </c>
      <c r="B146" s="44" t="str">
        <f>'дод 4'!A97</f>
        <v>6090</v>
      </c>
      <c r="C146" s="44" t="str">
        <f>'дод 4'!B97</f>
        <v>0640</v>
      </c>
      <c r="D146" s="24" t="str">
        <f>'дод 4'!C97</f>
        <v>Інша діяльність у сфері житлово-комунального господарства</v>
      </c>
      <c r="E146" s="69">
        <f t="shared" si="69"/>
        <v>12346212.390000001</v>
      </c>
      <c r="F146" s="69">
        <f>16709746+579084+27300000-4300-19001249-1991050-1006880.61-569000-70000-70000-100000-5170304-100000-2351000-49000-166000-110000-15000-1428134-32000-13000</f>
        <v>12341912.390000001</v>
      </c>
      <c r="G146" s="69"/>
      <c r="H146" s="69">
        <v>42400</v>
      </c>
      <c r="I146" s="69">
        <v>4300</v>
      </c>
      <c r="J146" s="69">
        <f t="shared" si="71"/>
        <v>800708.78999999911</v>
      </c>
      <c r="K146" s="69">
        <f>21793738-10545638.97-1288734.74-6359655.5-305000-2494000</f>
        <v>800708.78999999911</v>
      </c>
      <c r="L146" s="69"/>
      <c r="M146" s="69"/>
      <c r="N146" s="69"/>
      <c r="O146" s="69">
        <f>21793738-10545638.97-1288734.74-6359655.5-305000-2494000</f>
        <v>800708.78999999911</v>
      </c>
      <c r="P146" s="69">
        <f t="shared" si="70"/>
        <v>13146921.18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  <c r="IW146" s="26"/>
      <c r="IX146" s="26"/>
      <c r="IY146" s="26"/>
      <c r="IZ146" s="26"/>
      <c r="JA146" s="26"/>
      <c r="JB146" s="26"/>
      <c r="JC146" s="26"/>
      <c r="JD146" s="26"/>
      <c r="JE146" s="26"/>
      <c r="JF146" s="26"/>
      <c r="JG146" s="26"/>
      <c r="JH146" s="26"/>
      <c r="JI146" s="26"/>
      <c r="JJ146" s="26"/>
      <c r="JK146" s="26"/>
      <c r="JL146" s="26"/>
      <c r="JM146" s="26"/>
      <c r="JN146" s="26"/>
      <c r="JO146" s="26"/>
      <c r="JP146" s="26"/>
      <c r="JQ146" s="26"/>
      <c r="JR146" s="26"/>
      <c r="JS146" s="26"/>
      <c r="JT146" s="26"/>
      <c r="JU146" s="26"/>
      <c r="JV146" s="26"/>
      <c r="JW146" s="26"/>
      <c r="JX146" s="26"/>
      <c r="JY146" s="26"/>
      <c r="JZ146" s="26"/>
      <c r="KA146" s="26"/>
      <c r="KB146" s="26"/>
      <c r="KC146" s="26"/>
      <c r="KD146" s="26"/>
      <c r="KE146" s="26"/>
      <c r="KF146" s="26"/>
      <c r="KG146" s="26"/>
      <c r="KH146" s="26"/>
      <c r="KI146" s="26"/>
      <c r="KJ146" s="26"/>
      <c r="KK146" s="26"/>
      <c r="KL146" s="26"/>
      <c r="KM146" s="26"/>
      <c r="KN146" s="26"/>
      <c r="KO146" s="26"/>
      <c r="KP146" s="26"/>
      <c r="KQ146" s="26"/>
      <c r="KR146" s="26"/>
      <c r="KS146" s="26"/>
      <c r="KT146" s="26"/>
      <c r="KU146" s="26"/>
      <c r="KV146" s="26"/>
      <c r="KW146" s="26"/>
      <c r="KX146" s="26"/>
      <c r="KY146" s="26"/>
      <c r="KZ146" s="26"/>
      <c r="LA146" s="26"/>
      <c r="LB146" s="26"/>
      <c r="LC146" s="26"/>
      <c r="LD146" s="26"/>
      <c r="LE146" s="26"/>
      <c r="LF146" s="26"/>
      <c r="LG146" s="26"/>
      <c r="LH146" s="26"/>
      <c r="LI146" s="26"/>
      <c r="LJ146" s="26"/>
      <c r="LK146" s="26"/>
      <c r="LL146" s="26"/>
      <c r="LM146" s="26"/>
      <c r="LN146" s="26"/>
      <c r="LO146" s="26"/>
      <c r="LP146" s="26"/>
      <c r="LQ146" s="26"/>
      <c r="LR146" s="26"/>
      <c r="LS146" s="26"/>
      <c r="LT146" s="26"/>
      <c r="LU146" s="26"/>
      <c r="LV146" s="26"/>
      <c r="LW146" s="26"/>
      <c r="LX146" s="26"/>
      <c r="LY146" s="26"/>
      <c r="LZ146" s="26"/>
      <c r="MA146" s="26"/>
      <c r="MB146" s="26"/>
      <c r="MC146" s="26"/>
      <c r="MD146" s="26"/>
      <c r="ME146" s="26"/>
      <c r="MF146" s="26"/>
      <c r="MG146" s="26"/>
      <c r="MH146" s="26"/>
      <c r="MI146" s="26"/>
      <c r="MJ146" s="26"/>
      <c r="MK146" s="26"/>
      <c r="ML146" s="26"/>
      <c r="MM146" s="26"/>
      <c r="MN146" s="26"/>
      <c r="MO146" s="26"/>
      <c r="MP146" s="26"/>
      <c r="MQ146" s="26"/>
      <c r="MR146" s="26"/>
      <c r="MS146" s="26"/>
      <c r="MT146" s="26"/>
      <c r="MU146" s="26"/>
      <c r="MV146" s="26"/>
      <c r="MW146" s="26"/>
      <c r="MX146" s="26"/>
      <c r="MY146" s="26"/>
      <c r="MZ146" s="26"/>
      <c r="NA146" s="26"/>
      <c r="NB146" s="26"/>
      <c r="NC146" s="26"/>
      <c r="ND146" s="26"/>
      <c r="NE146" s="26"/>
      <c r="NF146" s="26"/>
      <c r="NG146" s="26"/>
      <c r="NH146" s="26"/>
      <c r="NI146" s="26"/>
      <c r="NJ146" s="26"/>
      <c r="NK146" s="26"/>
      <c r="NL146" s="26"/>
      <c r="NM146" s="26"/>
      <c r="NN146" s="26"/>
      <c r="NO146" s="26"/>
      <c r="NP146" s="26"/>
      <c r="NQ146" s="26"/>
      <c r="NR146" s="26"/>
      <c r="NS146" s="26"/>
      <c r="NT146" s="26"/>
      <c r="NU146" s="26"/>
      <c r="NV146" s="26"/>
      <c r="NW146" s="26"/>
      <c r="NX146" s="26"/>
      <c r="NY146" s="26"/>
      <c r="NZ146" s="26"/>
      <c r="OA146" s="26"/>
      <c r="OB146" s="26"/>
      <c r="OC146" s="26"/>
      <c r="OD146" s="26"/>
      <c r="OE146" s="26"/>
      <c r="OF146" s="26"/>
      <c r="OG146" s="26"/>
      <c r="OH146" s="26"/>
      <c r="OI146" s="26"/>
      <c r="OJ146" s="26"/>
      <c r="OK146" s="26"/>
      <c r="OL146" s="26"/>
      <c r="OM146" s="26"/>
      <c r="ON146" s="26"/>
      <c r="OO146" s="26"/>
      <c r="OP146" s="26"/>
      <c r="OQ146" s="26"/>
      <c r="OR146" s="26"/>
      <c r="OS146" s="26"/>
      <c r="OT146" s="26"/>
      <c r="OU146" s="26"/>
      <c r="OV146" s="26"/>
      <c r="OW146" s="26"/>
      <c r="OX146" s="26"/>
      <c r="OY146" s="26"/>
      <c r="OZ146" s="26"/>
      <c r="PA146" s="26"/>
      <c r="PB146" s="26"/>
      <c r="PC146" s="26"/>
      <c r="PD146" s="26"/>
      <c r="PE146" s="26"/>
      <c r="PF146" s="26"/>
      <c r="PG146" s="26"/>
      <c r="PH146" s="26"/>
      <c r="PI146" s="26"/>
      <c r="PJ146" s="26"/>
      <c r="PK146" s="26"/>
      <c r="PL146" s="26"/>
      <c r="PM146" s="26"/>
      <c r="PN146" s="26"/>
      <c r="PO146" s="26"/>
      <c r="PP146" s="26"/>
      <c r="PQ146" s="26"/>
      <c r="PR146" s="26"/>
      <c r="PS146" s="26"/>
      <c r="PT146" s="26"/>
      <c r="PU146" s="26"/>
      <c r="PV146" s="26"/>
      <c r="PW146" s="26"/>
      <c r="PX146" s="26"/>
      <c r="PY146" s="26"/>
      <c r="PZ146" s="26"/>
      <c r="QA146" s="26"/>
      <c r="QB146" s="26"/>
      <c r="QC146" s="26"/>
      <c r="QD146" s="26"/>
      <c r="QE146" s="26"/>
      <c r="QF146" s="26"/>
      <c r="QG146" s="26"/>
      <c r="QH146" s="26"/>
      <c r="QI146" s="26"/>
      <c r="QJ146" s="26"/>
      <c r="QK146" s="26"/>
      <c r="QL146" s="26"/>
      <c r="QM146" s="26"/>
      <c r="QN146" s="26"/>
      <c r="QO146" s="26"/>
      <c r="QP146" s="26"/>
      <c r="QQ146" s="26"/>
      <c r="QR146" s="26"/>
      <c r="QS146" s="26"/>
      <c r="QT146" s="26"/>
      <c r="QU146" s="26"/>
      <c r="QV146" s="26"/>
      <c r="QW146" s="26"/>
      <c r="QX146" s="26"/>
      <c r="QY146" s="26"/>
      <c r="QZ146" s="26"/>
      <c r="RA146" s="26"/>
      <c r="RB146" s="26"/>
      <c r="RC146" s="26"/>
      <c r="RD146" s="26"/>
      <c r="RE146" s="26"/>
      <c r="RF146" s="26"/>
      <c r="RG146" s="26"/>
      <c r="RH146" s="26"/>
      <c r="RI146" s="26"/>
      <c r="RJ146" s="26"/>
      <c r="RK146" s="26"/>
      <c r="RL146" s="26"/>
      <c r="RM146" s="26"/>
      <c r="RN146" s="26"/>
      <c r="RO146" s="26"/>
      <c r="RP146" s="26"/>
      <c r="RQ146" s="26"/>
      <c r="RR146" s="26"/>
      <c r="RS146" s="26"/>
      <c r="RT146" s="26"/>
      <c r="RU146" s="26"/>
      <c r="RV146" s="26"/>
      <c r="RW146" s="26"/>
      <c r="RX146" s="26"/>
      <c r="RY146" s="26"/>
      <c r="RZ146" s="26"/>
      <c r="SA146" s="26"/>
      <c r="SB146" s="26"/>
      <c r="SC146" s="26"/>
      <c r="SD146" s="26"/>
      <c r="SE146" s="26"/>
      <c r="SF146" s="26"/>
      <c r="SG146" s="26"/>
      <c r="SH146" s="26"/>
      <c r="SI146" s="26"/>
      <c r="SJ146" s="26"/>
      <c r="SK146" s="26"/>
      <c r="SL146" s="26"/>
      <c r="SM146" s="26"/>
      <c r="SN146" s="26"/>
      <c r="SO146" s="26"/>
      <c r="SP146" s="26"/>
      <c r="SQ146" s="26"/>
      <c r="SR146" s="26"/>
      <c r="SS146" s="26"/>
      <c r="ST146" s="26"/>
      <c r="SU146" s="26"/>
      <c r="SV146" s="26"/>
      <c r="SW146" s="26"/>
      <c r="SX146" s="26"/>
      <c r="SY146" s="26"/>
      <c r="SZ146" s="26"/>
      <c r="TA146" s="26"/>
      <c r="TB146" s="26"/>
      <c r="TC146" s="26"/>
      <c r="TD146" s="26"/>
      <c r="TE146" s="26"/>
      <c r="TF146" s="26"/>
      <c r="TG146" s="26"/>
      <c r="TH146" s="26"/>
      <c r="TI146" s="26"/>
    </row>
    <row r="147" spans="1:529" s="23" customFormat="1" ht="33" customHeight="1" x14ac:dyDescent="0.25">
      <c r="A147" s="43" t="s">
        <v>314</v>
      </c>
      <c r="B147" s="44" t="str">
        <f>'дод 4'!A104</f>
        <v>7310</v>
      </c>
      <c r="C147" s="44" t="str">
        <f>'дод 4'!B104</f>
        <v>0443</v>
      </c>
      <c r="D147" s="24" t="str">
        <f>'дод 4'!C104</f>
        <v>Будівництво об'єктів житлово-комунального господарства</v>
      </c>
      <c r="E147" s="69">
        <f t="shared" si="69"/>
        <v>0</v>
      </c>
      <c r="F147" s="69"/>
      <c r="G147" s="69"/>
      <c r="H147" s="69"/>
      <c r="I147" s="69"/>
      <c r="J147" s="69">
        <f t="shared" si="71"/>
        <v>8872297.7599999979</v>
      </c>
      <c r="K147" s="69">
        <f>12540000-60000+40000+8953612-4000000+2338215.76-3000+2000-8410000-1200000-494730+230000-1380000+300000+16200</f>
        <v>8872297.7599999979</v>
      </c>
      <c r="L147" s="69"/>
      <c r="M147" s="69"/>
      <c r="N147" s="69"/>
      <c r="O147" s="69">
        <f>12540000-60000+40000+8953612-4000000+2338215.76-3000+2000-8410000-1200000-494730+230000-1380000+300000+16200</f>
        <v>8872297.7599999979</v>
      </c>
      <c r="P147" s="69">
        <f t="shared" si="70"/>
        <v>8872297.7599999979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  <c r="IW147" s="26"/>
      <c r="IX147" s="26"/>
      <c r="IY147" s="26"/>
      <c r="IZ147" s="26"/>
      <c r="JA147" s="26"/>
      <c r="JB147" s="26"/>
      <c r="JC147" s="26"/>
      <c r="JD147" s="26"/>
      <c r="JE147" s="26"/>
      <c r="JF147" s="26"/>
      <c r="JG147" s="26"/>
      <c r="JH147" s="26"/>
      <c r="JI147" s="26"/>
      <c r="JJ147" s="26"/>
      <c r="JK147" s="26"/>
      <c r="JL147" s="26"/>
      <c r="JM147" s="26"/>
      <c r="JN147" s="26"/>
      <c r="JO147" s="26"/>
      <c r="JP147" s="26"/>
      <c r="JQ147" s="26"/>
      <c r="JR147" s="26"/>
      <c r="JS147" s="26"/>
      <c r="JT147" s="26"/>
      <c r="JU147" s="26"/>
      <c r="JV147" s="26"/>
      <c r="JW147" s="26"/>
      <c r="JX147" s="26"/>
      <c r="JY147" s="26"/>
      <c r="JZ147" s="26"/>
      <c r="KA147" s="26"/>
      <c r="KB147" s="26"/>
      <c r="KC147" s="26"/>
      <c r="KD147" s="26"/>
      <c r="KE147" s="26"/>
      <c r="KF147" s="26"/>
      <c r="KG147" s="26"/>
      <c r="KH147" s="26"/>
      <c r="KI147" s="26"/>
      <c r="KJ147" s="26"/>
      <c r="KK147" s="26"/>
      <c r="KL147" s="26"/>
      <c r="KM147" s="26"/>
      <c r="KN147" s="26"/>
      <c r="KO147" s="26"/>
      <c r="KP147" s="26"/>
      <c r="KQ147" s="26"/>
      <c r="KR147" s="26"/>
      <c r="KS147" s="26"/>
      <c r="KT147" s="26"/>
      <c r="KU147" s="26"/>
      <c r="KV147" s="26"/>
      <c r="KW147" s="26"/>
      <c r="KX147" s="26"/>
      <c r="KY147" s="26"/>
      <c r="KZ147" s="26"/>
      <c r="LA147" s="26"/>
      <c r="LB147" s="26"/>
      <c r="LC147" s="26"/>
      <c r="LD147" s="26"/>
      <c r="LE147" s="26"/>
      <c r="LF147" s="26"/>
      <c r="LG147" s="26"/>
      <c r="LH147" s="26"/>
      <c r="LI147" s="26"/>
      <c r="LJ147" s="26"/>
      <c r="LK147" s="26"/>
      <c r="LL147" s="26"/>
      <c r="LM147" s="26"/>
      <c r="LN147" s="26"/>
      <c r="LO147" s="26"/>
      <c r="LP147" s="26"/>
      <c r="LQ147" s="26"/>
      <c r="LR147" s="26"/>
      <c r="LS147" s="26"/>
      <c r="LT147" s="26"/>
      <c r="LU147" s="26"/>
      <c r="LV147" s="26"/>
      <c r="LW147" s="26"/>
      <c r="LX147" s="26"/>
      <c r="LY147" s="26"/>
      <c r="LZ147" s="26"/>
      <c r="MA147" s="26"/>
      <c r="MB147" s="26"/>
      <c r="MC147" s="26"/>
      <c r="MD147" s="26"/>
      <c r="ME147" s="26"/>
      <c r="MF147" s="26"/>
      <c r="MG147" s="26"/>
      <c r="MH147" s="26"/>
      <c r="MI147" s="26"/>
      <c r="MJ147" s="26"/>
      <c r="MK147" s="26"/>
      <c r="ML147" s="26"/>
      <c r="MM147" s="26"/>
      <c r="MN147" s="26"/>
      <c r="MO147" s="26"/>
      <c r="MP147" s="26"/>
      <c r="MQ147" s="26"/>
      <c r="MR147" s="26"/>
      <c r="MS147" s="26"/>
      <c r="MT147" s="26"/>
      <c r="MU147" s="26"/>
      <c r="MV147" s="26"/>
      <c r="MW147" s="26"/>
      <c r="MX147" s="26"/>
      <c r="MY147" s="26"/>
      <c r="MZ147" s="26"/>
      <c r="NA147" s="26"/>
      <c r="NB147" s="26"/>
      <c r="NC147" s="26"/>
      <c r="ND147" s="26"/>
      <c r="NE147" s="26"/>
      <c r="NF147" s="26"/>
      <c r="NG147" s="26"/>
      <c r="NH147" s="26"/>
      <c r="NI147" s="26"/>
      <c r="NJ147" s="26"/>
      <c r="NK147" s="26"/>
      <c r="NL147" s="26"/>
      <c r="NM147" s="26"/>
      <c r="NN147" s="26"/>
      <c r="NO147" s="26"/>
      <c r="NP147" s="26"/>
      <c r="NQ147" s="26"/>
      <c r="NR147" s="26"/>
      <c r="NS147" s="26"/>
      <c r="NT147" s="26"/>
      <c r="NU147" s="26"/>
      <c r="NV147" s="26"/>
      <c r="NW147" s="26"/>
      <c r="NX147" s="26"/>
      <c r="NY147" s="26"/>
      <c r="NZ147" s="26"/>
      <c r="OA147" s="26"/>
      <c r="OB147" s="26"/>
      <c r="OC147" s="26"/>
      <c r="OD147" s="26"/>
      <c r="OE147" s="26"/>
      <c r="OF147" s="26"/>
      <c r="OG147" s="26"/>
      <c r="OH147" s="26"/>
      <c r="OI147" s="26"/>
      <c r="OJ147" s="26"/>
      <c r="OK147" s="26"/>
      <c r="OL147" s="26"/>
      <c r="OM147" s="26"/>
      <c r="ON147" s="26"/>
      <c r="OO147" s="26"/>
      <c r="OP147" s="26"/>
      <c r="OQ147" s="26"/>
      <c r="OR147" s="26"/>
      <c r="OS147" s="26"/>
      <c r="OT147" s="26"/>
      <c r="OU147" s="26"/>
      <c r="OV147" s="26"/>
      <c r="OW147" s="26"/>
      <c r="OX147" s="26"/>
      <c r="OY147" s="26"/>
      <c r="OZ147" s="26"/>
      <c r="PA147" s="26"/>
      <c r="PB147" s="26"/>
      <c r="PC147" s="26"/>
      <c r="PD147" s="26"/>
      <c r="PE147" s="26"/>
      <c r="PF147" s="26"/>
      <c r="PG147" s="26"/>
      <c r="PH147" s="26"/>
      <c r="PI147" s="26"/>
      <c r="PJ147" s="26"/>
      <c r="PK147" s="26"/>
      <c r="PL147" s="26"/>
      <c r="PM147" s="26"/>
      <c r="PN147" s="26"/>
      <c r="PO147" s="26"/>
      <c r="PP147" s="26"/>
      <c r="PQ147" s="26"/>
      <c r="PR147" s="26"/>
      <c r="PS147" s="26"/>
      <c r="PT147" s="26"/>
      <c r="PU147" s="26"/>
      <c r="PV147" s="26"/>
      <c r="PW147" s="26"/>
      <c r="PX147" s="26"/>
      <c r="PY147" s="26"/>
      <c r="PZ147" s="26"/>
      <c r="QA147" s="26"/>
      <c r="QB147" s="26"/>
      <c r="QC147" s="26"/>
      <c r="QD147" s="26"/>
      <c r="QE147" s="26"/>
      <c r="QF147" s="26"/>
      <c r="QG147" s="26"/>
      <c r="QH147" s="26"/>
      <c r="QI147" s="26"/>
      <c r="QJ147" s="26"/>
      <c r="QK147" s="26"/>
      <c r="QL147" s="26"/>
      <c r="QM147" s="26"/>
      <c r="QN147" s="26"/>
      <c r="QO147" s="26"/>
      <c r="QP147" s="26"/>
      <c r="QQ147" s="26"/>
      <c r="QR147" s="26"/>
      <c r="QS147" s="26"/>
      <c r="QT147" s="26"/>
      <c r="QU147" s="26"/>
      <c r="QV147" s="26"/>
      <c r="QW147" s="26"/>
      <c r="QX147" s="26"/>
      <c r="QY147" s="26"/>
      <c r="QZ147" s="26"/>
      <c r="RA147" s="26"/>
      <c r="RB147" s="26"/>
      <c r="RC147" s="26"/>
      <c r="RD147" s="26"/>
      <c r="RE147" s="26"/>
      <c r="RF147" s="26"/>
      <c r="RG147" s="26"/>
      <c r="RH147" s="26"/>
      <c r="RI147" s="26"/>
      <c r="RJ147" s="26"/>
      <c r="RK147" s="26"/>
      <c r="RL147" s="26"/>
      <c r="RM147" s="26"/>
      <c r="RN147" s="26"/>
      <c r="RO147" s="26"/>
      <c r="RP147" s="26"/>
      <c r="RQ147" s="26"/>
      <c r="RR147" s="26"/>
      <c r="RS147" s="26"/>
      <c r="RT147" s="26"/>
      <c r="RU147" s="26"/>
      <c r="RV147" s="26"/>
      <c r="RW147" s="26"/>
      <c r="RX147" s="26"/>
      <c r="RY147" s="26"/>
      <c r="RZ147" s="26"/>
      <c r="SA147" s="26"/>
      <c r="SB147" s="26"/>
      <c r="SC147" s="26"/>
      <c r="SD147" s="26"/>
      <c r="SE147" s="26"/>
      <c r="SF147" s="26"/>
      <c r="SG147" s="26"/>
      <c r="SH147" s="26"/>
      <c r="SI147" s="26"/>
      <c r="SJ147" s="26"/>
      <c r="SK147" s="26"/>
      <c r="SL147" s="26"/>
      <c r="SM147" s="26"/>
      <c r="SN147" s="26"/>
      <c r="SO147" s="26"/>
      <c r="SP147" s="26"/>
      <c r="SQ147" s="26"/>
      <c r="SR147" s="26"/>
      <c r="SS147" s="26"/>
      <c r="ST147" s="26"/>
      <c r="SU147" s="26"/>
      <c r="SV147" s="26"/>
      <c r="SW147" s="26"/>
      <c r="SX147" s="26"/>
      <c r="SY147" s="26"/>
      <c r="SZ147" s="26"/>
      <c r="TA147" s="26"/>
      <c r="TB147" s="26"/>
      <c r="TC147" s="26"/>
      <c r="TD147" s="26"/>
      <c r="TE147" s="26"/>
      <c r="TF147" s="26"/>
      <c r="TG147" s="26"/>
      <c r="TH147" s="26"/>
      <c r="TI147" s="26"/>
    </row>
    <row r="148" spans="1:529" s="23" customFormat="1" ht="21.75" customHeight="1" x14ac:dyDescent="0.25">
      <c r="A148" s="43" t="s">
        <v>316</v>
      </c>
      <c r="B148" s="44" t="str">
        <f>'дод 4'!A108</f>
        <v>7330</v>
      </c>
      <c r="C148" s="44" t="str">
        <f>'дод 4'!B108</f>
        <v>0443</v>
      </c>
      <c r="D148" s="24" t="str">
        <f>'дод 4'!C108</f>
        <v>Будівництво інших об'єктів комунальної власності</v>
      </c>
      <c r="E148" s="69">
        <f t="shared" si="69"/>
        <v>0</v>
      </c>
      <c r="F148" s="69"/>
      <c r="G148" s="69"/>
      <c r="H148" s="69"/>
      <c r="I148" s="69"/>
      <c r="J148" s="69">
        <f t="shared" si="71"/>
        <v>5758998.7699999996</v>
      </c>
      <c r="K148" s="69">
        <f>15750000+4777000+3000-50000-100000-5550000-700000+550000-4000000+432854.34-1950000+4818144.43+210000+68000-8500000</f>
        <v>5758998.7699999996</v>
      </c>
      <c r="L148" s="69"/>
      <c r="M148" s="69"/>
      <c r="N148" s="69"/>
      <c r="O148" s="69">
        <f>15750000+4777000+3000-50000-100000-5550000-700000+550000-4000000+432854.34-1950000+4818144.43+210000+68000-8500000</f>
        <v>5758998.7699999996</v>
      </c>
      <c r="P148" s="69">
        <f t="shared" si="70"/>
        <v>5758998.7699999996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  <c r="IW148" s="26"/>
      <c r="IX148" s="26"/>
      <c r="IY148" s="26"/>
      <c r="IZ148" s="26"/>
      <c r="JA148" s="26"/>
      <c r="JB148" s="26"/>
      <c r="JC148" s="26"/>
      <c r="JD148" s="26"/>
      <c r="JE148" s="26"/>
      <c r="JF148" s="26"/>
      <c r="JG148" s="26"/>
      <c r="JH148" s="26"/>
      <c r="JI148" s="26"/>
      <c r="JJ148" s="26"/>
      <c r="JK148" s="26"/>
      <c r="JL148" s="26"/>
      <c r="JM148" s="26"/>
      <c r="JN148" s="26"/>
      <c r="JO148" s="26"/>
      <c r="JP148" s="26"/>
      <c r="JQ148" s="26"/>
      <c r="JR148" s="26"/>
      <c r="JS148" s="26"/>
      <c r="JT148" s="26"/>
      <c r="JU148" s="26"/>
      <c r="JV148" s="26"/>
      <c r="JW148" s="26"/>
      <c r="JX148" s="26"/>
      <c r="JY148" s="26"/>
      <c r="JZ148" s="26"/>
      <c r="KA148" s="26"/>
      <c r="KB148" s="26"/>
      <c r="KC148" s="26"/>
      <c r="KD148" s="26"/>
      <c r="KE148" s="26"/>
      <c r="KF148" s="26"/>
      <c r="KG148" s="26"/>
      <c r="KH148" s="26"/>
      <c r="KI148" s="26"/>
      <c r="KJ148" s="26"/>
      <c r="KK148" s="26"/>
      <c r="KL148" s="26"/>
      <c r="KM148" s="26"/>
      <c r="KN148" s="26"/>
      <c r="KO148" s="26"/>
      <c r="KP148" s="26"/>
      <c r="KQ148" s="26"/>
      <c r="KR148" s="26"/>
      <c r="KS148" s="26"/>
      <c r="KT148" s="26"/>
      <c r="KU148" s="26"/>
      <c r="KV148" s="26"/>
      <c r="KW148" s="26"/>
      <c r="KX148" s="26"/>
      <c r="KY148" s="26"/>
      <c r="KZ148" s="26"/>
      <c r="LA148" s="26"/>
      <c r="LB148" s="26"/>
      <c r="LC148" s="26"/>
      <c r="LD148" s="26"/>
      <c r="LE148" s="26"/>
      <c r="LF148" s="26"/>
      <c r="LG148" s="26"/>
      <c r="LH148" s="26"/>
      <c r="LI148" s="26"/>
      <c r="LJ148" s="26"/>
      <c r="LK148" s="26"/>
      <c r="LL148" s="26"/>
      <c r="LM148" s="26"/>
      <c r="LN148" s="26"/>
      <c r="LO148" s="26"/>
      <c r="LP148" s="26"/>
      <c r="LQ148" s="26"/>
      <c r="LR148" s="26"/>
      <c r="LS148" s="26"/>
      <c r="LT148" s="26"/>
      <c r="LU148" s="26"/>
      <c r="LV148" s="26"/>
      <c r="LW148" s="26"/>
      <c r="LX148" s="26"/>
      <c r="LY148" s="26"/>
      <c r="LZ148" s="26"/>
      <c r="MA148" s="26"/>
      <c r="MB148" s="26"/>
      <c r="MC148" s="26"/>
      <c r="MD148" s="26"/>
      <c r="ME148" s="26"/>
      <c r="MF148" s="26"/>
      <c r="MG148" s="26"/>
      <c r="MH148" s="26"/>
      <c r="MI148" s="26"/>
      <c r="MJ148" s="26"/>
      <c r="MK148" s="26"/>
      <c r="ML148" s="26"/>
      <c r="MM148" s="26"/>
      <c r="MN148" s="26"/>
      <c r="MO148" s="26"/>
      <c r="MP148" s="26"/>
      <c r="MQ148" s="26"/>
      <c r="MR148" s="26"/>
      <c r="MS148" s="26"/>
      <c r="MT148" s="26"/>
      <c r="MU148" s="26"/>
      <c r="MV148" s="26"/>
      <c r="MW148" s="26"/>
      <c r="MX148" s="26"/>
      <c r="MY148" s="26"/>
      <c r="MZ148" s="26"/>
      <c r="NA148" s="26"/>
      <c r="NB148" s="26"/>
      <c r="NC148" s="26"/>
      <c r="ND148" s="26"/>
      <c r="NE148" s="26"/>
      <c r="NF148" s="26"/>
      <c r="NG148" s="26"/>
      <c r="NH148" s="26"/>
      <c r="NI148" s="26"/>
      <c r="NJ148" s="26"/>
      <c r="NK148" s="26"/>
      <c r="NL148" s="26"/>
      <c r="NM148" s="26"/>
      <c r="NN148" s="26"/>
      <c r="NO148" s="26"/>
      <c r="NP148" s="26"/>
      <c r="NQ148" s="26"/>
      <c r="NR148" s="26"/>
      <c r="NS148" s="26"/>
      <c r="NT148" s="26"/>
      <c r="NU148" s="26"/>
      <c r="NV148" s="26"/>
      <c r="NW148" s="26"/>
      <c r="NX148" s="26"/>
      <c r="NY148" s="26"/>
      <c r="NZ148" s="26"/>
      <c r="OA148" s="26"/>
      <c r="OB148" s="26"/>
      <c r="OC148" s="26"/>
      <c r="OD148" s="26"/>
      <c r="OE148" s="26"/>
      <c r="OF148" s="26"/>
      <c r="OG148" s="26"/>
      <c r="OH148" s="26"/>
      <c r="OI148" s="26"/>
      <c r="OJ148" s="26"/>
      <c r="OK148" s="26"/>
      <c r="OL148" s="26"/>
      <c r="OM148" s="26"/>
      <c r="ON148" s="26"/>
      <c r="OO148" s="26"/>
      <c r="OP148" s="26"/>
      <c r="OQ148" s="26"/>
      <c r="OR148" s="26"/>
      <c r="OS148" s="26"/>
      <c r="OT148" s="26"/>
      <c r="OU148" s="26"/>
      <c r="OV148" s="26"/>
      <c r="OW148" s="26"/>
      <c r="OX148" s="26"/>
      <c r="OY148" s="26"/>
      <c r="OZ148" s="26"/>
      <c r="PA148" s="26"/>
      <c r="PB148" s="26"/>
      <c r="PC148" s="26"/>
      <c r="PD148" s="26"/>
      <c r="PE148" s="26"/>
      <c r="PF148" s="26"/>
      <c r="PG148" s="26"/>
      <c r="PH148" s="26"/>
      <c r="PI148" s="26"/>
      <c r="PJ148" s="26"/>
      <c r="PK148" s="26"/>
      <c r="PL148" s="26"/>
      <c r="PM148" s="26"/>
      <c r="PN148" s="26"/>
      <c r="PO148" s="26"/>
      <c r="PP148" s="26"/>
      <c r="PQ148" s="26"/>
      <c r="PR148" s="26"/>
      <c r="PS148" s="26"/>
      <c r="PT148" s="26"/>
      <c r="PU148" s="26"/>
      <c r="PV148" s="26"/>
      <c r="PW148" s="26"/>
      <c r="PX148" s="26"/>
      <c r="PY148" s="26"/>
      <c r="PZ148" s="26"/>
      <c r="QA148" s="26"/>
      <c r="QB148" s="26"/>
      <c r="QC148" s="26"/>
      <c r="QD148" s="26"/>
      <c r="QE148" s="26"/>
      <c r="QF148" s="26"/>
      <c r="QG148" s="26"/>
      <c r="QH148" s="26"/>
      <c r="QI148" s="26"/>
      <c r="QJ148" s="26"/>
      <c r="QK148" s="26"/>
      <c r="QL148" s="26"/>
      <c r="QM148" s="26"/>
      <c r="QN148" s="26"/>
      <c r="QO148" s="26"/>
      <c r="QP148" s="26"/>
      <c r="QQ148" s="26"/>
      <c r="QR148" s="26"/>
      <c r="QS148" s="26"/>
      <c r="QT148" s="26"/>
      <c r="QU148" s="26"/>
      <c r="QV148" s="26"/>
      <c r="QW148" s="26"/>
      <c r="QX148" s="26"/>
      <c r="QY148" s="26"/>
      <c r="QZ148" s="26"/>
      <c r="RA148" s="26"/>
      <c r="RB148" s="26"/>
      <c r="RC148" s="26"/>
      <c r="RD148" s="26"/>
      <c r="RE148" s="26"/>
      <c r="RF148" s="26"/>
      <c r="RG148" s="26"/>
      <c r="RH148" s="26"/>
      <c r="RI148" s="26"/>
      <c r="RJ148" s="26"/>
      <c r="RK148" s="26"/>
      <c r="RL148" s="26"/>
      <c r="RM148" s="26"/>
      <c r="RN148" s="26"/>
      <c r="RO148" s="26"/>
      <c r="RP148" s="26"/>
      <c r="RQ148" s="26"/>
      <c r="RR148" s="26"/>
      <c r="RS148" s="26"/>
      <c r="RT148" s="26"/>
      <c r="RU148" s="26"/>
      <c r="RV148" s="26"/>
      <c r="RW148" s="26"/>
      <c r="RX148" s="26"/>
      <c r="RY148" s="26"/>
      <c r="RZ148" s="26"/>
      <c r="SA148" s="26"/>
      <c r="SB148" s="26"/>
      <c r="SC148" s="26"/>
      <c r="SD148" s="26"/>
      <c r="SE148" s="26"/>
      <c r="SF148" s="26"/>
      <c r="SG148" s="26"/>
      <c r="SH148" s="26"/>
      <c r="SI148" s="26"/>
      <c r="SJ148" s="26"/>
      <c r="SK148" s="26"/>
      <c r="SL148" s="26"/>
      <c r="SM148" s="26"/>
      <c r="SN148" s="26"/>
      <c r="SO148" s="26"/>
      <c r="SP148" s="26"/>
      <c r="SQ148" s="26"/>
      <c r="SR148" s="26"/>
      <c r="SS148" s="26"/>
      <c r="ST148" s="26"/>
      <c r="SU148" s="26"/>
      <c r="SV148" s="26"/>
      <c r="SW148" s="26"/>
      <c r="SX148" s="26"/>
      <c r="SY148" s="26"/>
      <c r="SZ148" s="26"/>
      <c r="TA148" s="26"/>
      <c r="TB148" s="26"/>
      <c r="TC148" s="26"/>
      <c r="TD148" s="26"/>
      <c r="TE148" s="26"/>
      <c r="TF148" s="26"/>
      <c r="TG148" s="26"/>
      <c r="TH148" s="26"/>
      <c r="TI148" s="26"/>
    </row>
    <row r="149" spans="1:529" s="23" customFormat="1" ht="29.25" customHeight="1" x14ac:dyDescent="0.25">
      <c r="A149" s="43" t="s">
        <v>238</v>
      </c>
      <c r="B149" s="44">
        <f>'дод 4'!A107</f>
        <v>7325</v>
      </c>
      <c r="C149" s="44">
        <f>'дод 4'!B107</f>
        <v>443</v>
      </c>
      <c r="D149" s="24" t="str">
        <f>'дод 4'!C107</f>
        <v>Будівництво споруд, установ та закладів фізичної культури і спорту</v>
      </c>
      <c r="E149" s="69">
        <f t="shared" ref="E149" si="72">F149+I149</f>
        <v>0</v>
      </c>
      <c r="F149" s="69"/>
      <c r="G149" s="69"/>
      <c r="H149" s="69"/>
      <c r="I149" s="69"/>
      <c r="J149" s="69">
        <f t="shared" ref="J149" si="73">L149+O149</f>
        <v>3000000</v>
      </c>
      <c r="K149" s="69">
        <v>3000000</v>
      </c>
      <c r="L149" s="69"/>
      <c r="M149" s="69"/>
      <c r="N149" s="69"/>
      <c r="O149" s="69">
        <v>3000000</v>
      </c>
      <c r="P149" s="69">
        <f t="shared" ref="P149" si="74">E149+J149</f>
        <v>3000000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  <c r="IW149" s="26"/>
      <c r="IX149" s="26"/>
      <c r="IY149" s="26"/>
      <c r="IZ149" s="26"/>
      <c r="JA149" s="26"/>
      <c r="JB149" s="26"/>
      <c r="JC149" s="26"/>
      <c r="JD149" s="26"/>
      <c r="JE149" s="26"/>
      <c r="JF149" s="26"/>
      <c r="JG149" s="26"/>
      <c r="JH149" s="26"/>
      <c r="JI149" s="26"/>
      <c r="JJ149" s="26"/>
      <c r="JK149" s="26"/>
      <c r="JL149" s="26"/>
      <c r="JM149" s="26"/>
      <c r="JN149" s="26"/>
      <c r="JO149" s="26"/>
      <c r="JP149" s="26"/>
      <c r="JQ149" s="26"/>
      <c r="JR149" s="26"/>
      <c r="JS149" s="26"/>
      <c r="JT149" s="26"/>
      <c r="JU149" s="26"/>
      <c r="JV149" s="26"/>
      <c r="JW149" s="26"/>
      <c r="JX149" s="26"/>
      <c r="JY149" s="26"/>
      <c r="JZ149" s="26"/>
      <c r="KA149" s="26"/>
      <c r="KB149" s="26"/>
      <c r="KC149" s="26"/>
      <c r="KD149" s="26"/>
      <c r="KE149" s="26"/>
      <c r="KF149" s="26"/>
      <c r="KG149" s="26"/>
      <c r="KH149" s="26"/>
      <c r="KI149" s="26"/>
      <c r="KJ149" s="26"/>
      <c r="KK149" s="26"/>
      <c r="KL149" s="26"/>
      <c r="KM149" s="26"/>
      <c r="KN149" s="26"/>
      <c r="KO149" s="26"/>
      <c r="KP149" s="26"/>
      <c r="KQ149" s="26"/>
      <c r="KR149" s="26"/>
      <c r="KS149" s="26"/>
      <c r="KT149" s="26"/>
      <c r="KU149" s="26"/>
      <c r="KV149" s="26"/>
      <c r="KW149" s="26"/>
      <c r="KX149" s="26"/>
      <c r="KY149" s="26"/>
      <c r="KZ149" s="26"/>
      <c r="LA149" s="26"/>
      <c r="LB149" s="26"/>
      <c r="LC149" s="26"/>
      <c r="LD149" s="26"/>
      <c r="LE149" s="26"/>
      <c r="LF149" s="26"/>
      <c r="LG149" s="26"/>
      <c r="LH149" s="26"/>
      <c r="LI149" s="26"/>
      <c r="LJ149" s="26"/>
      <c r="LK149" s="26"/>
      <c r="LL149" s="26"/>
      <c r="LM149" s="26"/>
      <c r="LN149" s="26"/>
      <c r="LO149" s="26"/>
      <c r="LP149" s="26"/>
      <c r="LQ149" s="26"/>
      <c r="LR149" s="26"/>
      <c r="LS149" s="26"/>
      <c r="LT149" s="26"/>
      <c r="LU149" s="26"/>
      <c r="LV149" s="26"/>
      <c r="LW149" s="26"/>
      <c r="LX149" s="26"/>
      <c r="LY149" s="26"/>
      <c r="LZ149" s="26"/>
      <c r="MA149" s="26"/>
      <c r="MB149" s="26"/>
      <c r="MC149" s="26"/>
      <c r="MD149" s="26"/>
      <c r="ME149" s="26"/>
      <c r="MF149" s="26"/>
      <c r="MG149" s="26"/>
      <c r="MH149" s="26"/>
      <c r="MI149" s="26"/>
      <c r="MJ149" s="26"/>
      <c r="MK149" s="26"/>
      <c r="ML149" s="26"/>
      <c r="MM149" s="26"/>
      <c r="MN149" s="26"/>
      <c r="MO149" s="26"/>
      <c r="MP149" s="26"/>
      <c r="MQ149" s="26"/>
      <c r="MR149" s="26"/>
      <c r="MS149" s="26"/>
      <c r="MT149" s="26"/>
      <c r="MU149" s="26"/>
      <c r="MV149" s="26"/>
      <c r="MW149" s="26"/>
      <c r="MX149" s="26"/>
      <c r="MY149" s="26"/>
      <c r="MZ149" s="26"/>
      <c r="NA149" s="26"/>
      <c r="NB149" s="26"/>
      <c r="NC149" s="26"/>
      <c r="ND149" s="26"/>
      <c r="NE149" s="26"/>
      <c r="NF149" s="26"/>
      <c r="NG149" s="26"/>
      <c r="NH149" s="26"/>
      <c r="NI149" s="26"/>
      <c r="NJ149" s="26"/>
      <c r="NK149" s="26"/>
      <c r="NL149" s="26"/>
      <c r="NM149" s="26"/>
      <c r="NN149" s="26"/>
      <c r="NO149" s="26"/>
      <c r="NP149" s="26"/>
      <c r="NQ149" s="26"/>
      <c r="NR149" s="26"/>
      <c r="NS149" s="26"/>
      <c r="NT149" s="26"/>
      <c r="NU149" s="26"/>
      <c r="NV149" s="26"/>
      <c r="NW149" s="26"/>
      <c r="NX149" s="26"/>
      <c r="NY149" s="26"/>
      <c r="NZ149" s="26"/>
      <c r="OA149" s="26"/>
      <c r="OB149" s="26"/>
      <c r="OC149" s="26"/>
      <c r="OD149" s="26"/>
      <c r="OE149" s="26"/>
      <c r="OF149" s="26"/>
      <c r="OG149" s="26"/>
      <c r="OH149" s="26"/>
      <c r="OI149" s="26"/>
      <c r="OJ149" s="26"/>
      <c r="OK149" s="26"/>
      <c r="OL149" s="26"/>
      <c r="OM149" s="26"/>
      <c r="ON149" s="26"/>
      <c r="OO149" s="26"/>
      <c r="OP149" s="26"/>
      <c r="OQ149" s="26"/>
      <c r="OR149" s="26"/>
      <c r="OS149" s="26"/>
      <c r="OT149" s="26"/>
      <c r="OU149" s="26"/>
      <c r="OV149" s="26"/>
      <c r="OW149" s="26"/>
      <c r="OX149" s="26"/>
      <c r="OY149" s="26"/>
      <c r="OZ149" s="26"/>
      <c r="PA149" s="26"/>
      <c r="PB149" s="26"/>
      <c r="PC149" s="26"/>
      <c r="PD149" s="26"/>
      <c r="PE149" s="26"/>
      <c r="PF149" s="26"/>
      <c r="PG149" s="26"/>
      <c r="PH149" s="26"/>
      <c r="PI149" s="26"/>
      <c r="PJ149" s="26"/>
      <c r="PK149" s="26"/>
      <c r="PL149" s="26"/>
      <c r="PM149" s="26"/>
      <c r="PN149" s="26"/>
      <c r="PO149" s="26"/>
      <c r="PP149" s="26"/>
      <c r="PQ149" s="26"/>
      <c r="PR149" s="26"/>
      <c r="PS149" s="26"/>
      <c r="PT149" s="26"/>
      <c r="PU149" s="26"/>
      <c r="PV149" s="26"/>
      <c r="PW149" s="26"/>
      <c r="PX149" s="26"/>
      <c r="PY149" s="26"/>
      <c r="PZ149" s="26"/>
      <c r="QA149" s="26"/>
      <c r="QB149" s="26"/>
      <c r="QC149" s="26"/>
      <c r="QD149" s="26"/>
      <c r="QE149" s="26"/>
      <c r="QF149" s="26"/>
      <c r="QG149" s="26"/>
      <c r="QH149" s="26"/>
      <c r="QI149" s="26"/>
      <c r="QJ149" s="26"/>
      <c r="QK149" s="26"/>
      <c r="QL149" s="26"/>
      <c r="QM149" s="26"/>
      <c r="QN149" s="26"/>
      <c r="QO149" s="26"/>
      <c r="QP149" s="26"/>
      <c r="QQ149" s="26"/>
      <c r="QR149" s="26"/>
      <c r="QS149" s="26"/>
      <c r="QT149" s="26"/>
      <c r="QU149" s="26"/>
      <c r="QV149" s="26"/>
      <c r="QW149" s="26"/>
      <c r="QX149" s="26"/>
      <c r="QY149" s="26"/>
      <c r="QZ149" s="26"/>
      <c r="RA149" s="26"/>
      <c r="RB149" s="26"/>
      <c r="RC149" s="26"/>
      <c r="RD149" s="26"/>
      <c r="RE149" s="26"/>
      <c r="RF149" s="26"/>
      <c r="RG149" s="26"/>
      <c r="RH149" s="26"/>
      <c r="RI149" s="26"/>
      <c r="RJ149" s="26"/>
      <c r="RK149" s="26"/>
      <c r="RL149" s="26"/>
      <c r="RM149" s="26"/>
      <c r="RN149" s="26"/>
      <c r="RO149" s="26"/>
      <c r="RP149" s="26"/>
      <c r="RQ149" s="26"/>
      <c r="RR149" s="26"/>
      <c r="RS149" s="26"/>
      <c r="RT149" s="26"/>
      <c r="RU149" s="26"/>
      <c r="RV149" s="26"/>
      <c r="RW149" s="26"/>
      <c r="RX149" s="26"/>
      <c r="RY149" s="26"/>
      <c r="RZ149" s="26"/>
      <c r="SA149" s="26"/>
      <c r="SB149" s="26"/>
      <c r="SC149" s="26"/>
      <c r="SD149" s="26"/>
      <c r="SE149" s="26"/>
      <c r="SF149" s="26"/>
      <c r="SG149" s="26"/>
      <c r="SH149" s="26"/>
      <c r="SI149" s="26"/>
      <c r="SJ149" s="26"/>
      <c r="SK149" s="26"/>
      <c r="SL149" s="26"/>
      <c r="SM149" s="26"/>
      <c r="SN149" s="26"/>
      <c r="SO149" s="26"/>
      <c r="SP149" s="26"/>
      <c r="SQ149" s="26"/>
      <c r="SR149" s="26"/>
      <c r="SS149" s="26"/>
      <c r="ST149" s="26"/>
      <c r="SU149" s="26"/>
      <c r="SV149" s="26"/>
      <c r="SW149" s="26"/>
      <c r="SX149" s="26"/>
      <c r="SY149" s="26"/>
      <c r="SZ149" s="26"/>
      <c r="TA149" s="26"/>
      <c r="TB149" s="26"/>
      <c r="TC149" s="26"/>
      <c r="TD149" s="26"/>
      <c r="TE149" s="26"/>
      <c r="TF149" s="26"/>
      <c r="TG149" s="26"/>
      <c r="TH149" s="26"/>
      <c r="TI149" s="26"/>
    </row>
    <row r="150" spans="1:529" s="23" customFormat="1" ht="49.5" customHeight="1" x14ac:dyDescent="0.25">
      <c r="A150" s="43" t="s">
        <v>446</v>
      </c>
      <c r="B150" s="44">
        <f>'дод 4'!A110</f>
        <v>7361</v>
      </c>
      <c r="C150" s="44" t="str">
        <f>'дод 4'!B110</f>
        <v>0490</v>
      </c>
      <c r="D150" s="24" t="str">
        <f>'дод 4'!C110</f>
        <v>Співфінансування інвестиційних проектів, що реалізуються за рахунок коштів державного фонду регіонального розвитку</v>
      </c>
      <c r="E150" s="69">
        <f t="shared" si="69"/>
        <v>0</v>
      </c>
      <c r="F150" s="69"/>
      <c r="G150" s="69"/>
      <c r="H150" s="69"/>
      <c r="I150" s="69"/>
      <c r="J150" s="69">
        <f t="shared" si="71"/>
        <v>1386113</v>
      </c>
      <c r="K150" s="69">
        <v>1386113</v>
      </c>
      <c r="L150" s="69"/>
      <c r="M150" s="69"/>
      <c r="N150" s="69"/>
      <c r="O150" s="69">
        <v>1386113</v>
      </c>
      <c r="P150" s="69">
        <f t="shared" si="70"/>
        <v>1386113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  <c r="IW150" s="26"/>
      <c r="IX150" s="26"/>
      <c r="IY150" s="26"/>
      <c r="IZ150" s="26"/>
      <c r="JA150" s="26"/>
      <c r="JB150" s="26"/>
      <c r="JC150" s="26"/>
      <c r="JD150" s="26"/>
      <c r="JE150" s="26"/>
      <c r="JF150" s="26"/>
      <c r="JG150" s="26"/>
      <c r="JH150" s="26"/>
      <c r="JI150" s="26"/>
      <c r="JJ150" s="26"/>
      <c r="JK150" s="26"/>
      <c r="JL150" s="26"/>
      <c r="JM150" s="26"/>
      <c r="JN150" s="26"/>
      <c r="JO150" s="26"/>
      <c r="JP150" s="26"/>
      <c r="JQ150" s="26"/>
      <c r="JR150" s="26"/>
      <c r="JS150" s="26"/>
      <c r="JT150" s="26"/>
      <c r="JU150" s="26"/>
      <c r="JV150" s="26"/>
      <c r="JW150" s="26"/>
      <c r="JX150" s="26"/>
      <c r="JY150" s="26"/>
      <c r="JZ150" s="26"/>
      <c r="KA150" s="26"/>
      <c r="KB150" s="26"/>
      <c r="KC150" s="26"/>
      <c r="KD150" s="26"/>
      <c r="KE150" s="26"/>
      <c r="KF150" s="26"/>
      <c r="KG150" s="26"/>
      <c r="KH150" s="26"/>
      <c r="KI150" s="26"/>
      <c r="KJ150" s="26"/>
      <c r="KK150" s="26"/>
      <c r="KL150" s="26"/>
      <c r="KM150" s="26"/>
      <c r="KN150" s="26"/>
      <c r="KO150" s="26"/>
      <c r="KP150" s="26"/>
      <c r="KQ150" s="26"/>
      <c r="KR150" s="26"/>
      <c r="KS150" s="26"/>
      <c r="KT150" s="26"/>
      <c r="KU150" s="26"/>
      <c r="KV150" s="26"/>
      <c r="KW150" s="26"/>
      <c r="KX150" s="26"/>
      <c r="KY150" s="26"/>
      <c r="KZ150" s="26"/>
      <c r="LA150" s="26"/>
      <c r="LB150" s="26"/>
      <c r="LC150" s="26"/>
      <c r="LD150" s="26"/>
      <c r="LE150" s="26"/>
      <c r="LF150" s="26"/>
      <c r="LG150" s="26"/>
      <c r="LH150" s="26"/>
      <c r="LI150" s="26"/>
      <c r="LJ150" s="26"/>
      <c r="LK150" s="26"/>
      <c r="LL150" s="26"/>
      <c r="LM150" s="26"/>
      <c r="LN150" s="26"/>
      <c r="LO150" s="26"/>
      <c r="LP150" s="26"/>
      <c r="LQ150" s="26"/>
      <c r="LR150" s="26"/>
      <c r="LS150" s="26"/>
      <c r="LT150" s="26"/>
      <c r="LU150" s="26"/>
      <c r="LV150" s="26"/>
      <c r="LW150" s="26"/>
      <c r="LX150" s="26"/>
      <c r="LY150" s="26"/>
      <c r="LZ150" s="26"/>
      <c r="MA150" s="26"/>
      <c r="MB150" s="26"/>
      <c r="MC150" s="26"/>
      <c r="MD150" s="26"/>
      <c r="ME150" s="26"/>
      <c r="MF150" s="26"/>
      <c r="MG150" s="26"/>
      <c r="MH150" s="26"/>
      <c r="MI150" s="26"/>
      <c r="MJ150" s="26"/>
      <c r="MK150" s="26"/>
      <c r="ML150" s="26"/>
      <c r="MM150" s="26"/>
      <c r="MN150" s="26"/>
      <c r="MO150" s="26"/>
      <c r="MP150" s="26"/>
      <c r="MQ150" s="26"/>
      <c r="MR150" s="26"/>
      <c r="MS150" s="26"/>
      <c r="MT150" s="26"/>
      <c r="MU150" s="26"/>
      <c r="MV150" s="26"/>
      <c r="MW150" s="26"/>
      <c r="MX150" s="26"/>
      <c r="MY150" s="26"/>
      <c r="MZ150" s="26"/>
      <c r="NA150" s="26"/>
      <c r="NB150" s="26"/>
      <c r="NC150" s="26"/>
      <c r="ND150" s="26"/>
      <c r="NE150" s="26"/>
      <c r="NF150" s="26"/>
      <c r="NG150" s="26"/>
      <c r="NH150" s="26"/>
      <c r="NI150" s="26"/>
      <c r="NJ150" s="26"/>
      <c r="NK150" s="26"/>
      <c r="NL150" s="26"/>
      <c r="NM150" s="26"/>
      <c r="NN150" s="26"/>
      <c r="NO150" s="26"/>
      <c r="NP150" s="26"/>
      <c r="NQ150" s="26"/>
      <c r="NR150" s="26"/>
      <c r="NS150" s="26"/>
      <c r="NT150" s="26"/>
      <c r="NU150" s="26"/>
      <c r="NV150" s="26"/>
      <c r="NW150" s="26"/>
      <c r="NX150" s="26"/>
      <c r="NY150" s="26"/>
      <c r="NZ150" s="26"/>
      <c r="OA150" s="26"/>
      <c r="OB150" s="26"/>
      <c r="OC150" s="26"/>
      <c r="OD150" s="26"/>
      <c r="OE150" s="26"/>
      <c r="OF150" s="26"/>
      <c r="OG150" s="26"/>
      <c r="OH150" s="26"/>
      <c r="OI150" s="26"/>
      <c r="OJ150" s="26"/>
      <c r="OK150" s="26"/>
      <c r="OL150" s="26"/>
      <c r="OM150" s="26"/>
      <c r="ON150" s="26"/>
      <c r="OO150" s="26"/>
      <c r="OP150" s="26"/>
      <c r="OQ150" s="26"/>
      <c r="OR150" s="26"/>
      <c r="OS150" s="26"/>
      <c r="OT150" s="26"/>
      <c r="OU150" s="26"/>
      <c r="OV150" s="26"/>
      <c r="OW150" s="26"/>
      <c r="OX150" s="26"/>
      <c r="OY150" s="26"/>
      <c r="OZ150" s="26"/>
      <c r="PA150" s="26"/>
      <c r="PB150" s="26"/>
      <c r="PC150" s="26"/>
      <c r="PD150" s="26"/>
      <c r="PE150" s="26"/>
      <c r="PF150" s="26"/>
      <c r="PG150" s="26"/>
      <c r="PH150" s="26"/>
      <c r="PI150" s="26"/>
      <c r="PJ150" s="26"/>
      <c r="PK150" s="26"/>
      <c r="PL150" s="26"/>
      <c r="PM150" s="26"/>
      <c r="PN150" s="26"/>
      <c r="PO150" s="26"/>
      <c r="PP150" s="26"/>
      <c r="PQ150" s="26"/>
      <c r="PR150" s="26"/>
      <c r="PS150" s="26"/>
      <c r="PT150" s="26"/>
      <c r="PU150" s="26"/>
      <c r="PV150" s="26"/>
      <c r="PW150" s="26"/>
      <c r="PX150" s="26"/>
      <c r="PY150" s="26"/>
      <c r="PZ150" s="26"/>
      <c r="QA150" s="26"/>
      <c r="QB150" s="26"/>
      <c r="QC150" s="26"/>
      <c r="QD150" s="26"/>
      <c r="QE150" s="26"/>
      <c r="QF150" s="26"/>
      <c r="QG150" s="26"/>
      <c r="QH150" s="26"/>
      <c r="QI150" s="26"/>
      <c r="QJ150" s="26"/>
      <c r="QK150" s="26"/>
      <c r="QL150" s="26"/>
      <c r="QM150" s="26"/>
      <c r="QN150" s="26"/>
      <c r="QO150" s="26"/>
      <c r="QP150" s="26"/>
      <c r="QQ150" s="26"/>
      <c r="QR150" s="26"/>
      <c r="QS150" s="26"/>
      <c r="QT150" s="26"/>
      <c r="QU150" s="26"/>
      <c r="QV150" s="26"/>
      <c r="QW150" s="26"/>
      <c r="QX150" s="26"/>
      <c r="QY150" s="26"/>
      <c r="QZ150" s="26"/>
      <c r="RA150" s="26"/>
      <c r="RB150" s="26"/>
      <c r="RC150" s="26"/>
      <c r="RD150" s="26"/>
      <c r="RE150" s="26"/>
      <c r="RF150" s="26"/>
      <c r="RG150" s="26"/>
      <c r="RH150" s="26"/>
      <c r="RI150" s="26"/>
      <c r="RJ150" s="26"/>
      <c r="RK150" s="26"/>
      <c r="RL150" s="26"/>
      <c r="RM150" s="26"/>
      <c r="RN150" s="26"/>
      <c r="RO150" s="26"/>
      <c r="RP150" s="26"/>
      <c r="RQ150" s="26"/>
      <c r="RR150" s="26"/>
      <c r="RS150" s="26"/>
      <c r="RT150" s="26"/>
      <c r="RU150" s="26"/>
      <c r="RV150" s="26"/>
      <c r="RW150" s="26"/>
      <c r="RX150" s="26"/>
      <c r="RY150" s="26"/>
      <c r="RZ150" s="26"/>
      <c r="SA150" s="26"/>
      <c r="SB150" s="26"/>
      <c r="SC150" s="26"/>
      <c r="SD150" s="26"/>
      <c r="SE150" s="26"/>
      <c r="SF150" s="26"/>
      <c r="SG150" s="26"/>
      <c r="SH150" s="26"/>
      <c r="SI150" s="26"/>
      <c r="SJ150" s="26"/>
      <c r="SK150" s="26"/>
      <c r="SL150" s="26"/>
      <c r="SM150" s="26"/>
      <c r="SN150" s="26"/>
      <c r="SO150" s="26"/>
      <c r="SP150" s="26"/>
      <c r="SQ150" s="26"/>
      <c r="SR150" s="26"/>
      <c r="SS150" s="26"/>
      <c r="ST150" s="26"/>
      <c r="SU150" s="26"/>
      <c r="SV150" s="26"/>
      <c r="SW150" s="26"/>
      <c r="SX150" s="26"/>
      <c r="SY150" s="26"/>
      <c r="SZ150" s="26"/>
      <c r="TA150" s="26"/>
      <c r="TB150" s="26"/>
      <c r="TC150" s="26"/>
      <c r="TD150" s="26"/>
      <c r="TE150" s="26"/>
      <c r="TF150" s="26"/>
      <c r="TG150" s="26"/>
      <c r="TH150" s="26"/>
      <c r="TI150" s="26"/>
    </row>
    <row r="151" spans="1:529" s="23" customFormat="1" ht="30" x14ac:dyDescent="0.25">
      <c r="A151" s="43">
        <v>1217362</v>
      </c>
      <c r="B151" s="44">
        <f>'дод 4'!A111</f>
        <v>7362</v>
      </c>
      <c r="C151" s="44" t="str">
        <f>'дод 4'!B111</f>
        <v>0490</v>
      </c>
      <c r="D151" s="24" t="str">
        <f>'дод 4'!C111</f>
        <v>Виконання інвестиційних проектів в рамках підтримки розвитку об'єднаних територіальних громад</v>
      </c>
      <c r="E151" s="69">
        <f t="shared" si="69"/>
        <v>0</v>
      </c>
      <c r="F151" s="69"/>
      <c r="G151" s="69"/>
      <c r="H151" s="69"/>
      <c r="I151" s="69"/>
      <c r="J151" s="69">
        <f t="shared" si="71"/>
        <v>75600</v>
      </c>
      <c r="K151" s="69">
        <v>75600</v>
      </c>
      <c r="L151" s="69"/>
      <c r="M151" s="69"/>
      <c r="N151" s="69"/>
      <c r="O151" s="69">
        <v>75600</v>
      </c>
      <c r="P151" s="69">
        <f t="shared" si="70"/>
        <v>75600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  <c r="IW151" s="26"/>
      <c r="IX151" s="26"/>
      <c r="IY151" s="26"/>
      <c r="IZ151" s="26"/>
      <c r="JA151" s="26"/>
      <c r="JB151" s="26"/>
      <c r="JC151" s="26"/>
      <c r="JD151" s="26"/>
      <c r="JE151" s="26"/>
      <c r="JF151" s="26"/>
      <c r="JG151" s="26"/>
      <c r="JH151" s="26"/>
      <c r="JI151" s="26"/>
      <c r="JJ151" s="26"/>
      <c r="JK151" s="26"/>
      <c r="JL151" s="26"/>
      <c r="JM151" s="26"/>
      <c r="JN151" s="26"/>
      <c r="JO151" s="26"/>
      <c r="JP151" s="26"/>
      <c r="JQ151" s="26"/>
      <c r="JR151" s="26"/>
      <c r="JS151" s="26"/>
      <c r="JT151" s="26"/>
      <c r="JU151" s="26"/>
      <c r="JV151" s="26"/>
      <c r="JW151" s="26"/>
      <c r="JX151" s="26"/>
      <c r="JY151" s="26"/>
      <c r="JZ151" s="26"/>
      <c r="KA151" s="26"/>
      <c r="KB151" s="26"/>
      <c r="KC151" s="26"/>
      <c r="KD151" s="26"/>
      <c r="KE151" s="26"/>
      <c r="KF151" s="26"/>
      <c r="KG151" s="26"/>
      <c r="KH151" s="26"/>
      <c r="KI151" s="26"/>
      <c r="KJ151" s="26"/>
      <c r="KK151" s="26"/>
      <c r="KL151" s="26"/>
      <c r="KM151" s="26"/>
      <c r="KN151" s="26"/>
      <c r="KO151" s="26"/>
      <c r="KP151" s="26"/>
      <c r="KQ151" s="26"/>
      <c r="KR151" s="26"/>
      <c r="KS151" s="26"/>
      <c r="KT151" s="26"/>
      <c r="KU151" s="26"/>
      <c r="KV151" s="26"/>
      <c r="KW151" s="26"/>
      <c r="KX151" s="26"/>
      <c r="KY151" s="26"/>
      <c r="KZ151" s="26"/>
      <c r="LA151" s="26"/>
      <c r="LB151" s="26"/>
      <c r="LC151" s="26"/>
      <c r="LD151" s="26"/>
      <c r="LE151" s="26"/>
      <c r="LF151" s="26"/>
      <c r="LG151" s="26"/>
      <c r="LH151" s="26"/>
      <c r="LI151" s="26"/>
      <c r="LJ151" s="26"/>
      <c r="LK151" s="26"/>
      <c r="LL151" s="26"/>
      <c r="LM151" s="26"/>
      <c r="LN151" s="26"/>
      <c r="LO151" s="26"/>
      <c r="LP151" s="26"/>
      <c r="LQ151" s="26"/>
      <c r="LR151" s="26"/>
      <c r="LS151" s="26"/>
      <c r="LT151" s="26"/>
      <c r="LU151" s="26"/>
      <c r="LV151" s="26"/>
      <c r="LW151" s="26"/>
      <c r="LX151" s="26"/>
      <c r="LY151" s="26"/>
      <c r="LZ151" s="26"/>
      <c r="MA151" s="26"/>
      <c r="MB151" s="26"/>
      <c r="MC151" s="26"/>
      <c r="MD151" s="26"/>
      <c r="ME151" s="26"/>
      <c r="MF151" s="26"/>
      <c r="MG151" s="26"/>
      <c r="MH151" s="26"/>
      <c r="MI151" s="26"/>
      <c r="MJ151" s="26"/>
      <c r="MK151" s="26"/>
      <c r="ML151" s="26"/>
      <c r="MM151" s="26"/>
      <c r="MN151" s="26"/>
      <c r="MO151" s="26"/>
      <c r="MP151" s="26"/>
      <c r="MQ151" s="26"/>
      <c r="MR151" s="26"/>
      <c r="MS151" s="26"/>
      <c r="MT151" s="26"/>
      <c r="MU151" s="26"/>
      <c r="MV151" s="26"/>
      <c r="MW151" s="26"/>
      <c r="MX151" s="26"/>
      <c r="MY151" s="26"/>
      <c r="MZ151" s="26"/>
      <c r="NA151" s="26"/>
      <c r="NB151" s="26"/>
      <c r="NC151" s="26"/>
      <c r="ND151" s="26"/>
      <c r="NE151" s="26"/>
      <c r="NF151" s="26"/>
      <c r="NG151" s="26"/>
      <c r="NH151" s="26"/>
      <c r="NI151" s="26"/>
      <c r="NJ151" s="26"/>
      <c r="NK151" s="26"/>
      <c r="NL151" s="26"/>
      <c r="NM151" s="26"/>
      <c r="NN151" s="26"/>
      <c r="NO151" s="26"/>
      <c r="NP151" s="26"/>
      <c r="NQ151" s="26"/>
      <c r="NR151" s="26"/>
      <c r="NS151" s="26"/>
      <c r="NT151" s="26"/>
      <c r="NU151" s="26"/>
      <c r="NV151" s="26"/>
      <c r="NW151" s="26"/>
      <c r="NX151" s="26"/>
      <c r="NY151" s="26"/>
      <c r="NZ151" s="26"/>
      <c r="OA151" s="26"/>
      <c r="OB151" s="26"/>
      <c r="OC151" s="26"/>
      <c r="OD151" s="26"/>
      <c r="OE151" s="26"/>
      <c r="OF151" s="26"/>
      <c r="OG151" s="26"/>
      <c r="OH151" s="26"/>
      <c r="OI151" s="26"/>
      <c r="OJ151" s="26"/>
      <c r="OK151" s="26"/>
      <c r="OL151" s="26"/>
      <c r="OM151" s="26"/>
      <c r="ON151" s="26"/>
      <c r="OO151" s="26"/>
      <c r="OP151" s="26"/>
      <c r="OQ151" s="26"/>
      <c r="OR151" s="26"/>
      <c r="OS151" s="26"/>
      <c r="OT151" s="26"/>
      <c r="OU151" s="26"/>
      <c r="OV151" s="26"/>
      <c r="OW151" s="26"/>
      <c r="OX151" s="26"/>
      <c r="OY151" s="26"/>
      <c r="OZ151" s="26"/>
      <c r="PA151" s="26"/>
      <c r="PB151" s="26"/>
      <c r="PC151" s="26"/>
      <c r="PD151" s="26"/>
      <c r="PE151" s="26"/>
      <c r="PF151" s="26"/>
      <c r="PG151" s="26"/>
      <c r="PH151" s="26"/>
      <c r="PI151" s="26"/>
      <c r="PJ151" s="26"/>
      <c r="PK151" s="26"/>
      <c r="PL151" s="26"/>
      <c r="PM151" s="26"/>
      <c r="PN151" s="26"/>
      <c r="PO151" s="26"/>
      <c r="PP151" s="26"/>
      <c r="PQ151" s="26"/>
      <c r="PR151" s="26"/>
      <c r="PS151" s="26"/>
      <c r="PT151" s="26"/>
      <c r="PU151" s="26"/>
      <c r="PV151" s="26"/>
      <c r="PW151" s="26"/>
      <c r="PX151" s="26"/>
      <c r="PY151" s="26"/>
      <c r="PZ151" s="26"/>
      <c r="QA151" s="26"/>
      <c r="QB151" s="26"/>
      <c r="QC151" s="26"/>
      <c r="QD151" s="26"/>
      <c r="QE151" s="26"/>
      <c r="QF151" s="26"/>
      <c r="QG151" s="26"/>
      <c r="QH151" s="26"/>
      <c r="QI151" s="26"/>
      <c r="QJ151" s="26"/>
      <c r="QK151" s="26"/>
      <c r="QL151" s="26"/>
      <c r="QM151" s="26"/>
      <c r="QN151" s="26"/>
      <c r="QO151" s="26"/>
      <c r="QP151" s="26"/>
      <c r="QQ151" s="26"/>
      <c r="QR151" s="26"/>
      <c r="QS151" s="26"/>
      <c r="QT151" s="26"/>
      <c r="QU151" s="26"/>
      <c r="QV151" s="26"/>
      <c r="QW151" s="26"/>
      <c r="QX151" s="26"/>
      <c r="QY151" s="26"/>
      <c r="QZ151" s="26"/>
      <c r="RA151" s="26"/>
      <c r="RB151" s="26"/>
      <c r="RC151" s="26"/>
      <c r="RD151" s="26"/>
      <c r="RE151" s="26"/>
      <c r="RF151" s="26"/>
      <c r="RG151" s="26"/>
      <c r="RH151" s="26"/>
      <c r="RI151" s="26"/>
      <c r="RJ151" s="26"/>
      <c r="RK151" s="26"/>
      <c r="RL151" s="26"/>
      <c r="RM151" s="26"/>
      <c r="RN151" s="26"/>
      <c r="RO151" s="26"/>
      <c r="RP151" s="26"/>
      <c r="RQ151" s="26"/>
      <c r="RR151" s="26"/>
      <c r="RS151" s="26"/>
      <c r="RT151" s="26"/>
      <c r="RU151" s="26"/>
      <c r="RV151" s="26"/>
      <c r="RW151" s="26"/>
      <c r="RX151" s="26"/>
      <c r="RY151" s="26"/>
      <c r="RZ151" s="26"/>
      <c r="SA151" s="26"/>
      <c r="SB151" s="26"/>
      <c r="SC151" s="26"/>
      <c r="SD151" s="26"/>
      <c r="SE151" s="26"/>
      <c r="SF151" s="26"/>
      <c r="SG151" s="26"/>
      <c r="SH151" s="26"/>
      <c r="SI151" s="26"/>
      <c r="SJ151" s="26"/>
      <c r="SK151" s="26"/>
      <c r="SL151" s="26"/>
      <c r="SM151" s="26"/>
      <c r="SN151" s="26"/>
      <c r="SO151" s="26"/>
      <c r="SP151" s="26"/>
      <c r="SQ151" s="26"/>
      <c r="SR151" s="26"/>
      <c r="SS151" s="26"/>
      <c r="ST151" s="26"/>
      <c r="SU151" s="26"/>
      <c r="SV151" s="26"/>
      <c r="SW151" s="26"/>
      <c r="SX151" s="26"/>
      <c r="SY151" s="26"/>
      <c r="SZ151" s="26"/>
      <c r="TA151" s="26"/>
      <c r="TB151" s="26"/>
      <c r="TC151" s="26"/>
      <c r="TD151" s="26"/>
      <c r="TE151" s="26"/>
      <c r="TF151" s="26"/>
      <c r="TG151" s="26"/>
      <c r="TH151" s="26"/>
      <c r="TI151" s="26"/>
    </row>
    <row r="152" spans="1:529" s="23" customFormat="1" ht="45" x14ac:dyDescent="0.25">
      <c r="A152" s="43" t="s">
        <v>442</v>
      </c>
      <c r="B152" s="44">
        <v>7363</v>
      </c>
      <c r="C152" s="117" t="s">
        <v>102</v>
      </c>
      <c r="D152" s="118" t="s">
        <v>438</v>
      </c>
      <c r="E152" s="69">
        <f t="shared" si="69"/>
        <v>0</v>
      </c>
      <c r="F152" s="69"/>
      <c r="G152" s="69"/>
      <c r="H152" s="69"/>
      <c r="I152" s="69"/>
      <c r="J152" s="69">
        <f t="shared" si="71"/>
        <v>956186.69000000006</v>
      </c>
      <c r="K152" s="69">
        <f>18766.31+937420.38</f>
        <v>956186.69000000006</v>
      </c>
      <c r="L152" s="69"/>
      <c r="M152" s="69"/>
      <c r="N152" s="69"/>
      <c r="O152" s="69">
        <f>18766.31+937420.38</f>
        <v>956186.69000000006</v>
      </c>
      <c r="P152" s="69">
        <f t="shared" si="70"/>
        <v>956186.69000000006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  <c r="IW152" s="26"/>
      <c r="IX152" s="26"/>
      <c r="IY152" s="26"/>
      <c r="IZ152" s="26"/>
      <c r="JA152" s="26"/>
      <c r="JB152" s="26"/>
      <c r="JC152" s="26"/>
      <c r="JD152" s="26"/>
      <c r="JE152" s="26"/>
      <c r="JF152" s="26"/>
      <c r="JG152" s="26"/>
      <c r="JH152" s="26"/>
      <c r="JI152" s="26"/>
      <c r="JJ152" s="26"/>
      <c r="JK152" s="26"/>
      <c r="JL152" s="26"/>
      <c r="JM152" s="26"/>
      <c r="JN152" s="26"/>
      <c r="JO152" s="26"/>
      <c r="JP152" s="26"/>
      <c r="JQ152" s="26"/>
      <c r="JR152" s="26"/>
      <c r="JS152" s="26"/>
      <c r="JT152" s="26"/>
      <c r="JU152" s="26"/>
      <c r="JV152" s="26"/>
      <c r="JW152" s="26"/>
      <c r="JX152" s="26"/>
      <c r="JY152" s="26"/>
      <c r="JZ152" s="26"/>
      <c r="KA152" s="26"/>
      <c r="KB152" s="26"/>
      <c r="KC152" s="26"/>
      <c r="KD152" s="26"/>
      <c r="KE152" s="26"/>
      <c r="KF152" s="26"/>
      <c r="KG152" s="26"/>
      <c r="KH152" s="26"/>
      <c r="KI152" s="26"/>
      <c r="KJ152" s="26"/>
      <c r="KK152" s="26"/>
      <c r="KL152" s="26"/>
      <c r="KM152" s="26"/>
      <c r="KN152" s="26"/>
      <c r="KO152" s="26"/>
      <c r="KP152" s="26"/>
      <c r="KQ152" s="26"/>
      <c r="KR152" s="26"/>
      <c r="KS152" s="26"/>
      <c r="KT152" s="26"/>
      <c r="KU152" s="26"/>
      <c r="KV152" s="26"/>
      <c r="KW152" s="26"/>
      <c r="KX152" s="26"/>
      <c r="KY152" s="26"/>
      <c r="KZ152" s="26"/>
      <c r="LA152" s="26"/>
      <c r="LB152" s="26"/>
      <c r="LC152" s="26"/>
      <c r="LD152" s="26"/>
      <c r="LE152" s="26"/>
      <c r="LF152" s="26"/>
      <c r="LG152" s="26"/>
      <c r="LH152" s="26"/>
      <c r="LI152" s="26"/>
      <c r="LJ152" s="26"/>
      <c r="LK152" s="26"/>
      <c r="LL152" s="26"/>
      <c r="LM152" s="26"/>
      <c r="LN152" s="26"/>
      <c r="LO152" s="26"/>
      <c r="LP152" s="26"/>
      <c r="LQ152" s="26"/>
      <c r="LR152" s="26"/>
      <c r="LS152" s="26"/>
      <c r="LT152" s="26"/>
      <c r="LU152" s="26"/>
      <c r="LV152" s="26"/>
      <c r="LW152" s="26"/>
      <c r="LX152" s="26"/>
      <c r="LY152" s="26"/>
      <c r="LZ152" s="26"/>
      <c r="MA152" s="26"/>
      <c r="MB152" s="26"/>
      <c r="MC152" s="26"/>
      <c r="MD152" s="26"/>
      <c r="ME152" s="26"/>
      <c r="MF152" s="26"/>
      <c r="MG152" s="26"/>
      <c r="MH152" s="26"/>
      <c r="MI152" s="26"/>
      <c r="MJ152" s="26"/>
      <c r="MK152" s="26"/>
      <c r="ML152" s="26"/>
      <c r="MM152" s="26"/>
      <c r="MN152" s="26"/>
      <c r="MO152" s="26"/>
      <c r="MP152" s="26"/>
      <c r="MQ152" s="26"/>
      <c r="MR152" s="26"/>
      <c r="MS152" s="26"/>
      <c r="MT152" s="26"/>
      <c r="MU152" s="26"/>
      <c r="MV152" s="26"/>
      <c r="MW152" s="26"/>
      <c r="MX152" s="26"/>
      <c r="MY152" s="26"/>
      <c r="MZ152" s="26"/>
      <c r="NA152" s="26"/>
      <c r="NB152" s="26"/>
      <c r="NC152" s="26"/>
      <c r="ND152" s="26"/>
      <c r="NE152" s="26"/>
      <c r="NF152" s="26"/>
      <c r="NG152" s="26"/>
      <c r="NH152" s="26"/>
      <c r="NI152" s="26"/>
      <c r="NJ152" s="26"/>
      <c r="NK152" s="26"/>
      <c r="NL152" s="26"/>
      <c r="NM152" s="26"/>
      <c r="NN152" s="26"/>
      <c r="NO152" s="26"/>
      <c r="NP152" s="26"/>
      <c r="NQ152" s="26"/>
      <c r="NR152" s="26"/>
      <c r="NS152" s="26"/>
      <c r="NT152" s="26"/>
      <c r="NU152" s="26"/>
      <c r="NV152" s="26"/>
      <c r="NW152" s="26"/>
      <c r="NX152" s="26"/>
      <c r="NY152" s="26"/>
      <c r="NZ152" s="26"/>
      <c r="OA152" s="26"/>
      <c r="OB152" s="26"/>
      <c r="OC152" s="26"/>
      <c r="OD152" s="26"/>
      <c r="OE152" s="26"/>
      <c r="OF152" s="26"/>
      <c r="OG152" s="26"/>
      <c r="OH152" s="26"/>
      <c r="OI152" s="26"/>
      <c r="OJ152" s="26"/>
      <c r="OK152" s="26"/>
      <c r="OL152" s="26"/>
      <c r="OM152" s="26"/>
      <c r="ON152" s="26"/>
      <c r="OO152" s="26"/>
      <c r="OP152" s="26"/>
      <c r="OQ152" s="26"/>
      <c r="OR152" s="26"/>
      <c r="OS152" s="26"/>
      <c r="OT152" s="26"/>
      <c r="OU152" s="26"/>
      <c r="OV152" s="26"/>
      <c r="OW152" s="26"/>
      <c r="OX152" s="26"/>
      <c r="OY152" s="26"/>
      <c r="OZ152" s="26"/>
      <c r="PA152" s="26"/>
      <c r="PB152" s="26"/>
      <c r="PC152" s="26"/>
      <c r="PD152" s="26"/>
      <c r="PE152" s="26"/>
      <c r="PF152" s="26"/>
      <c r="PG152" s="26"/>
      <c r="PH152" s="26"/>
      <c r="PI152" s="26"/>
      <c r="PJ152" s="26"/>
      <c r="PK152" s="26"/>
      <c r="PL152" s="26"/>
      <c r="PM152" s="26"/>
      <c r="PN152" s="26"/>
      <c r="PO152" s="26"/>
      <c r="PP152" s="26"/>
      <c r="PQ152" s="26"/>
      <c r="PR152" s="26"/>
      <c r="PS152" s="26"/>
      <c r="PT152" s="26"/>
      <c r="PU152" s="26"/>
      <c r="PV152" s="26"/>
      <c r="PW152" s="26"/>
      <c r="PX152" s="26"/>
      <c r="PY152" s="26"/>
      <c r="PZ152" s="26"/>
      <c r="QA152" s="26"/>
      <c r="QB152" s="26"/>
      <c r="QC152" s="26"/>
      <c r="QD152" s="26"/>
      <c r="QE152" s="26"/>
      <c r="QF152" s="26"/>
      <c r="QG152" s="26"/>
      <c r="QH152" s="26"/>
      <c r="QI152" s="26"/>
      <c r="QJ152" s="26"/>
      <c r="QK152" s="26"/>
      <c r="QL152" s="26"/>
      <c r="QM152" s="26"/>
      <c r="QN152" s="26"/>
      <c r="QO152" s="26"/>
      <c r="QP152" s="26"/>
      <c r="QQ152" s="26"/>
      <c r="QR152" s="26"/>
      <c r="QS152" s="26"/>
      <c r="QT152" s="26"/>
      <c r="QU152" s="26"/>
      <c r="QV152" s="26"/>
      <c r="QW152" s="26"/>
      <c r="QX152" s="26"/>
      <c r="QY152" s="26"/>
      <c r="QZ152" s="26"/>
      <c r="RA152" s="26"/>
      <c r="RB152" s="26"/>
      <c r="RC152" s="26"/>
      <c r="RD152" s="26"/>
      <c r="RE152" s="26"/>
      <c r="RF152" s="26"/>
      <c r="RG152" s="26"/>
      <c r="RH152" s="26"/>
      <c r="RI152" s="26"/>
      <c r="RJ152" s="26"/>
      <c r="RK152" s="26"/>
      <c r="RL152" s="26"/>
      <c r="RM152" s="26"/>
      <c r="RN152" s="26"/>
      <c r="RO152" s="26"/>
      <c r="RP152" s="26"/>
      <c r="RQ152" s="26"/>
      <c r="RR152" s="26"/>
      <c r="RS152" s="26"/>
      <c r="RT152" s="26"/>
      <c r="RU152" s="26"/>
      <c r="RV152" s="26"/>
      <c r="RW152" s="26"/>
      <c r="RX152" s="26"/>
      <c r="RY152" s="26"/>
      <c r="RZ152" s="26"/>
      <c r="SA152" s="26"/>
      <c r="SB152" s="26"/>
      <c r="SC152" s="26"/>
      <c r="SD152" s="26"/>
      <c r="SE152" s="26"/>
      <c r="SF152" s="26"/>
      <c r="SG152" s="26"/>
      <c r="SH152" s="26"/>
      <c r="SI152" s="26"/>
      <c r="SJ152" s="26"/>
      <c r="SK152" s="26"/>
      <c r="SL152" s="26"/>
      <c r="SM152" s="26"/>
      <c r="SN152" s="26"/>
      <c r="SO152" s="26"/>
      <c r="SP152" s="26"/>
      <c r="SQ152" s="26"/>
      <c r="SR152" s="26"/>
      <c r="SS152" s="26"/>
      <c r="ST152" s="26"/>
      <c r="SU152" s="26"/>
      <c r="SV152" s="26"/>
      <c r="SW152" s="26"/>
      <c r="SX152" s="26"/>
      <c r="SY152" s="26"/>
      <c r="SZ152" s="26"/>
      <c r="TA152" s="26"/>
      <c r="TB152" s="26"/>
      <c r="TC152" s="26"/>
      <c r="TD152" s="26"/>
      <c r="TE152" s="26"/>
      <c r="TF152" s="26"/>
      <c r="TG152" s="26"/>
      <c r="TH152" s="26"/>
      <c r="TI152" s="26"/>
    </row>
    <row r="153" spans="1:529" s="23" customFormat="1" x14ac:dyDescent="0.25">
      <c r="A153" s="43"/>
      <c r="B153" s="44"/>
      <c r="C153" s="44"/>
      <c r="D153" s="22" t="s">
        <v>308</v>
      </c>
      <c r="E153" s="69">
        <f t="shared" si="69"/>
        <v>0</v>
      </c>
      <c r="F153" s="69"/>
      <c r="G153" s="69"/>
      <c r="H153" s="69"/>
      <c r="I153" s="69"/>
      <c r="J153" s="69">
        <f t="shared" si="71"/>
        <v>937420.38</v>
      </c>
      <c r="K153" s="69">
        <v>937420.38</v>
      </c>
      <c r="L153" s="69"/>
      <c r="M153" s="69"/>
      <c r="N153" s="69"/>
      <c r="O153" s="69">
        <v>937420.38</v>
      </c>
      <c r="P153" s="69">
        <f t="shared" si="70"/>
        <v>937420.38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  <c r="IW153" s="26"/>
      <c r="IX153" s="26"/>
      <c r="IY153" s="26"/>
      <c r="IZ153" s="26"/>
      <c r="JA153" s="26"/>
      <c r="JB153" s="26"/>
      <c r="JC153" s="26"/>
      <c r="JD153" s="26"/>
      <c r="JE153" s="26"/>
      <c r="JF153" s="26"/>
      <c r="JG153" s="26"/>
      <c r="JH153" s="26"/>
      <c r="JI153" s="26"/>
      <c r="JJ153" s="26"/>
      <c r="JK153" s="26"/>
      <c r="JL153" s="26"/>
      <c r="JM153" s="26"/>
      <c r="JN153" s="26"/>
      <c r="JO153" s="26"/>
      <c r="JP153" s="26"/>
      <c r="JQ153" s="26"/>
      <c r="JR153" s="26"/>
      <c r="JS153" s="26"/>
      <c r="JT153" s="26"/>
      <c r="JU153" s="26"/>
      <c r="JV153" s="26"/>
      <c r="JW153" s="26"/>
      <c r="JX153" s="26"/>
      <c r="JY153" s="26"/>
      <c r="JZ153" s="26"/>
      <c r="KA153" s="26"/>
      <c r="KB153" s="26"/>
      <c r="KC153" s="26"/>
      <c r="KD153" s="26"/>
      <c r="KE153" s="26"/>
      <c r="KF153" s="26"/>
      <c r="KG153" s="26"/>
      <c r="KH153" s="26"/>
      <c r="KI153" s="26"/>
      <c r="KJ153" s="26"/>
      <c r="KK153" s="26"/>
      <c r="KL153" s="26"/>
      <c r="KM153" s="26"/>
      <c r="KN153" s="26"/>
      <c r="KO153" s="26"/>
      <c r="KP153" s="26"/>
      <c r="KQ153" s="26"/>
      <c r="KR153" s="26"/>
      <c r="KS153" s="26"/>
      <c r="KT153" s="26"/>
      <c r="KU153" s="26"/>
      <c r="KV153" s="26"/>
      <c r="KW153" s="26"/>
      <c r="KX153" s="26"/>
      <c r="KY153" s="26"/>
      <c r="KZ153" s="26"/>
      <c r="LA153" s="26"/>
      <c r="LB153" s="26"/>
      <c r="LC153" s="26"/>
      <c r="LD153" s="26"/>
      <c r="LE153" s="26"/>
      <c r="LF153" s="26"/>
      <c r="LG153" s="26"/>
      <c r="LH153" s="26"/>
      <c r="LI153" s="26"/>
      <c r="LJ153" s="26"/>
      <c r="LK153" s="26"/>
      <c r="LL153" s="26"/>
      <c r="LM153" s="26"/>
      <c r="LN153" s="26"/>
      <c r="LO153" s="26"/>
      <c r="LP153" s="26"/>
      <c r="LQ153" s="26"/>
      <c r="LR153" s="26"/>
      <c r="LS153" s="26"/>
      <c r="LT153" s="26"/>
      <c r="LU153" s="26"/>
      <c r="LV153" s="26"/>
      <c r="LW153" s="26"/>
      <c r="LX153" s="26"/>
      <c r="LY153" s="26"/>
      <c r="LZ153" s="26"/>
      <c r="MA153" s="26"/>
      <c r="MB153" s="26"/>
      <c r="MC153" s="26"/>
      <c r="MD153" s="26"/>
      <c r="ME153" s="26"/>
      <c r="MF153" s="26"/>
      <c r="MG153" s="26"/>
      <c r="MH153" s="26"/>
      <c r="MI153" s="26"/>
      <c r="MJ153" s="26"/>
      <c r="MK153" s="26"/>
      <c r="ML153" s="26"/>
      <c r="MM153" s="26"/>
      <c r="MN153" s="26"/>
      <c r="MO153" s="26"/>
      <c r="MP153" s="26"/>
      <c r="MQ153" s="26"/>
      <c r="MR153" s="26"/>
      <c r="MS153" s="26"/>
      <c r="MT153" s="26"/>
      <c r="MU153" s="26"/>
      <c r="MV153" s="26"/>
      <c r="MW153" s="26"/>
      <c r="MX153" s="26"/>
      <c r="MY153" s="26"/>
      <c r="MZ153" s="26"/>
      <c r="NA153" s="26"/>
      <c r="NB153" s="26"/>
      <c r="NC153" s="26"/>
      <c r="ND153" s="26"/>
      <c r="NE153" s="26"/>
      <c r="NF153" s="26"/>
      <c r="NG153" s="26"/>
      <c r="NH153" s="26"/>
      <c r="NI153" s="26"/>
      <c r="NJ153" s="26"/>
      <c r="NK153" s="26"/>
      <c r="NL153" s="26"/>
      <c r="NM153" s="26"/>
      <c r="NN153" s="26"/>
      <c r="NO153" s="26"/>
      <c r="NP153" s="26"/>
      <c r="NQ153" s="26"/>
      <c r="NR153" s="26"/>
      <c r="NS153" s="26"/>
      <c r="NT153" s="26"/>
      <c r="NU153" s="26"/>
      <c r="NV153" s="26"/>
      <c r="NW153" s="26"/>
      <c r="NX153" s="26"/>
      <c r="NY153" s="26"/>
      <c r="NZ153" s="26"/>
      <c r="OA153" s="26"/>
      <c r="OB153" s="26"/>
      <c r="OC153" s="26"/>
      <c r="OD153" s="26"/>
      <c r="OE153" s="26"/>
      <c r="OF153" s="26"/>
      <c r="OG153" s="26"/>
      <c r="OH153" s="26"/>
      <c r="OI153" s="26"/>
      <c r="OJ153" s="26"/>
      <c r="OK153" s="26"/>
      <c r="OL153" s="26"/>
      <c r="OM153" s="26"/>
      <c r="ON153" s="26"/>
      <c r="OO153" s="26"/>
      <c r="OP153" s="26"/>
      <c r="OQ153" s="26"/>
      <c r="OR153" s="26"/>
      <c r="OS153" s="26"/>
      <c r="OT153" s="26"/>
      <c r="OU153" s="26"/>
      <c r="OV153" s="26"/>
      <c r="OW153" s="26"/>
      <c r="OX153" s="26"/>
      <c r="OY153" s="26"/>
      <c r="OZ153" s="26"/>
      <c r="PA153" s="26"/>
      <c r="PB153" s="26"/>
      <c r="PC153" s="26"/>
      <c r="PD153" s="26"/>
      <c r="PE153" s="26"/>
      <c r="PF153" s="26"/>
      <c r="PG153" s="26"/>
      <c r="PH153" s="26"/>
      <c r="PI153" s="26"/>
      <c r="PJ153" s="26"/>
      <c r="PK153" s="26"/>
      <c r="PL153" s="26"/>
      <c r="PM153" s="26"/>
      <c r="PN153" s="26"/>
      <c r="PO153" s="26"/>
      <c r="PP153" s="26"/>
      <c r="PQ153" s="26"/>
      <c r="PR153" s="26"/>
      <c r="PS153" s="26"/>
      <c r="PT153" s="26"/>
      <c r="PU153" s="26"/>
      <c r="PV153" s="26"/>
      <c r="PW153" s="26"/>
      <c r="PX153" s="26"/>
      <c r="PY153" s="26"/>
      <c r="PZ153" s="26"/>
      <c r="QA153" s="26"/>
      <c r="QB153" s="26"/>
      <c r="QC153" s="26"/>
      <c r="QD153" s="26"/>
      <c r="QE153" s="26"/>
      <c r="QF153" s="26"/>
      <c r="QG153" s="26"/>
      <c r="QH153" s="26"/>
      <c r="QI153" s="26"/>
      <c r="QJ153" s="26"/>
      <c r="QK153" s="26"/>
      <c r="QL153" s="26"/>
      <c r="QM153" s="26"/>
      <c r="QN153" s="26"/>
      <c r="QO153" s="26"/>
      <c r="QP153" s="26"/>
      <c r="QQ153" s="26"/>
      <c r="QR153" s="26"/>
      <c r="QS153" s="26"/>
      <c r="QT153" s="26"/>
      <c r="QU153" s="26"/>
      <c r="QV153" s="26"/>
      <c r="QW153" s="26"/>
      <c r="QX153" s="26"/>
      <c r="QY153" s="26"/>
      <c r="QZ153" s="26"/>
      <c r="RA153" s="26"/>
      <c r="RB153" s="26"/>
      <c r="RC153" s="26"/>
      <c r="RD153" s="26"/>
      <c r="RE153" s="26"/>
      <c r="RF153" s="26"/>
      <c r="RG153" s="26"/>
      <c r="RH153" s="26"/>
      <c r="RI153" s="26"/>
      <c r="RJ153" s="26"/>
      <c r="RK153" s="26"/>
      <c r="RL153" s="26"/>
      <c r="RM153" s="26"/>
      <c r="RN153" s="26"/>
      <c r="RO153" s="26"/>
      <c r="RP153" s="26"/>
      <c r="RQ153" s="26"/>
      <c r="RR153" s="26"/>
      <c r="RS153" s="26"/>
      <c r="RT153" s="26"/>
      <c r="RU153" s="26"/>
      <c r="RV153" s="26"/>
      <c r="RW153" s="26"/>
      <c r="RX153" s="26"/>
      <c r="RY153" s="26"/>
      <c r="RZ153" s="26"/>
      <c r="SA153" s="26"/>
      <c r="SB153" s="26"/>
      <c r="SC153" s="26"/>
      <c r="SD153" s="26"/>
      <c r="SE153" s="26"/>
      <c r="SF153" s="26"/>
      <c r="SG153" s="26"/>
      <c r="SH153" s="26"/>
      <c r="SI153" s="26"/>
      <c r="SJ153" s="26"/>
      <c r="SK153" s="26"/>
      <c r="SL153" s="26"/>
      <c r="SM153" s="26"/>
      <c r="SN153" s="26"/>
      <c r="SO153" s="26"/>
      <c r="SP153" s="26"/>
      <c r="SQ153" s="26"/>
      <c r="SR153" s="26"/>
      <c r="SS153" s="26"/>
      <c r="ST153" s="26"/>
      <c r="SU153" s="26"/>
      <c r="SV153" s="26"/>
      <c r="SW153" s="26"/>
      <c r="SX153" s="26"/>
      <c r="SY153" s="26"/>
      <c r="SZ153" s="26"/>
      <c r="TA153" s="26"/>
      <c r="TB153" s="26"/>
      <c r="TC153" s="26"/>
      <c r="TD153" s="26"/>
      <c r="TE153" s="26"/>
      <c r="TF153" s="26"/>
      <c r="TG153" s="26"/>
      <c r="TH153" s="26"/>
      <c r="TI153" s="26"/>
    </row>
    <row r="154" spans="1:529" s="134" customFormat="1" ht="47.25" customHeight="1" x14ac:dyDescent="0.25">
      <c r="A154" s="43" t="s">
        <v>452</v>
      </c>
      <c r="B154" s="44">
        <f>'дод 4'!A119</f>
        <v>7462</v>
      </c>
      <c r="C154" s="44">
        <f>'дод 4'!B119</f>
        <v>456</v>
      </c>
      <c r="D154" s="78" t="str">
        <f>'дод 4'!C119</f>
        <v>Утримання та розвиток автомобільних доріг та дорожньої інфраструктури за рахунок субвенції з державного бюджету</v>
      </c>
      <c r="E154" s="69">
        <f t="shared" ref="E154:E155" si="75">F154+I154</f>
        <v>0</v>
      </c>
      <c r="F154" s="69"/>
      <c r="G154" s="69"/>
      <c r="H154" s="69"/>
      <c r="I154" s="69"/>
      <c r="J154" s="69">
        <f t="shared" ref="J154:J155" si="76">L154+O154</f>
        <v>80000000</v>
      </c>
      <c r="K154" s="69"/>
      <c r="L154" s="69">
        <v>80000000</v>
      </c>
      <c r="M154" s="69"/>
      <c r="N154" s="69"/>
      <c r="O154" s="69"/>
      <c r="P154" s="69">
        <f t="shared" ref="P154:P155" si="77">E154+J154</f>
        <v>80000000</v>
      </c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3"/>
      <c r="EN154" s="133"/>
      <c r="EO154" s="133"/>
      <c r="EP154" s="133"/>
      <c r="EQ154" s="133"/>
      <c r="ER154" s="133"/>
      <c r="ES154" s="133"/>
      <c r="ET154" s="133"/>
      <c r="EU154" s="133"/>
      <c r="EV154" s="133"/>
      <c r="EW154" s="133"/>
      <c r="EX154" s="133"/>
      <c r="EY154" s="133"/>
      <c r="EZ154" s="133"/>
      <c r="FA154" s="133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/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E154" s="133"/>
      <c r="GF154" s="133"/>
      <c r="GG154" s="133"/>
      <c r="GH154" s="133"/>
      <c r="GI154" s="133"/>
      <c r="GJ154" s="133"/>
      <c r="GK154" s="133"/>
      <c r="GL154" s="133"/>
      <c r="GM154" s="133"/>
      <c r="GN154" s="133"/>
      <c r="GO154" s="133"/>
      <c r="GP154" s="133"/>
      <c r="GQ154" s="133"/>
      <c r="GR154" s="133"/>
      <c r="GS154" s="133"/>
      <c r="GT154" s="133"/>
      <c r="GU154" s="133"/>
      <c r="GV154" s="133"/>
      <c r="GW154" s="133"/>
      <c r="GX154" s="133"/>
      <c r="GY154" s="133"/>
      <c r="GZ154" s="133"/>
      <c r="HA154" s="133"/>
      <c r="HB154" s="133"/>
      <c r="HC154" s="133"/>
      <c r="HD154" s="133"/>
      <c r="HE154" s="133"/>
      <c r="HF154" s="133"/>
      <c r="HG154" s="133"/>
      <c r="HH154" s="133"/>
      <c r="HI154" s="133"/>
      <c r="HJ154" s="133"/>
      <c r="HK154" s="133"/>
      <c r="HL154" s="133"/>
      <c r="HM154" s="133"/>
      <c r="HN154" s="133"/>
      <c r="HO154" s="133"/>
      <c r="HP154" s="133"/>
      <c r="HQ154" s="133"/>
      <c r="HR154" s="133"/>
      <c r="HS154" s="133"/>
      <c r="HT154" s="133"/>
      <c r="HU154" s="133"/>
      <c r="HV154" s="133"/>
      <c r="HW154" s="133"/>
      <c r="HX154" s="133"/>
      <c r="HY154" s="133"/>
      <c r="HZ154" s="133"/>
      <c r="IA154" s="133"/>
      <c r="IB154" s="133"/>
      <c r="IC154" s="133"/>
      <c r="ID154" s="133"/>
      <c r="IE154" s="133"/>
      <c r="IF154" s="133"/>
      <c r="IG154" s="133"/>
      <c r="IH154" s="133"/>
      <c r="II154" s="133"/>
      <c r="IJ154" s="133"/>
      <c r="IK154" s="133"/>
      <c r="IL154" s="133"/>
      <c r="IM154" s="133"/>
      <c r="IN154" s="133"/>
      <c r="IO154" s="133"/>
      <c r="IP154" s="133"/>
      <c r="IQ154" s="133"/>
      <c r="IR154" s="133"/>
      <c r="IS154" s="133"/>
      <c r="IT154" s="133"/>
      <c r="IU154" s="133"/>
      <c r="IV154" s="133"/>
      <c r="IW154" s="133"/>
      <c r="IX154" s="133"/>
      <c r="IY154" s="133"/>
      <c r="IZ154" s="133"/>
      <c r="JA154" s="133"/>
      <c r="JB154" s="133"/>
      <c r="JC154" s="133"/>
      <c r="JD154" s="133"/>
      <c r="JE154" s="133"/>
      <c r="JF154" s="133"/>
      <c r="JG154" s="133"/>
      <c r="JH154" s="133"/>
      <c r="JI154" s="133"/>
      <c r="JJ154" s="133"/>
      <c r="JK154" s="133"/>
      <c r="JL154" s="133"/>
      <c r="JM154" s="133"/>
      <c r="JN154" s="133"/>
      <c r="JO154" s="133"/>
      <c r="JP154" s="133"/>
      <c r="JQ154" s="133"/>
      <c r="JR154" s="133"/>
      <c r="JS154" s="133"/>
      <c r="JT154" s="133"/>
      <c r="JU154" s="133"/>
      <c r="JV154" s="133"/>
      <c r="JW154" s="133"/>
      <c r="JX154" s="133"/>
      <c r="JY154" s="133"/>
      <c r="JZ154" s="133"/>
      <c r="KA154" s="133"/>
      <c r="KB154" s="133"/>
      <c r="KC154" s="133"/>
      <c r="KD154" s="133"/>
      <c r="KE154" s="133"/>
      <c r="KF154" s="133"/>
      <c r="KG154" s="133"/>
      <c r="KH154" s="133"/>
      <c r="KI154" s="133"/>
      <c r="KJ154" s="133"/>
      <c r="KK154" s="133"/>
      <c r="KL154" s="133"/>
      <c r="KM154" s="133"/>
      <c r="KN154" s="133"/>
      <c r="KO154" s="133"/>
      <c r="KP154" s="133"/>
      <c r="KQ154" s="133"/>
      <c r="KR154" s="133"/>
      <c r="KS154" s="133"/>
      <c r="KT154" s="133"/>
      <c r="KU154" s="133"/>
      <c r="KV154" s="133"/>
      <c r="KW154" s="133"/>
      <c r="KX154" s="133"/>
      <c r="KY154" s="133"/>
      <c r="KZ154" s="133"/>
      <c r="LA154" s="133"/>
      <c r="LB154" s="133"/>
      <c r="LC154" s="133"/>
      <c r="LD154" s="133"/>
      <c r="LE154" s="133"/>
      <c r="LF154" s="133"/>
      <c r="LG154" s="133"/>
      <c r="LH154" s="133"/>
      <c r="LI154" s="133"/>
      <c r="LJ154" s="133"/>
      <c r="LK154" s="133"/>
      <c r="LL154" s="133"/>
      <c r="LM154" s="133"/>
      <c r="LN154" s="133"/>
      <c r="LO154" s="133"/>
      <c r="LP154" s="133"/>
      <c r="LQ154" s="133"/>
      <c r="LR154" s="133"/>
      <c r="LS154" s="133"/>
      <c r="LT154" s="133"/>
      <c r="LU154" s="133"/>
      <c r="LV154" s="133"/>
      <c r="LW154" s="133"/>
      <c r="LX154" s="133"/>
      <c r="LY154" s="133"/>
      <c r="LZ154" s="133"/>
      <c r="MA154" s="133"/>
      <c r="MB154" s="133"/>
      <c r="MC154" s="133"/>
      <c r="MD154" s="133"/>
      <c r="ME154" s="133"/>
      <c r="MF154" s="133"/>
      <c r="MG154" s="133"/>
      <c r="MH154" s="133"/>
      <c r="MI154" s="133"/>
      <c r="MJ154" s="133"/>
      <c r="MK154" s="133"/>
      <c r="ML154" s="133"/>
      <c r="MM154" s="133"/>
      <c r="MN154" s="133"/>
      <c r="MO154" s="133"/>
      <c r="MP154" s="133"/>
      <c r="MQ154" s="133"/>
      <c r="MR154" s="133"/>
      <c r="MS154" s="133"/>
      <c r="MT154" s="133"/>
      <c r="MU154" s="133"/>
      <c r="MV154" s="133"/>
      <c r="MW154" s="133"/>
      <c r="MX154" s="133"/>
      <c r="MY154" s="133"/>
      <c r="MZ154" s="133"/>
      <c r="NA154" s="133"/>
      <c r="NB154" s="133"/>
      <c r="NC154" s="133"/>
      <c r="ND154" s="133"/>
      <c r="NE154" s="133"/>
      <c r="NF154" s="133"/>
      <c r="NG154" s="133"/>
      <c r="NH154" s="133"/>
      <c r="NI154" s="133"/>
      <c r="NJ154" s="133"/>
      <c r="NK154" s="133"/>
      <c r="NL154" s="133"/>
      <c r="NM154" s="133"/>
      <c r="NN154" s="133"/>
      <c r="NO154" s="133"/>
      <c r="NP154" s="133"/>
      <c r="NQ154" s="133"/>
      <c r="NR154" s="133"/>
      <c r="NS154" s="133"/>
      <c r="NT154" s="133"/>
      <c r="NU154" s="133"/>
      <c r="NV154" s="133"/>
      <c r="NW154" s="133"/>
      <c r="NX154" s="133"/>
      <c r="NY154" s="133"/>
      <c r="NZ154" s="133"/>
      <c r="OA154" s="133"/>
      <c r="OB154" s="133"/>
      <c r="OC154" s="133"/>
      <c r="OD154" s="133"/>
      <c r="OE154" s="133"/>
      <c r="OF154" s="133"/>
      <c r="OG154" s="133"/>
      <c r="OH154" s="133"/>
      <c r="OI154" s="133"/>
      <c r="OJ154" s="133"/>
      <c r="OK154" s="133"/>
      <c r="OL154" s="133"/>
      <c r="OM154" s="133"/>
      <c r="ON154" s="133"/>
      <c r="OO154" s="133"/>
      <c r="OP154" s="133"/>
      <c r="OQ154" s="133"/>
      <c r="OR154" s="133"/>
      <c r="OS154" s="133"/>
      <c r="OT154" s="133"/>
      <c r="OU154" s="133"/>
      <c r="OV154" s="133"/>
      <c r="OW154" s="133"/>
      <c r="OX154" s="133"/>
      <c r="OY154" s="133"/>
      <c r="OZ154" s="133"/>
      <c r="PA154" s="133"/>
      <c r="PB154" s="133"/>
      <c r="PC154" s="133"/>
      <c r="PD154" s="133"/>
      <c r="PE154" s="133"/>
      <c r="PF154" s="133"/>
      <c r="PG154" s="133"/>
      <c r="PH154" s="133"/>
      <c r="PI154" s="133"/>
      <c r="PJ154" s="133"/>
      <c r="PK154" s="133"/>
      <c r="PL154" s="133"/>
      <c r="PM154" s="133"/>
      <c r="PN154" s="133"/>
      <c r="PO154" s="133"/>
      <c r="PP154" s="133"/>
      <c r="PQ154" s="133"/>
      <c r="PR154" s="133"/>
      <c r="PS154" s="133"/>
      <c r="PT154" s="133"/>
      <c r="PU154" s="133"/>
      <c r="PV154" s="133"/>
      <c r="PW154" s="133"/>
      <c r="PX154" s="133"/>
      <c r="PY154" s="133"/>
      <c r="PZ154" s="133"/>
      <c r="QA154" s="133"/>
      <c r="QB154" s="133"/>
      <c r="QC154" s="133"/>
      <c r="QD154" s="133"/>
      <c r="QE154" s="133"/>
      <c r="QF154" s="133"/>
      <c r="QG154" s="133"/>
      <c r="QH154" s="133"/>
      <c r="QI154" s="133"/>
      <c r="QJ154" s="133"/>
      <c r="QK154" s="133"/>
      <c r="QL154" s="133"/>
      <c r="QM154" s="133"/>
      <c r="QN154" s="133"/>
      <c r="QO154" s="133"/>
      <c r="QP154" s="133"/>
      <c r="QQ154" s="133"/>
      <c r="QR154" s="133"/>
      <c r="QS154" s="133"/>
      <c r="QT154" s="133"/>
      <c r="QU154" s="133"/>
      <c r="QV154" s="133"/>
      <c r="QW154" s="133"/>
      <c r="QX154" s="133"/>
      <c r="QY154" s="133"/>
      <c r="QZ154" s="133"/>
      <c r="RA154" s="133"/>
      <c r="RB154" s="133"/>
      <c r="RC154" s="133"/>
      <c r="RD154" s="133"/>
      <c r="RE154" s="133"/>
      <c r="RF154" s="133"/>
      <c r="RG154" s="133"/>
      <c r="RH154" s="133"/>
      <c r="RI154" s="133"/>
      <c r="RJ154" s="133"/>
      <c r="RK154" s="133"/>
      <c r="RL154" s="133"/>
      <c r="RM154" s="133"/>
      <c r="RN154" s="133"/>
      <c r="RO154" s="133"/>
      <c r="RP154" s="133"/>
      <c r="RQ154" s="133"/>
      <c r="RR154" s="133"/>
      <c r="RS154" s="133"/>
      <c r="RT154" s="133"/>
      <c r="RU154" s="133"/>
      <c r="RV154" s="133"/>
      <c r="RW154" s="133"/>
      <c r="RX154" s="133"/>
      <c r="RY154" s="133"/>
      <c r="RZ154" s="133"/>
      <c r="SA154" s="133"/>
      <c r="SB154" s="133"/>
      <c r="SC154" s="133"/>
      <c r="SD154" s="133"/>
      <c r="SE154" s="133"/>
      <c r="SF154" s="133"/>
      <c r="SG154" s="133"/>
      <c r="SH154" s="133"/>
      <c r="SI154" s="133"/>
      <c r="SJ154" s="133"/>
      <c r="SK154" s="133"/>
      <c r="SL154" s="133"/>
      <c r="SM154" s="133"/>
      <c r="SN154" s="133"/>
      <c r="SO154" s="133"/>
      <c r="SP154" s="133"/>
      <c r="SQ154" s="133"/>
      <c r="SR154" s="133"/>
      <c r="SS154" s="133"/>
      <c r="ST154" s="133"/>
      <c r="SU154" s="133"/>
      <c r="SV154" s="133"/>
      <c r="SW154" s="133"/>
      <c r="SX154" s="133"/>
      <c r="SY154" s="133"/>
      <c r="SZ154" s="133"/>
      <c r="TA154" s="133"/>
      <c r="TB154" s="133"/>
      <c r="TC154" s="133"/>
      <c r="TD154" s="133"/>
      <c r="TE154" s="133"/>
      <c r="TF154" s="133"/>
      <c r="TG154" s="133"/>
      <c r="TH154" s="133"/>
      <c r="TI154" s="133"/>
    </row>
    <row r="155" spans="1:529" s="134" customFormat="1" x14ac:dyDescent="0.25">
      <c r="A155" s="43"/>
      <c r="B155" s="44"/>
      <c r="C155" s="44"/>
      <c r="D155" s="22" t="s">
        <v>308</v>
      </c>
      <c r="E155" s="69">
        <f t="shared" si="75"/>
        <v>0</v>
      </c>
      <c r="F155" s="69"/>
      <c r="G155" s="69"/>
      <c r="H155" s="69"/>
      <c r="I155" s="69"/>
      <c r="J155" s="69">
        <f t="shared" si="76"/>
        <v>80000000</v>
      </c>
      <c r="K155" s="69"/>
      <c r="L155" s="69">
        <v>80000000</v>
      </c>
      <c r="M155" s="69"/>
      <c r="N155" s="69"/>
      <c r="O155" s="69"/>
      <c r="P155" s="69">
        <f t="shared" si="77"/>
        <v>80000000</v>
      </c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3"/>
      <c r="DI155" s="133"/>
      <c r="DJ155" s="133"/>
      <c r="DK155" s="133"/>
      <c r="DL155" s="133"/>
      <c r="DM155" s="133"/>
      <c r="DN155" s="133"/>
      <c r="DO155" s="133"/>
      <c r="DP155" s="133"/>
      <c r="DQ155" s="133"/>
      <c r="DR155" s="133"/>
      <c r="DS155" s="133"/>
      <c r="DT155" s="133"/>
      <c r="DU155" s="133"/>
      <c r="DV155" s="133"/>
      <c r="DW155" s="133"/>
      <c r="DX155" s="133"/>
      <c r="DY155" s="133"/>
      <c r="DZ155" s="133"/>
      <c r="EA155" s="133"/>
      <c r="EB155" s="133"/>
      <c r="EC155" s="133"/>
      <c r="ED155" s="133"/>
      <c r="EE155" s="133"/>
      <c r="EF155" s="133"/>
      <c r="EG155" s="133"/>
      <c r="EH155" s="133"/>
      <c r="EI155" s="133"/>
      <c r="EJ155" s="133"/>
      <c r="EK155" s="133"/>
      <c r="EL155" s="133"/>
      <c r="EM155" s="133"/>
      <c r="EN155" s="133"/>
      <c r="EO155" s="133"/>
      <c r="EP155" s="133"/>
      <c r="EQ155" s="133"/>
      <c r="ER155" s="133"/>
      <c r="ES155" s="133"/>
      <c r="ET155" s="133"/>
      <c r="EU155" s="133"/>
      <c r="EV155" s="133"/>
      <c r="EW155" s="133"/>
      <c r="EX155" s="133"/>
      <c r="EY155" s="133"/>
      <c r="EZ155" s="133"/>
      <c r="FA155" s="133"/>
      <c r="FB155" s="133"/>
      <c r="FC155" s="133"/>
      <c r="FD155" s="133"/>
      <c r="FE155" s="133"/>
      <c r="FF155" s="133"/>
      <c r="FG155" s="133"/>
      <c r="FH155" s="133"/>
      <c r="FI155" s="133"/>
      <c r="FJ155" s="133"/>
      <c r="FK155" s="133"/>
      <c r="FL155" s="133"/>
      <c r="FM155" s="133"/>
      <c r="FN155" s="133"/>
      <c r="FO155" s="133"/>
      <c r="FP155" s="133"/>
      <c r="FQ155" s="133"/>
      <c r="FR155" s="133"/>
      <c r="FS155" s="133"/>
      <c r="FT155" s="133"/>
      <c r="FU155" s="133"/>
      <c r="FV155" s="133"/>
      <c r="FW155" s="133"/>
      <c r="FX155" s="133"/>
      <c r="FY155" s="133"/>
      <c r="FZ155" s="133"/>
      <c r="GA155" s="133"/>
      <c r="GB155" s="133"/>
      <c r="GC155" s="133"/>
      <c r="GD155" s="133"/>
      <c r="GE155" s="133"/>
      <c r="GF155" s="133"/>
      <c r="GG155" s="133"/>
      <c r="GH155" s="133"/>
      <c r="GI155" s="133"/>
      <c r="GJ155" s="133"/>
      <c r="GK155" s="133"/>
      <c r="GL155" s="133"/>
      <c r="GM155" s="133"/>
      <c r="GN155" s="133"/>
      <c r="GO155" s="133"/>
      <c r="GP155" s="133"/>
      <c r="GQ155" s="133"/>
      <c r="GR155" s="133"/>
      <c r="GS155" s="133"/>
      <c r="GT155" s="133"/>
      <c r="GU155" s="133"/>
      <c r="GV155" s="133"/>
      <c r="GW155" s="133"/>
      <c r="GX155" s="133"/>
      <c r="GY155" s="133"/>
      <c r="GZ155" s="133"/>
      <c r="HA155" s="133"/>
      <c r="HB155" s="133"/>
      <c r="HC155" s="133"/>
      <c r="HD155" s="133"/>
      <c r="HE155" s="133"/>
      <c r="HF155" s="133"/>
      <c r="HG155" s="133"/>
      <c r="HH155" s="133"/>
      <c r="HI155" s="133"/>
      <c r="HJ155" s="133"/>
      <c r="HK155" s="133"/>
      <c r="HL155" s="133"/>
      <c r="HM155" s="133"/>
      <c r="HN155" s="133"/>
      <c r="HO155" s="133"/>
      <c r="HP155" s="133"/>
      <c r="HQ155" s="133"/>
      <c r="HR155" s="133"/>
      <c r="HS155" s="133"/>
      <c r="HT155" s="133"/>
      <c r="HU155" s="133"/>
      <c r="HV155" s="133"/>
      <c r="HW155" s="133"/>
      <c r="HX155" s="133"/>
      <c r="HY155" s="133"/>
      <c r="HZ155" s="133"/>
      <c r="IA155" s="133"/>
      <c r="IB155" s="133"/>
      <c r="IC155" s="133"/>
      <c r="ID155" s="133"/>
      <c r="IE155" s="133"/>
      <c r="IF155" s="133"/>
      <c r="IG155" s="133"/>
      <c r="IH155" s="133"/>
      <c r="II155" s="133"/>
      <c r="IJ155" s="133"/>
      <c r="IK155" s="133"/>
      <c r="IL155" s="133"/>
      <c r="IM155" s="133"/>
      <c r="IN155" s="133"/>
      <c r="IO155" s="133"/>
      <c r="IP155" s="133"/>
      <c r="IQ155" s="133"/>
      <c r="IR155" s="133"/>
      <c r="IS155" s="133"/>
      <c r="IT155" s="133"/>
      <c r="IU155" s="133"/>
      <c r="IV155" s="133"/>
      <c r="IW155" s="133"/>
      <c r="IX155" s="133"/>
      <c r="IY155" s="133"/>
      <c r="IZ155" s="133"/>
      <c r="JA155" s="133"/>
      <c r="JB155" s="133"/>
      <c r="JC155" s="133"/>
      <c r="JD155" s="133"/>
      <c r="JE155" s="133"/>
      <c r="JF155" s="133"/>
      <c r="JG155" s="133"/>
      <c r="JH155" s="133"/>
      <c r="JI155" s="133"/>
      <c r="JJ155" s="133"/>
      <c r="JK155" s="133"/>
      <c r="JL155" s="133"/>
      <c r="JM155" s="133"/>
      <c r="JN155" s="133"/>
      <c r="JO155" s="133"/>
      <c r="JP155" s="133"/>
      <c r="JQ155" s="133"/>
      <c r="JR155" s="133"/>
      <c r="JS155" s="133"/>
      <c r="JT155" s="133"/>
      <c r="JU155" s="133"/>
      <c r="JV155" s="133"/>
      <c r="JW155" s="133"/>
      <c r="JX155" s="133"/>
      <c r="JY155" s="133"/>
      <c r="JZ155" s="133"/>
      <c r="KA155" s="133"/>
      <c r="KB155" s="133"/>
      <c r="KC155" s="133"/>
      <c r="KD155" s="133"/>
      <c r="KE155" s="133"/>
      <c r="KF155" s="133"/>
      <c r="KG155" s="133"/>
      <c r="KH155" s="133"/>
      <c r="KI155" s="133"/>
      <c r="KJ155" s="133"/>
      <c r="KK155" s="133"/>
      <c r="KL155" s="133"/>
      <c r="KM155" s="133"/>
      <c r="KN155" s="133"/>
      <c r="KO155" s="133"/>
      <c r="KP155" s="133"/>
      <c r="KQ155" s="133"/>
      <c r="KR155" s="133"/>
      <c r="KS155" s="133"/>
      <c r="KT155" s="133"/>
      <c r="KU155" s="133"/>
      <c r="KV155" s="133"/>
      <c r="KW155" s="133"/>
      <c r="KX155" s="133"/>
      <c r="KY155" s="133"/>
      <c r="KZ155" s="133"/>
      <c r="LA155" s="133"/>
      <c r="LB155" s="133"/>
      <c r="LC155" s="133"/>
      <c r="LD155" s="133"/>
      <c r="LE155" s="133"/>
      <c r="LF155" s="133"/>
      <c r="LG155" s="133"/>
      <c r="LH155" s="133"/>
      <c r="LI155" s="133"/>
      <c r="LJ155" s="133"/>
      <c r="LK155" s="133"/>
      <c r="LL155" s="133"/>
      <c r="LM155" s="133"/>
      <c r="LN155" s="133"/>
      <c r="LO155" s="133"/>
      <c r="LP155" s="133"/>
      <c r="LQ155" s="133"/>
      <c r="LR155" s="133"/>
      <c r="LS155" s="133"/>
      <c r="LT155" s="133"/>
      <c r="LU155" s="133"/>
      <c r="LV155" s="133"/>
      <c r="LW155" s="133"/>
      <c r="LX155" s="133"/>
      <c r="LY155" s="133"/>
      <c r="LZ155" s="133"/>
      <c r="MA155" s="133"/>
      <c r="MB155" s="133"/>
      <c r="MC155" s="133"/>
      <c r="MD155" s="133"/>
      <c r="ME155" s="133"/>
      <c r="MF155" s="133"/>
      <c r="MG155" s="133"/>
      <c r="MH155" s="133"/>
      <c r="MI155" s="133"/>
      <c r="MJ155" s="133"/>
      <c r="MK155" s="133"/>
      <c r="ML155" s="133"/>
      <c r="MM155" s="133"/>
      <c r="MN155" s="133"/>
      <c r="MO155" s="133"/>
      <c r="MP155" s="133"/>
      <c r="MQ155" s="133"/>
      <c r="MR155" s="133"/>
      <c r="MS155" s="133"/>
      <c r="MT155" s="133"/>
      <c r="MU155" s="133"/>
      <c r="MV155" s="133"/>
      <c r="MW155" s="133"/>
      <c r="MX155" s="133"/>
      <c r="MY155" s="133"/>
      <c r="MZ155" s="133"/>
      <c r="NA155" s="133"/>
      <c r="NB155" s="133"/>
      <c r="NC155" s="133"/>
      <c r="ND155" s="133"/>
      <c r="NE155" s="133"/>
      <c r="NF155" s="133"/>
      <c r="NG155" s="133"/>
      <c r="NH155" s="133"/>
      <c r="NI155" s="133"/>
      <c r="NJ155" s="133"/>
      <c r="NK155" s="133"/>
      <c r="NL155" s="133"/>
      <c r="NM155" s="133"/>
      <c r="NN155" s="133"/>
      <c r="NO155" s="133"/>
      <c r="NP155" s="133"/>
      <c r="NQ155" s="133"/>
      <c r="NR155" s="133"/>
      <c r="NS155" s="133"/>
      <c r="NT155" s="133"/>
      <c r="NU155" s="133"/>
      <c r="NV155" s="133"/>
      <c r="NW155" s="133"/>
      <c r="NX155" s="133"/>
      <c r="NY155" s="133"/>
      <c r="NZ155" s="133"/>
      <c r="OA155" s="133"/>
      <c r="OB155" s="133"/>
      <c r="OC155" s="133"/>
      <c r="OD155" s="133"/>
      <c r="OE155" s="133"/>
      <c r="OF155" s="133"/>
      <c r="OG155" s="133"/>
      <c r="OH155" s="133"/>
      <c r="OI155" s="133"/>
      <c r="OJ155" s="133"/>
      <c r="OK155" s="133"/>
      <c r="OL155" s="133"/>
      <c r="OM155" s="133"/>
      <c r="ON155" s="133"/>
      <c r="OO155" s="133"/>
      <c r="OP155" s="133"/>
      <c r="OQ155" s="133"/>
      <c r="OR155" s="133"/>
      <c r="OS155" s="133"/>
      <c r="OT155" s="133"/>
      <c r="OU155" s="133"/>
      <c r="OV155" s="133"/>
      <c r="OW155" s="133"/>
      <c r="OX155" s="133"/>
      <c r="OY155" s="133"/>
      <c r="OZ155" s="133"/>
      <c r="PA155" s="133"/>
      <c r="PB155" s="133"/>
      <c r="PC155" s="133"/>
      <c r="PD155" s="133"/>
      <c r="PE155" s="133"/>
      <c r="PF155" s="133"/>
      <c r="PG155" s="133"/>
      <c r="PH155" s="133"/>
      <c r="PI155" s="133"/>
      <c r="PJ155" s="133"/>
      <c r="PK155" s="133"/>
      <c r="PL155" s="133"/>
      <c r="PM155" s="133"/>
      <c r="PN155" s="133"/>
      <c r="PO155" s="133"/>
      <c r="PP155" s="133"/>
      <c r="PQ155" s="133"/>
      <c r="PR155" s="133"/>
      <c r="PS155" s="133"/>
      <c r="PT155" s="133"/>
      <c r="PU155" s="133"/>
      <c r="PV155" s="133"/>
      <c r="PW155" s="133"/>
      <c r="PX155" s="133"/>
      <c r="PY155" s="133"/>
      <c r="PZ155" s="133"/>
      <c r="QA155" s="133"/>
      <c r="QB155" s="133"/>
      <c r="QC155" s="133"/>
      <c r="QD155" s="133"/>
      <c r="QE155" s="133"/>
      <c r="QF155" s="133"/>
      <c r="QG155" s="133"/>
      <c r="QH155" s="133"/>
      <c r="QI155" s="133"/>
      <c r="QJ155" s="133"/>
      <c r="QK155" s="133"/>
      <c r="QL155" s="133"/>
      <c r="QM155" s="133"/>
      <c r="QN155" s="133"/>
      <c r="QO155" s="133"/>
      <c r="QP155" s="133"/>
      <c r="QQ155" s="133"/>
      <c r="QR155" s="133"/>
      <c r="QS155" s="133"/>
      <c r="QT155" s="133"/>
      <c r="QU155" s="133"/>
      <c r="QV155" s="133"/>
      <c r="QW155" s="133"/>
      <c r="QX155" s="133"/>
      <c r="QY155" s="133"/>
      <c r="QZ155" s="133"/>
      <c r="RA155" s="133"/>
      <c r="RB155" s="133"/>
      <c r="RC155" s="133"/>
      <c r="RD155" s="133"/>
      <c r="RE155" s="133"/>
      <c r="RF155" s="133"/>
      <c r="RG155" s="133"/>
      <c r="RH155" s="133"/>
      <c r="RI155" s="133"/>
      <c r="RJ155" s="133"/>
      <c r="RK155" s="133"/>
      <c r="RL155" s="133"/>
      <c r="RM155" s="133"/>
      <c r="RN155" s="133"/>
      <c r="RO155" s="133"/>
      <c r="RP155" s="133"/>
      <c r="RQ155" s="133"/>
      <c r="RR155" s="133"/>
      <c r="RS155" s="133"/>
      <c r="RT155" s="133"/>
      <c r="RU155" s="133"/>
      <c r="RV155" s="133"/>
      <c r="RW155" s="133"/>
      <c r="RX155" s="133"/>
      <c r="RY155" s="133"/>
      <c r="RZ155" s="133"/>
      <c r="SA155" s="133"/>
      <c r="SB155" s="133"/>
      <c r="SC155" s="133"/>
      <c r="SD155" s="133"/>
      <c r="SE155" s="133"/>
      <c r="SF155" s="133"/>
      <c r="SG155" s="133"/>
      <c r="SH155" s="133"/>
      <c r="SI155" s="133"/>
      <c r="SJ155" s="133"/>
      <c r="SK155" s="133"/>
      <c r="SL155" s="133"/>
      <c r="SM155" s="133"/>
      <c r="SN155" s="133"/>
      <c r="SO155" s="133"/>
      <c r="SP155" s="133"/>
      <c r="SQ155" s="133"/>
      <c r="SR155" s="133"/>
      <c r="SS155" s="133"/>
      <c r="ST155" s="133"/>
      <c r="SU155" s="133"/>
      <c r="SV155" s="133"/>
      <c r="SW155" s="133"/>
      <c r="SX155" s="133"/>
      <c r="SY155" s="133"/>
      <c r="SZ155" s="133"/>
      <c r="TA155" s="133"/>
      <c r="TB155" s="133"/>
      <c r="TC155" s="133"/>
      <c r="TD155" s="133"/>
      <c r="TE155" s="133"/>
      <c r="TF155" s="133"/>
      <c r="TG155" s="133"/>
      <c r="TH155" s="133"/>
      <c r="TI155" s="133"/>
    </row>
    <row r="156" spans="1:529" s="23" customFormat="1" ht="20.25" customHeight="1" x14ac:dyDescent="0.25">
      <c r="A156" s="43" t="s">
        <v>239</v>
      </c>
      <c r="B156" s="44" t="str">
        <f>'дод 4'!A125</f>
        <v>7640</v>
      </c>
      <c r="C156" s="44" t="str">
        <f>'дод 4'!B125</f>
        <v>0470</v>
      </c>
      <c r="D156" s="24" t="str">
        <f>'дод 4'!C125</f>
        <v>Заходи з енергозбереження</v>
      </c>
      <c r="E156" s="69">
        <f t="shared" si="69"/>
        <v>1500000</v>
      </c>
      <c r="F156" s="69">
        <f>750000-250000</f>
        <v>500000</v>
      </c>
      <c r="G156" s="69"/>
      <c r="H156" s="69"/>
      <c r="I156" s="69">
        <f>750000+250000</f>
        <v>1000000</v>
      </c>
      <c r="J156" s="69">
        <f t="shared" si="71"/>
        <v>0</v>
      </c>
      <c r="K156" s="69"/>
      <c r="L156" s="69"/>
      <c r="M156" s="69"/>
      <c r="N156" s="69"/>
      <c r="O156" s="69"/>
      <c r="P156" s="69">
        <f t="shared" si="70"/>
        <v>1500000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  <c r="LB156" s="26"/>
      <c r="LC156" s="26"/>
      <c r="LD156" s="26"/>
      <c r="LE156" s="26"/>
      <c r="LF156" s="26"/>
      <c r="LG156" s="26"/>
      <c r="LH156" s="26"/>
      <c r="LI156" s="26"/>
      <c r="LJ156" s="26"/>
      <c r="LK156" s="26"/>
      <c r="LL156" s="26"/>
      <c r="LM156" s="26"/>
      <c r="LN156" s="26"/>
      <c r="LO156" s="26"/>
      <c r="LP156" s="26"/>
      <c r="LQ156" s="26"/>
      <c r="LR156" s="26"/>
      <c r="LS156" s="26"/>
      <c r="LT156" s="26"/>
      <c r="LU156" s="26"/>
      <c r="LV156" s="26"/>
      <c r="LW156" s="26"/>
      <c r="LX156" s="26"/>
      <c r="LY156" s="26"/>
      <c r="LZ156" s="26"/>
      <c r="MA156" s="26"/>
      <c r="MB156" s="26"/>
      <c r="MC156" s="26"/>
      <c r="MD156" s="26"/>
      <c r="ME156" s="26"/>
      <c r="MF156" s="26"/>
      <c r="MG156" s="26"/>
      <c r="MH156" s="26"/>
      <c r="MI156" s="26"/>
      <c r="MJ156" s="26"/>
      <c r="MK156" s="26"/>
      <c r="ML156" s="26"/>
      <c r="MM156" s="26"/>
      <c r="MN156" s="26"/>
      <c r="MO156" s="26"/>
      <c r="MP156" s="26"/>
      <c r="MQ156" s="26"/>
      <c r="MR156" s="26"/>
      <c r="MS156" s="26"/>
      <c r="MT156" s="26"/>
      <c r="MU156" s="26"/>
      <c r="MV156" s="26"/>
      <c r="MW156" s="26"/>
      <c r="MX156" s="26"/>
      <c r="MY156" s="26"/>
      <c r="MZ156" s="26"/>
      <c r="NA156" s="26"/>
      <c r="NB156" s="26"/>
      <c r="NC156" s="26"/>
      <c r="ND156" s="26"/>
      <c r="NE156" s="26"/>
      <c r="NF156" s="26"/>
      <c r="NG156" s="26"/>
      <c r="NH156" s="26"/>
      <c r="NI156" s="26"/>
      <c r="NJ156" s="26"/>
      <c r="NK156" s="26"/>
      <c r="NL156" s="26"/>
      <c r="NM156" s="26"/>
      <c r="NN156" s="26"/>
      <c r="NO156" s="26"/>
      <c r="NP156" s="26"/>
      <c r="NQ156" s="26"/>
      <c r="NR156" s="26"/>
      <c r="NS156" s="26"/>
      <c r="NT156" s="26"/>
      <c r="NU156" s="26"/>
      <c r="NV156" s="26"/>
      <c r="NW156" s="26"/>
      <c r="NX156" s="26"/>
      <c r="NY156" s="26"/>
      <c r="NZ156" s="26"/>
      <c r="OA156" s="26"/>
      <c r="OB156" s="26"/>
      <c r="OC156" s="26"/>
      <c r="OD156" s="26"/>
      <c r="OE156" s="26"/>
      <c r="OF156" s="26"/>
      <c r="OG156" s="26"/>
      <c r="OH156" s="26"/>
      <c r="OI156" s="26"/>
      <c r="OJ156" s="26"/>
      <c r="OK156" s="26"/>
      <c r="OL156" s="26"/>
      <c r="OM156" s="26"/>
      <c r="ON156" s="26"/>
      <c r="OO156" s="26"/>
      <c r="OP156" s="26"/>
      <c r="OQ156" s="26"/>
      <c r="OR156" s="26"/>
      <c r="OS156" s="26"/>
      <c r="OT156" s="26"/>
      <c r="OU156" s="26"/>
      <c r="OV156" s="26"/>
      <c r="OW156" s="26"/>
      <c r="OX156" s="26"/>
      <c r="OY156" s="26"/>
      <c r="OZ156" s="26"/>
      <c r="PA156" s="26"/>
      <c r="PB156" s="26"/>
      <c r="PC156" s="26"/>
      <c r="PD156" s="26"/>
      <c r="PE156" s="26"/>
      <c r="PF156" s="26"/>
      <c r="PG156" s="26"/>
      <c r="PH156" s="26"/>
      <c r="PI156" s="26"/>
      <c r="PJ156" s="26"/>
      <c r="PK156" s="26"/>
      <c r="PL156" s="26"/>
      <c r="PM156" s="26"/>
      <c r="PN156" s="26"/>
      <c r="PO156" s="26"/>
      <c r="PP156" s="26"/>
      <c r="PQ156" s="26"/>
      <c r="PR156" s="26"/>
      <c r="PS156" s="26"/>
      <c r="PT156" s="26"/>
      <c r="PU156" s="26"/>
      <c r="PV156" s="26"/>
      <c r="PW156" s="26"/>
      <c r="PX156" s="26"/>
      <c r="PY156" s="26"/>
      <c r="PZ156" s="26"/>
      <c r="QA156" s="26"/>
      <c r="QB156" s="26"/>
      <c r="QC156" s="26"/>
      <c r="QD156" s="26"/>
      <c r="QE156" s="26"/>
      <c r="QF156" s="26"/>
      <c r="QG156" s="26"/>
      <c r="QH156" s="26"/>
      <c r="QI156" s="26"/>
      <c r="QJ156" s="26"/>
      <c r="QK156" s="26"/>
      <c r="QL156" s="26"/>
      <c r="QM156" s="26"/>
      <c r="QN156" s="26"/>
      <c r="QO156" s="26"/>
      <c r="QP156" s="26"/>
      <c r="QQ156" s="26"/>
      <c r="QR156" s="26"/>
      <c r="QS156" s="26"/>
      <c r="QT156" s="26"/>
      <c r="QU156" s="26"/>
      <c r="QV156" s="26"/>
      <c r="QW156" s="26"/>
      <c r="QX156" s="26"/>
      <c r="QY156" s="26"/>
      <c r="QZ156" s="26"/>
      <c r="RA156" s="26"/>
      <c r="RB156" s="26"/>
      <c r="RC156" s="26"/>
      <c r="RD156" s="26"/>
      <c r="RE156" s="26"/>
      <c r="RF156" s="26"/>
      <c r="RG156" s="26"/>
      <c r="RH156" s="26"/>
      <c r="RI156" s="26"/>
      <c r="RJ156" s="26"/>
      <c r="RK156" s="26"/>
      <c r="RL156" s="26"/>
      <c r="RM156" s="26"/>
      <c r="RN156" s="26"/>
      <c r="RO156" s="26"/>
      <c r="RP156" s="26"/>
      <c r="RQ156" s="26"/>
      <c r="RR156" s="26"/>
      <c r="RS156" s="26"/>
      <c r="RT156" s="26"/>
      <c r="RU156" s="26"/>
      <c r="RV156" s="26"/>
      <c r="RW156" s="26"/>
      <c r="RX156" s="26"/>
      <c r="RY156" s="26"/>
      <c r="RZ156" s="26"/>
      <c r="SA156" s="26"/>
      <c r="SB156" s="26"/>
      <c r="SC156" s="26"/>
      <c r="SD156" s="26"/>
      <c r="SE156" s="26"/>
      <c r="SF156" s="26"/>
      <c r="SG156" s="26"/>
      <c r="SH156" s="26"/>
      <c r="SI156" s="26"/>
      <c r="SJ156" s="26"/>
      <c r="SK156" s="26"/>
      <c r="SL156" s="26"/>
      <c r="SM156" s="26"/>
      <c r="SN156" s="26"/>
      <c r="SO156" s="26"/>
      <c r="SP156" s="26"/>
      <c r="SQ156" s="26"/>
      <c r="SR156" s="26"/>
      <c r="SS156" s="26"/>
      <c r="ST156" s="26"/>
      <c r="SU156" s="26"/>
      <c r="SV156" s="26"/>
      <c r="SW156" s="26"/>
      <c r="SX156" s="26"/>
      <c r="SY156" s="26"/>
      <c r="SZ156" s="26"/>
      <c r="TA156" s="26"/>
      <c r="TB156" s="26"/>
      <c r="TC156" s="26"/>
      <c r="TD156" s="26"/>
      <c r="TE156" s="26"/>
      <c r="TF156" s="26"/>
      <c r="TG156" s="26"/>
      <c r="TH156" s="26"/>
      <c r="TI156" s="26"/>
    </row>
    <row r="157" spans="1:529" s="23" customFormat="1" ht="23.25" customHeight="1" x14ac:dyDescent="0.25">
      <c r="A157" s="43" t="s">
        <v>388</v>
      </c>
      <c r="B157" s="44" t="str">
        <f>'дод 4'!A128</f>
        <v>7670</v>
      </c>
      <c r="C157" s="44" t="str">
        <f>'дод 4'!B128</f>
        <v>0490</v>
      </c>
      <c r="D157" s="24" t="str">
        <f>'дод 4'!C128</f>
        <v>Внески до статутного капіталу суб’єктів господарювання</v>
      </c>
      <c r="E157" s="69">
        <f t="shared" si="69"/>
        <v>0</v>
      </c>
      <c r="F157" s="69"/>
      <c r="G157" s="69"/>
      <c r="H157" s="69"/>
      <c r="I157" s="69"/>
      <c r="J157" s="69">
        <f t="shared" si="71"/>
        <v>17042330</v>
      </c>
      <c r="K157" s="69">
        <f>7042330+10000000</f>
        <v>17042330</v>
      </c>
      <c r="L157" s="69"/>
      <c r="M157" s="69"/>
      <c r="N157" s="69"/>
      <c r="O157" s="69">
        <f>7042330+10000000</f>
        <v>17042330</v>
      </c>
      <c r="P157" s="69">
        <f t="shared" si="70"/>
        <v>17042330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  <c r="IW157" s="26"/>
      <c r="IX157" s="26"/>
      <c r="IY157" s="26"/>
      <c r="IZ157" s="26"/>
      <c r="JA157" s="26"/>
      <c r="JB157" s="26"/>
      <c r="JC157" s="26"/>
      <c r="JD157" s="26"/>
      <c r="JE157" s="26"/>
      <c r="JF157" s="26"/>
      <c r="JG157" s="26"/>
      <c r="JH157" s="26"/>
      <c r="JI157" s="26"/>
      <c r="JJ157" s="26"/>
      <c r="JK157" s="26"/>
      <c r="JL157" s="26"/>
      <c r="JM157" s="26"/>
      <c r="JN157" s="26"/>
      <c r="JO157" s="26"/>
      <c r="JP157" s="26"/>
      <c r="JQ157" s="26"/>
      <c r="JR157" s="26"/>
      <c r="JS157" s="26"/>
      <c r="JT157" s="26"/>
      <c r="JU157" s="26"/>
      <c r="JV157" s="26"/>
      <c r="JW157" s="26"/>
      <c r="JX157" s="26"/>
      <c r="JY157" s="26"/>
      <c r="JZ157" s="26"/>
      <c r="KA157" s="26"/>
      <c r="KB157" s="26"/>
      <c r="KC157" s="26"/>
      <c r="KD157" s="26"/>
      <c r="KE157" s="26"/>
      <c r="KF157" s="26"/>
      <c r="KG157" s="26"/>
      <c r="KH157" s="26"/>
      <c r="KI157" s="26"/>
      <c r="KJ157" s="26"/>
      <c r="KK157" s="26"/>
      <c r="KL157" s="26"/>
      <c r="KM157" s="26"/>
      <c r="KN157" s="26"/>
      <c r="KO157" s="26"/>
      <c r="KP157" s="26"/>
      <c r="KQ157" s="26"/>
      <c r="KR157" s="26"/>
      <c r="KS157" s="26"/>
      <c r="KT157" s="26"/>
      <c r="KU157" s="26"/>
      <c r="KV157" s="26"/>
      <c r="KW157" s="26"/>
      <c r="KX157" s="26"/>
      <c r="KY157" s="26"/>
      <c r="KZ157" s="26"/>
      <c r="LA157" s="26"/>
      <c r="LB157" s="26"/>
      <c r="LC157" s="26"/>
      <c r="LD157" s="26"/>
      <c r="LE157" s="26"/>
      <c r="LF157" s="26"/>
      <c r="LG157" s="26"/>
      <c r="LH157" s="26"/>
      <c r="LI157" s="26"/>
      <c r="LJ157" s="26"/>
      <c r="LK157" s="26"/>
      <c r="LL157" s="26"/>
      <c r="LM157" s="26"/>
      <c r="LN157" s="26"/>
      <c r="LO157" s="26"/>
      <c r="LP157" s="26"/>
      <c r="LQ157" s="26"/>
      <c r="LR157" s="26"/>
      <c r="LS157" s="26"/>
      <c r="LT157" s="26"/>
      <c r="LU157" s="26"/>
      <c r="LV157" s="26"/>
      <c r="LW157" s="26"/>
      <c r="LX157" s="26"/>
      <c r="LY157" s="26"/>
      <c r="LZ157" s="26"/>
      <c r="MA157" s="26"/>
      <c r="MB157" s="26"/>
      <c r="MC157" s="26"/>
      <c r="MD157" s="26"/>
      <c r="ME157" s="26"/>
      <c r="MF157" s="26"/>
      <c r="MG157" s="26"/>
      <c r="MH157" s="26"/>
      <c r="MI157" s="26"/>
      <c r="MJ157" s="26"/>
      <c r="MK157" s="26"/>
      <c r="ML157" s="26"/>
      <c r="MM157" s="26"/>
      <c r="MN157" s="26"/>
      <c r="MO157" s="26"/>
      <c r="MP157" s="26"/>
      <c r="MQ157" s="26"/>
      <c r="MR157" s="26"/>
      <c r="MS157" s="26"/>
      <c r="MT157" s="26"/>
      <c r="MU157" s="26"/>
      <c r="MV157" s="26"/>
      <c r="MW157" s="26"/>
      <c r="MX157" s="26"/>
      <c r="MY157" s="26"/>
      <c r="MZ157" s="26"/>
      <c r="NA157" s="26"/>
      <c r="NB157" s="26"/>
      <c r="NC157" s="26"/>
      <c r="ND157" s="26"/>
      <c r="NE157" s="26"/>
      <c r="NF157" s="26"/>
      <c r="NG157" s="26"/>
      <c r="NH157" s="26"/>
      <c r="NI157" s="26"/>
      <c r="NJ157" s="26"/>
      <c r="NK157" s="26"/>
      <c r="NL157" s="26"/>
      <c r="NM157" s="26"/>
      <c r="NN157" s="26"/>
      <c r="NO157" s="26"/>
      <c r="NP157" s="26"/>
      <c r="NQ157" s="26"/>
      <c r="NR157" s="26"/>
      <c r="NS157" s="26"/>
      <c r="NT157" s="26"/>
      <c r="NU157" s="26"/>
      <c r="NV157" s="26"/>
      <c r="NW157" s="26"/>
      <c r="NX157" s="26"/>
      <c r="NY157" s="26"/>
      <c r="NZ157" s="26"/>
      <c r="OA157" s="26"/>
      <c r="OB157" s="26"/>
      <c r="OC157" s="26"/>
      <c r="OD157" s="26"/>
      <c r="OE157" s="26"/>
      <c r="OF157" s="26"/>
      <c r="OG157" s="26"/>
      <c r="OH157" s="26"/>
      <c r="OI157" s="26"/>
      <c r="OJ157" s="26"/>
      <c r="OK157" s="26"/>
      <c r="OL157" s="26"/>
      <c r="OM157" s="26"/>
      <c r="ON157" s="26"/>
      <c r="OO157" s="26"/>
      <c r="OP157" s="26"/>
      <c r="OQ157" s="26"/>
      <c r="OR157" s="26"/>
      <c r="OS157" s="26"/>
      <c r="OT157" s="26"/>
      <c r="OU157" s="26"/>
      <c r="OV157" s="26"/>
      <c r="OW157" s="26"/>
      <c r="OX157" s="26"/>
      <c r="OY157" s="26"/>
      <c r="OZ157" s="26"/>
      <c r="PA157" s="26"/>
      <c r="PB157" s="26"/>
      <c r="PC157" s="26"/>
      <c r="PD157" s="26"/>
      <c r="PE157" s="26"/>
      <c r="PF157" s="26"/>
      <c r="PG157" s="26"/>
      <c r="PH157" s="26"/>
      <c r="PI157" s="26"/>
      <c r="PJ157" s="26"/>
      <c r="PK157" s="26"/>
      <c r="PL157" s="26"/>
      <c r="PM157" s="26"/>
      <c r="PN157" s="26"/>
      <c r="PO157" s="26"/>
      <c r="PP157" s="26"/>
      <c r="PQ157" s="26"/>
      <c r="PR157" s="26"/>
      <c r="PS157" s="26"/>
      <c r="PT157" s="26"/>
      <c r="PU157" s="26"/>
      <c r="PV157" s="26"/>
      <c r="PW157" s="26"/>
      <c r="PX157" s="26"/>
      <c r="PY157" s="26"/>
      <c r="PZ157" s="26"/>
      <c r="QA157" s="26"/>
      <c r="QB157" s="26"/>
      <c r="QC157" s="26"/>
      <c r="QD157" s="26"/>
      <c r="QE157" s="26"/>
      <c r="QF157" s="26"/>
      <c r="QG157" s="26"/>
      <c r="QH157" s="26"/>
      <c r="QI157" s="26"/>
      <c r="QJ157" s="26"/>
      <c r="QK157" s="26"/>
      <c r="QL157" s="26"/>
      <c r="QM157" s="26"/>
      <c r="QN157" s="26"/>
      <c r="QO157" s="26"/>
      <c r="QP157" s="26"/>
      <c r="QQ157" s="26"/>
      <c r="QR157" s="26"/>
      <c r="QS157" s="26"/>
      <c r="QT157" s="26"/>
      <c r="QU157" s="26"/>
      <c r="QV157" s="26"/>
      <c r="QW157" s="26"/>
      <c r="QX157" s="26"/>
      <c r="QY157" s="26"/>
      <c r="QZ157" s="26"/>
      <c r="RA157" s="26"/>
      <c r="RB157" s="26"/>
      <c r="RC157" s="26"/>
      <c r="RD157" s="26"/>
      <c r="RE157" s="26"/>
      <c r="RF157" s="26"/>
      <c r="RG157" s="26"/>
      <c r="RH157" s="26"/>
      <c r="RI157" s="26"/>
      <c r="RJ157" s="26"/>
      <c r="RK157" s="26"/>
      <c r="RL157" s="26"/>
      <c r="RM157" s="26"/>
      <c r="RN157" s="26"/>
      <c r="RO157" s="26"/>
      <c r="RP157" s="26"/>
      <c r="RQ157" s="26"/>
      <c r="RR157" s="26"/>
      <c r="RS157" s="26"/>
      <c r="RT157" s="26"/>
      <c r="RU157" s="26"/>
      <c r="RV157" s="26"/>
      <c r="RW157" s="26"/>
      <c r="RX157" s="26"/>
      <c r="RY157" s="26"/>
      <c r="RZ157" s="26"/>
      <c r="SA157" s="26"/>
      <c r="SB157" s="26"/>
      <c r="SC157" s="26"/>
      <c r="SD157" s="26"/>
      <c r="SE157" s="26"/>
      <c r="SF157" s="26"/>
      <c r="SG157" s="26"/>
      <c r="SH157" s="26"/>
      <c r="SI157" s="26"/>
      <c r="SJ157" s="26"/>
      <c r="SK157" s="26"/>
      <c r="SL157" s="26"/>
      <c r="SM157" s="26"/>
      <c r="SN157" s="26"/>
      <c r="SO157" s="26"/>
      <c r="SP157" s="26"/>
      <c r="SQ157" s="26"/>
      <c r="SR157" s="26"/>
      <c r="SS157" s="26"/>
      <c r="ST157" s="26"/>
      <c r="SU157" s="26"/>
      <c r="SV157" s="26"/>
      <c r="SW157" s="26"/>
      <c r="SX157" s="26"/>
      <c r="SY157" s="26"/>
      <c r="SZ157" s="26"/>
      <c r="TA157" s="26"/>
      <c r="TB157" s="26"/>
      <c r="TC157" s="26"/>
      <c r="TD157" s="26"/>
      <c r="TE157" s="26"/>
      <c r="TF157" s="26"/>
      <c r="TG157" s="26"/>
      <c r="TH157" s="26"/>
      <c r="TI157" s="26"/>
    </row>
    <row r="158" spans="1:529" s="23" customFormat="1" ht="102" customHeight="1" x14ac:dyDescent="0.25">
      <c r="A158" s="52" t="s">
        <v>350</v>
      </c>
      <c r="B158" s="45">
        <v>7691</v>
      </c>
      <c r="C158" s="45" t="s">
        <v>102</v>
      </c>
      <c r="D158" s="22" t="str">
        <f>'дод 4'!C130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58" s="69">
        <f t="shared" si="69"/>
        <v>0</v>
      </c>
      <c r="F158" s="69"/>
      <c r="G158" s="69"/>
      <c r="H158" s="69"/>
      <c r="I158" s="69"/>
      <c r="J158" s="69">
        <f t="shared" si="71"/>
        <v>290090.27</v>
      </c>
      <c r="K158" s="69"/>
      <c r="L158" s="69">
        <f>41000+115890.27</f>
        <v>156890.27000000002</v>
      </c>
      <c r="M158" s="69"/>
      <c r="N158" s="69"/>
      <c r="O158" s="69">
        <v>133200</v>
      </c>
      <c r="P158" s="69">
        <f t="shared" si="70"/>
        <v>290090.27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  <c r="JK158" s="26"/>
      <c r="JL158" s="26"/>
      <c r="JM158" s="26"/>
      <c r="JN158" s="26"/>
      <c r="JO158" s="26"/>
      <c r="JP158" s="26"/>
      <c r="JQ158" s="26"/>
      <c r="JR158" s="26"/>
      <c r="JS158" s="26"/>
      <c r="JT158" s="26"/>
      <c r="JU158" s="26"/>
      <c r="JV158" s="26"/>
      <c r="JW158" s="26"/>
      <c r="JX158" s="26"/>
      <c r="JY158" s="26"/>
      <c r="JZ158" s="26"/>
      <c r="KA158" s="26"/>
      <c r="KB158" s="26"/>
      <c r="KC158" s="26"/>
      <c r="KD158" s="26"/>
      <c r="KE158" s="26"/>
      <c r="KF158" s="26"/>
      <c r="KG158" s="26"/>
      <c r="KH158" s="26"/>
      <c r="KI158" s="26"/>
      <c r="KJ158" s="26"/>
      <c r="KK158" s="26"/>
      <c r="KL158" s="26"/>
      <c r="KM158" s="26"/>
      <c r="KN158" s="26"/>
      <c r="KO158" s="26"/>
      <c r="KP158" s="26"/>
      <c r="KQ158" s="26"/>
      <c r="KR158" s="26"/>
      <c r="KS158" s="26"/>
      <c r="KT158" s="26"/>
      <c r="KU158" s="26"/>
      <c r="KV158" s="26"/>
      <c r="KW158" s="26"/>
      <c r="KX158" s="26"/>
      <c r="KY158" s="26"/>
      <c r="KZ158" s="26"/>
      <c r="LA158" s="26"/>
      <c r="LB158" s="26"/>
      <c r="LC158" s="26"/>
      <c r="LD158" s="26"/>
      <c r="LE158" s="26"/>
      <c r="LF158" s="26"/>
      <c r="LG158" s="26"/>
      <c r="LH158" s="26"/>
      <c r="LI158" s="26"/>
      <c r="LJ158" s="26"/>
      <c r="LK158" s="26"/>
      <c r="LL158" s="26"/>
      <c r="LM158" s="26"/>
      <c r="LN158" s="26"/>
      <c r="LO158" s="26"/>
      <c r="LP158" s="26"/>
      <c r="LQ158" s="26"/>
      <c r="LR158" s="26"/>
      <c r="LS158" s="26"/>
      <c r="LT158" s="26"/>
      <c r="LU158" s="26"/>
      <c r="LV158" s="26"/>
      <c r="LW158" s="26"/>
      <c r="LX158" s="26"/>
      <c r="LY158" s="26"/>
      <c r="LZ158" s="26"/>
      <c r="MA158" s="26"/>
      <c r="MB158" s="26"/>
      <c r="MC158" s="26"/>
      <c r="MD158" s="26"/>
      <c r="ME158" s="26"/>
      <c r="MF158" s="26"/>
      <c r="MG158" s="26"/>
      <c r="MH158" s="26"/>
      <c r="MI158" s="26"/>
      <c r="MJ158" s="26"/>
      <c r="MK158" s="26"/>
      <c r="ML158" s="26"/>
      <c r="MM158" s="26"/>
      <c r="MN158" s="26"/>
      <c r="MO158" s="26"/>
      <c r="MP158" s="26"/>
      <c r="MQ158" s="26"/>
      <c r="MR158" s="26"/>
      <c r="MS158" s="26"/>
      <c r="MT158" s="26"/>
      <c r="MU158" s="26"/>
      <c r="MV158" s="26"/>
      <c r="MW158" s="26"/>
      <c r="MX158" s="26"/>
      <c r="MY158" s="26"/>
      <c r="MZ158" s="26"/>
      <c r="NA158" s="26"/>
      <c r="NB158" s="26"/>
      <c r="NC158" s="26"/>
      <c r="ND158" s="26"/>
      <c r="NE158" s="26"/>
      <c r="NF158" s="26"/>
      <c r="NG158" s="26"/>
      <c r="NH158" s="26"/>
      <c r="NI158" s="26"/>
      <c r="NJ158" s="26"/>
      <c r="NK158" s="26"/>
      <c r="NL158" s="26"/>
      <c r="NM158" s="26"/>
      <c r="NN158" s="26"/>
      <c r="NO158" s="26"/>
      <c r="NP158" s="26"/>
      <c r="NQ158" s="26"/>
      <c r="NR158" s="26"/>
      <c r="NS158" s="26"/>
      <c r="NT158" s="26"/>
      <c r="NU158" s="26"/>
      <c r="NV158" s="26"/>
      <c r="NW158" s="26"/>
      <c r="NX158" s="26"/>
      <c r="NY158" s="26"/>
      <c r="NZ158" s="26"/>
      <c r="OA158" s="26"/>
      <c r="OB158" s="26"/>
      <c r="OC158" s="26"/>
      <c r="OD158" s="26"/>
      <c r="OE158" s="26"/>
      <c r="OF158" s="26"/>
      <c r="OG158" s="26"/>
      <c r="OH158" s="26"/>
      <c r="OI158" s="26"/>
      <c r="OJ158" s="26"/>
      <c r="OK158" s="26"/>
      <c r="OL158" s="26"/>
      <c r="OM158" s="26"/>
      <c r="ON158" s="26"/>
      <c r="OO158" s="26"/>
      <c r="OP158" s="26"/>
      <c r="OQ158" s="26"/>
      <c r="OR158" s="26"/>
      <c r="OS158" s="26"/>
      <c r="OT158" s="26"/>
      <c r="OU158" s="26"/>
      <c r="OV158" s="26"/>
      <c r="OW158" s="26"/>
      <c r="OX158" s="26"/>
      <c r="OY158" s="26"/>
      <c r="OZ158" s="26"/>
      <c r="PA158" s="26"/>
      <c r="PB158" s="26"/>
      <c r="PC158" s="26"/>
      <c r="PD158" s="26"/>
      <c r="PE158" s="26"/>
      <c r="PF158" s="26"/>
      <c r="PG158" s="26"/>
      <c r="PH158" s="26"/>
      <c r="PI158" s="26"/>
      <c r="PJ158" s="26"/>
      <c r="PK158" s="26"/>
      <c r="PL158" s="26"/>
      <c r="PM158" s="26"/>
      <c r="PN158" s="26"/>
      <c r="PO158" s="26"/>
      <c r="PP158" s="26"/>
      <c r="PQ158" s="26"/>
      <c r="PR158" s="26"/>
      <c r="PS158" s="26"/>
      <c r="PT158" s="26"/>
      <c r="PU158" s="26"/>
      <c r="PV158" s="26"/>
      <c r="PW158" s="26"/>
      <c r="PX158" s="26"/>
      <c r="PY158" s="26"/>
      <c r="PZ158" s="26"/>
      <c r="QA158" s="26"/>
      <c r="QB158" s="26"/>
      <c r="QC158" s="26"/>
      <c r="QD158" s="26"/>
      <c r="QE158" s="26"/>
      <c r="QF158" s="26"/>
      <c r="QG158" s="26"/>
      <c r="QH158" s="26"/>
      <c r="QI158" s="26"/>
      <c r="QJ158" s="26"/>
      <c r="QK158" s="26"/>
      <c r="QL158" s="26"/>
      <c r="QM158" s="26"/>
      <c r="QN158" s="26"/>
      <c r="QO158" s="26"/>
      <c r="QP158" s="26"/>
      <c r="QQ158" s="26"/>
      <c r="QR158" s="26"/>
      <c r="QS158" s="26"/>
      <c r="QT158" s="26"/>
      <c r="QU158" s="26"/>
      <c r="QV158" s="26"/>
      <c r="QW158" s="26"/>
      <c r="QX158" s="26"/>
      <c r="QY158" s="26"/>
      <c r="QZ158" s="26"/>
      <c r="RA158" s="26"/>
      <c r="RB158" s="26"/>
      <c r="RC158" s="26"/>
      <c r="RD158" s="26"/>
      <c r="RE158" s="26"/>
      <c r="RF158" s="26"/>
      <c r="RG158" s="26"/>
      <c r="RH158" s="26"/>
      <c r="RI158" s="26"/>
      <c r="RJ158" s="26"/>
      <c r="RK158" s="26"/>
      <c r="RL158" s="26"/>
      <c r="RM158" s="26"/>
      <c r="RN158" s="26"/>
      <c r="RO158" s="26"/>
      <c r="RP158" s="26"/>
      <c r="RQ158" s="26"/>
      <c r="RR158" s="26"/>
      <c r="RS158" s="26"/>
      <c r="RT158" s="26"/>
      <c r="RU158" s="26"/>
      <c r="RV158" s="26"/>
      <c r="RW158" s="26"/>
      <c r="RX158" s="26"/>
      <c r="RY158" s="26"/>
      <c r="RZ158" s="26"/>
      <c r="SA158" s="26"/>
      <c r="SB158" s="26"/>
      <c r="SC158" s="26"/>
      <c r="SD158" s="26"/>
      <c r="SE158" s="26"/>
      <c r="SF158" s="26"/>
      <c r="SG158" s="26"/>
      <c r="SH158" s="26"/>
      <c r="SI158" s="26"/>
      <c r="SJ158" s="26"/>
      <c r="SK158" s="26"/>
      <c r="SL158" s="26"/>
      <c r="SM158" s="26"/>
      <c r="SN158" s="26"/>
      <c r="SO158" s="26"/>
      <c r="SP158" s="26"/>
      <c r="SQ158" s="26"/>
      <c r="SR158" s="26"/>
      <c r="SS158" s="26"/>
      <c r="ST158" s="26"/>
      <c r="SU158" s="26"/>
      <c r="SV158" s="26"/>
      <c r="SW158" s="26"/>
      <c r="SX158" s="26"/>
      <c r="SY158" s="26"/>
      <c r="SZ158" s="26"/>
      <c r="TA158" s="26"/>
      <c r="TB158" s="26"/>
      <c r="TC158" s="26"/>
      <c r="TD158" s="26"/>
      <c r="TE158" s="26"/>
      <c r="TF158" s="26"/>
      <c r="TG158" s="26"/>
      <c r="TH158" s="26"/>
      <c r="TI158" s="26"/>
    </row>
    <row r="159" spans="1:529" s="23" customFormat="1" ht="42" customHeight="1" x14ac:dyDescent="0.25">
      <c r="A159" s="52" t="s">
        <v>469</v>
      </c>
      <c r="B159" s="45" t="str">
        <f>'дод 4'!A136</f>
        <v>8110</v>
      </c>
      <c r="C159" s="45" t="str">
        <f>'дод 4'!B136</f>
        <v>0320</v>
      </c>
      <c r="D159" s="150" t="str">
        <f>'дод 4'!C136</f>
        <v>Заходи із запобігання та ліквідації надзвичайних ситуацій та наслідків стихійного лиха</v>
      </c>
      <c r="E159" s="69">
        <f t="shared" ref="E159" si="78">F159+I159</f>
        <v>2088318</v>
      </c>
      <c r="F159" s="69">
        <f>1610000+1443000-64682-900000</f>
        <v>2088318</v>
      </c>
      <c r="G159" s="69"/>
      <c r="H159" s="69">
        <v>48000</v>
      </c>
      <c r="I159" s="69"/>
      <c r="J159" s="69">
        <f t="shared" ref="J159" si="79">L159+O159</f>
        <v>0</v>
      </c>
      <c r="K159" s="69"/>
      <c r="L159" s="69"/>
      <c r="M159" s="69"/>
      <c r="N159" s="69"/>
      <c r="O159" s="69"/>
      <c r="P159" s="69">
        <f t="shared" ref="P159" si="80">E159+J159</f>
        <v>2088318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</row>
    <row r="160" spans="1:529" s="23" customFormat="1" ht="33.75" hidden="1" customHeight="1" x14ac:dyDescent="0.25">
      <c r="A160" s="52" t="s">
        <v>467</v>
      </c>
      <c r="B160" s="45" t="str">
        <f>'дод 4'!A139</f>
        <v>8230</v>
      </c>
      <c r="C160" s="45" t="str">
        <f>'дод 4'!B139</f>
        <v>0380</v>
      </c>
      <c r="D160" s="150" t="str">
        <f>'дод 4'!C139</f>
        <v>Інші заходи громадського порядку та безпеки</v>
      </c>
      <c r="E160" s="69">
        <f t="shared" ref="E160" si="81">F160+I160</f>
        <v>0</v>
      </c>
      <c r="F160" s="69">
        <f>110000-110000</f>
        <v>0</v>
      </c>
      <c r="G160" s="69"/>
      <c r="H160" s="69"/>
      <c r="I160" s="69"/>
      <c r="J160" s="69">
        <f t="shared" ref="J160" si="82">L160+O160</f>
        <v>0</v>
      </c>
      <c r="K160" s="69"/>
      <c r="L160" s="69"/>
      <c r="M160" s="69"/>
      <c r="N160" s="69"/>
      <c r="O160" s="69"/>
      <c r="P160" s="69">
        <f t="shared" ref="P160" si="83">E160+J160</f>
        <v>0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</row>
    <row r="161" spans="1:529" s="23" customFormat="1" ht="24.75" customHeight="1" x14ac:dyDescent="0.25">
      <c r="A161" s="43" t="s">
        <v>240</v>
      </c>
      <c r="B161" s="44" t="str">
        <f>'дод 4'!A142</f>
        <v>8340</v>
      </c>
      <c r="C161" s="44" t="str">
        <f>'дод 4'!B142</f>
        <v>0540</v>
      </c>
      <c r="D161" s="24" t="str">
        <f>'дод 4'!C142</f>
        <v>Природоохоронні заходи за рахунок цільових фондів</v>
      </c>
      <c r="E161" s="69">
        <f t="shared" si="69"/>
        <v>0</v>
      </c>
      <c r="F161" s="69"/>
      <c r="G161" s="69"/>
      <c r="H161" s="69"/>
      <c r="I161" s="69"/>
      <c r="J161" s="69">
        <f t="shared" si="71"/>
        <v>5599043.4500000002</v>
      </c>
      <c r="K161" s="69"/>
      <c r="L161" s="69">
        <v>1870000</v>
      </c>
      <c r="M161" s="69"/>
      <c r="N161" s="69">
        <v>540000</v>
      </c>
      <c r="O161" s="69">
        <f>1946500+1782543.45</f>
        <v>3729043.45</v>
      </c>
      <c r="P161" s="69">
        <f t="shared" si="70"/>
        <v>5599043.4500000002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  <c r="IW161" s="26"/>
      <c r="IX161" s="26"/>
      <c r="IY161" s="26"/>
      <c r="IZ161" s="26"/>
      <c r="JA161" s="26"/>
      <c r="JB161" s="26"/>
      <c r="JC161" s="26"/>
      <c r="JD161" s="26"/>
      <c r="JE161" s="26"/>
      <c r="JF161" s="26"/>
      <c r="JG161" s="26"/>
      <c r="JH161" s="26"/>
      <c r="JI161" s="26"/>
      <c r="JJ161" s="26"/>
      <c r="JK161" s="26"/>
      <c r="JL161" s="26"/>
      <c r="JM161" s="26"/>
      <c r="JN161" s="26"/>
      <c r="JO161" s="26"/>
      <c r="JP161" s="26"/>
      <c r="JQ161" s="26"/>
      <c r="JR161" s="26"/>
      <c r="JS161" s="26"/>
      <c r="JT161" s="26"/>
      <c r="JU161" s="26"/>
      <c r="JV161" s="26"/>
      <c r="JW161" s="26"/>
      <c r="JX161" s="26"/>
      <c r="JY161" s="26"/>
      <c r="JZ161" s="26"/>
      <c r="KA161" s="26"/>
      <c r="KB161" s="26"/>
      <c r="KC161" s="26"/>
      <c r="KD161" s="26"/>
      <c r="KE161" s="26"/>
      <c r="KF161" s="26"/>
      <c r="KG161" s="26"/>
      <c r="KH161" s="26"/>
      <c r="KI161" s="26"/>
      <c r="KJ161" s="26"/>
      <c r="KK161" s="26"/>
      <c r="KL161" s="26"/>
      <c r="KM161" s="26"/>
      <c r="KN161" s="26"/>
      <c r="KO161" s="26"/>
      <c r="KP161" s="26"/>
      <c r="KQ161" s="26"/>
      <c r="KR161" s="26"/>
      <c r="KS161" s="26"/>
      <c r="KT161" s="26"/>
      <c r="KU161" s="26"/>
      <c r="KV161" s="26"/>
      <c r="KW161" s="26"/>
      <c r="KX161" s="26"/>
      <c r="KY161" s="26"/>
      <c r="KZ161" s="26"/>
      <c r="LA161" s="26"/>
      <c r="LB161" s="26"/>
      <c r="LC161" s="26"/>
      <c r="LD161" s="26"/>
      <c r="LE161" s="26"/>
      <c r="LF161" s="26"/>
      <c r="LG161" s="26"/>
      <c r="LH161" s="26"/>
      <c r="LI161" s="26"/>
      <c r="LJ161" s="26"/>
      <c r="LK161" s="26"/>
      <c r="LL161" s="26"/>
      <c r="LM161" s="26"/>
      <c r="LN161" s="26"/>
      <c r="LO161" s="26"/>
      <c r="LP161" s="26"/>
      <c r="LQ161" s="26"/>
      <c r="LR161" s="26"/>
      <c r="LS161" s="26"/>
      <c r="LT161" s="26"/>
      <c r="LU161" s="26"/>
      <c r="LV161" s="26"/>
      <c r="LW161" s="26"/>
      <c r="LX161" s="26"/>
      <c r="LY161" s="26"/>
      <c r="LZ161" s="26"/>
      <c r="MA161" s="26"/>
      <c r="MB161" s="26"/>
      <c r="MC161" s="26"/>
      <c r="MD161" s="26"/>
      <c r="ME161" s="26"/>
      <c r="MF161" s="26"/>
      <c r="MG161" s="26"/>
      <c r="MH161" s="26"/>
      <c r="MI161" s="26"/>
      <c r="MJ161" s="26"/>
      <c r="MK161" s="26"/>
      <c r="ML161" s="26"/>
      <c r="MM161" s="26"/>
      <c r="MN161" s="26"/>
      <c r="MO161" s="26"/>
      <c r="MP161" s="26"/>
      <c r="MQ161" s="26"/>
      <c r="MR161" s="26"/>
      <c r="MS161" s="26"/>
      <c r="MT161" s="26"/>
      <c r="MU161" s="26"/>
      <c r="MV161" s="26"/>
      <c r="MW161" s="26"/>
      <c r="MX161" s="26"/>
      <c r="MY161" s="26"/>
      <c r="MZ161" s="26"/>
      <c r="NA161" s="26"/>
      <c r="NB161" s="26"/>
      <c r="NC161" s="26"/>
      <c r="ND161" s="26"/>
      <c r="NE161" s="26"/>
      <c r="NF161" s="26"/>
      <c r="NG161" s="26"/>
      <c r="NH161" s="26"/>
      <c r="NI161" s="26"/>
      <c r="NJ161" s="26"/>
      <c r="NK161" s="26"/>
      <c r="NL161" s="26"/>
      <c r="NM161" s="26"/>
      <c r="NN161" s="26"/>
      <c r="NO161" s="26"/>
      <c r="NP161" s="26"/>
      <c r="NQ161" s="26"/>
      <c r="NR161" s="26"/>
      <c r="NS161" s="26"/>
      <c r="NT161" s="26"/>
      <c r="NU161" s="26"/>
      <c r="NV161" s="26"/>
      <c r="NW161" s="26"/>
      <c r="NX161" s="26"/>
      <c r="NY161" s="26"/>
      <c r="NZ161" s="26"/>
      <c r="OA161" s="26"/>
      <c r="OB161" s="26"/>
      <c r="OC161" s="26"/>
      <c r="OD161" s="26"/>
      <c r="OE161" s="26"/>
      <c r="OF161" s="26"/>
      <c r="OG161" s="26"/>
      <c r="OH161" s="26"/>
      <c r="OI161" s="26"/>
      <c r="OJ161" s="26"/>
      <c r="OK161" s="26"/>
      <c r="OL161" s="26"/>
      <c r="OM161" s="26"/>
      <c r="ON161" s="26"/>
      <c r="OO161" s="26"/>
      <c r="OP161" s="26"/>
      <c r="OQ161" s="26"/>
      <c r="OR161" s="26"/>
      <c r="OS161" s="26"/>
      <c r="OT161" s="26"/>
      <c r="OU161" s="26"/>
      <c r="OV161" s="26"/>
      <c r="OW161" s="26"/>
      <c r="OX161" s="26"/>
      <c r="OY161" s="26"/>
      <c r="OZ161" s="26"/>
      <c r="PA161" s="26"/>
      <c r="PB161" s="26"/>
      <c r="PC161" s="26"/>
      <c r="PD161" s="26"/>
      <c r="PE161" s="26"/>
      <c r="PF161" s="26"/>
      <c r="PG161" s="26"/>
      <c r="PH161" s="26"/>
      <c r="PI161" s="26"/>
      <c r="PJ161" s="26"/>
      <c r="PK161" s="26"/>
      <c r="PL161" s="26"/>
      <c r="PM161" s="26"/>
      <c r="PN161" s="26"/>
      <c r="PO161" s="26"/>
      <c r="PP161" s="26"/>
      <c r="PQ161" s="26"/>
      <c r="PR161" s="26"/>
      <c r="PS161" s="26"/>
      <c r="PT161" s="26"/>
      <c r="PU161" s="26"/>
      <c r="PV161" s="26"/>
      <c r="PW161" s="26"/>
      <c r="PX161" s="26"/>
      <c r="PY161" s="26"/>
      <c r="PZ161" s="26"/>
      <c r="QA161" s="26"/>
      <c r="QB161" s="26"/>
      <c r="QC161" s="26"/>
      <c r="QD161" s="26"/>
      <c r="QE161" s="26"/>
      <c r="QF161" s="26"/>
      <c r="QG161" s="26"/>
      <c r="QH161" s="26"/>
      <c r="QI161" s="26"/>
      <c r="QJ161" s="26"/>
      <c r="QK161" s="26"/>
      <c r="QL161" s="26"/>
      <c r="QM161" s="26"/>
      <c r="QN161" s="26"/>
      <c r="QO161" s="26"/>
      <c r="QP161" s="26"/>
      <c r="QQ161" s="26"/>
      <c r="QR161" s="26"/>
      <c r="QS161" s="26"/>
      <c r="QT161" s="26"/>
      <c r="QU161" s="26"/>
      <c r="QV161" s="26"/>
      <c r="QW161" s="26"/>
      <c r="QX161" s="26"/>
      <c r="QY161" s="26"/>
      <c r="QZ161" s="26"/>
      <c r="RA161" s="26"/>
      <c r="RB161" s="26"/>
      <c r="RC161" s="26"/>
      <c r="RD161" s="26"/>
      <c r="RE161" s="26"/>
      <c r="RF161" s="26"/>
      <c r="RG161" s="26"/>
      <c r="RH161" s="26"/>
      <c r="RI161" s="26"/>
      <c r="RJ161" s="26"/>
      <c r="RK161" s="26"/>
      <c r="RL161" s="26"/>
      <c r="RM161" s="26"/>
      <c r="RN161" s="26"/>
      <c r="RO161" s="26"/>
      <c r="RP161" s="26"/>
      <c r="RQ161" s="26"/>
      <c r="RR161" s="26"/>
      <c r="RS161" s="26"/>
      <c r="RT161" s="26"/>
      <c r="RU161" s="26"/>
      <c r="RV161" s="26"/>
      <c r="RW161" s="26"/>
      <c r="RX161" s="26"/>
      <c r="RY161" s="26"/>
      <c r="RZ161" s="26"/>
      <c r="SA161" s="26"/>
      <c r="SB161" s="26"/>
      <c r="SC161" s="26"/>
      <c r="SD161" s="26"/>
      <c r="SE161" s="26"/>
      <c r="SF161" s="26"/>
      <c r="SG161" s="26"/>
      <c r="SH161" s="26"/>
      <c r="SI161" s="26"/>
      <c r="SJ161" s="26"/>
      <c r="SK161" s="26"/>
      <c r="SL161" s="26"/>
      <c r="SM161" s="26"/>
      <c r="SN161" s="26"/>
      <c r="SO161" s="26"/>
      <c r="SP161" s="26"/>
      <c r="SQ161" s="26"/>
      <c r="SR161" s="26"/>
      <c r="SS161" s="26"/>
      <c r="ST161" s="26"/>
      <c r="SU161" s="26"/>
      <c r="SV161" s="26"/>
      <c r="SW161" s="26"/>
      <c r="SX161" s="26"/>
      <c r="SY161" s="26"/>
      <c r="SZ161" s="26"/>
      <c r="TA161" s="26"/>
      <c r="TB161" s="26"/>
      <c r="TC161" s="26"/>
      <c r="TD161" s="26"/>
      <c r="TE161" s="26"/>
      <c r="TF161" s="26"/>
      <c r="TG161" s="26"/>
      <c r="TH161" s="26"/>
      <c r="TI161" s="26"/>
    </row>
    <row r="162" spans="1:529" s="23" customFormat="1" ht="23.25" customHeight="1" x14ac:dyDescent="0.25">
      <c r="A162" s="43" t="s">
        <v>241</v>
      </c>
      <c r="B162" s="44" t="str">
        <f>'дод 4'!A151</f>
        <v>9770</v>
      </c>
      <c r="C162" s="44" t="str">
        <f>'дод 4'!B151</f>
        <v>0180</v>
      </c>
      <c r="D162" s="24" t="str">
        <f>'дод 4'!C151</f>
        <v>Інші субвенції з місцевого бюджету</v>
      </c>
      <c r="E162" s="69">
        <f t="shared" si="69"/>
        <v>368000</v>
      </c>
      <c r="F162" s="69">
        <v>368000</v>
      </c>
      <c r="G162" s="69"/>
      <c r="H162" s="69"/>
      <c r="I162" s="69"/>
      <c r="J162" s="69">
        <f t="shared" si="71"/>
        <v>7632000</v>
      </c>
      <c r="K162" s="69">
        <f>8000000-368000</f>
        <v>7632000</v>
      </c>
      <c r="L162" s="69"/>
      <c r="M162" s="69"/>
      <c r="N162" s="69"/>
      <c r="O162" s="69">
        <f>8000000-368000</f>
        <v>7632000</v>
      </c>
      <c r="P162" s="69">
        <f t="shared" si="70"/>
        <v>8000000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  <c r="IW162" s="26"/>
      <c r="IX162" s="26"/>
      <c r="IY162" s="26"/>
      <c r="IZ162" s="26"/>
      <c r="JA162" s="26"/>
      <c r="JB162" s="26"/>
      <c r="JC162" s="26"/>
      <c r="JD162" s="26"/>
      <c r="JE162" s="26"/>
      <c r="JF162" s="26"/>
      <c r="JG162" s="26"/>
      <c r="JH162" s="26"/>
      <c r="JI162" s="26"/>
      <c r="JJ162" s="26"/>
      <c r="JK162" s="26"/>
      <c r="JL162" s="26"/>
      <c r="JM162" s="26"/>
      <c r="JN162" s="26"/>
      <c r="JO162" s="26"/>
      <c r="JP162" s="26"/>
      <c r="JQ162" s="26"/>
      <c r="JR162" s="26"/>
      <c r="JS162" s="26"/>
      <c r="JT162" s="26"/>
      <c r="JU162" s="26"/>
      <c r="JV162" s="26"/>
      <c r="JW162" s="26"/>
      <c r="JX162" s="26"/>
      <c r="JY162" s="26"/>
      <c r="JZ162" s="26"/>
      <c r="KA162" s="26"/>
      <c r="KB162" s="26"/>
      <c r="KC162" s="26"/>
      <c r="KD162" s="26"/>
      <c r="KE162" s="26"/>
      <c r="KF162" s="26"/>
      <c r="KG162" s="26"/>
      <c r="KH162" s="26"/>
      <c r="KI162" s="26"/>
      <c r="KJ162" s="26"/>
      <c r="KK162" s="26"/>
      <c r="KL162" s="26"/>
      <c r="KM162" s="26"/>
      <c r="KN162" s="26"/>
      <c r="KO162" s="26"/>
      <c r="KP162" s="26"/>
      <c r="KQ162" s="26"/>
      <c r="KR162" s="26"/>
      <c r="KS162" s="26"/>
      <c r="KT162" s="26"/>
      <c r="KU162" s="26"/>
      <c r="KV162" s="26"/>
      <c r="KW162" s="26"/>
      <c r="KX162" s="26"/>
      <c r="KY162" s="26"/>
      <c r="KZ162" s="26"/>
      <c r="LA162" s="26"/>
      <c r="LB162" s="26"/>
      <c r="LC162" s="26"/>
      <c r="LD162" s="26"/>
      <c r="LE162" s="26"/>
      <c r="LF162" s="26"/>
      <c r="LG162" s="26"/>
      <c r="LH162" s="26"/>
      <c r="LI162" s="26"/>
      <c r="LJ162" s="26"/>
      <c r="LK162" s="26"/>
      <c r="LL162" s="26"/>
      <c r="LM162" s="26"/>
      <c r="LN162" s="26"/>
      <c r="LO162" s="26"/>
      <c r="LP162" s="26"/>
      <c r="LQ162" s="26"/>
      <c r="LR162" s="26"/>
      <c r="LS162" s="26"/>
      <c r="LT162" s="26"/>
      <c r="LU162" s="26"/>
      <c r="LV162" s="26"/>
      <c r="LW162" s="26"/>
      <c r="LX162" s="26"/>
      <c r="LY162" s="26"/>
      <c r="LZ162" s="26"/>
      <c r="MA162" s="26"/>
      <c r="MB162" s="26"/>
      <c r="MC162" s="26"/>
      <c r="MD162" s="26"/>
      <c r="ME162" s="26"/>
      <c r="MF162" s="26"/>
      <c r="MG162" s="26"/>
      <c r="MH162" s="26"/>
      <c r="MI162" s="26"/>
      <c r="MJ162" s="26"/>
      <c r="MK162" s="26"/>
      <c r="ML162" s="26"/>
      <c r="MM162" s="26"/>
      <c r="MN162" s="26"/>
      <c r="MO162" s="26"/>
      <c r="MP162" s="26"/>
      <c r="MQ162" s="26"/>
      <c r="MR162" s="26"/>
      <c r="MS162" s="26"/>
      <c r="MT162" s="26"/>
      <c r="MU162" s="26"/>
      <c r="MV162" s="26"/>
      <c r="MW162" s="26"/>
      <c r="MX162" s="26"/>
      <c r="MY162" s="26"/>
      <c r="MZ162" s="26"/>
      <c r="NA162" s="26"/>
      <c r="NB162" s="26"/>
      <c r="NC162" s="26"/>
      <c r="ND162" s="26"/>
      <c r="NE162" s="26"/>
      <c r="NF162" s="26"/>
      <c r="NG162" s="26"/>
      <c r="NH162" s="26"/>
      <c r="NI162" s="26"/>
      <c r="NJ162" s="26"/>
      <c r="NK162" s="26"/>
      <c r="NL162" s="26"/>
      <c r="NM162" s="26"/>
      <c r="NN162" s="26"/>
      <c r="NO162" s="26"/>
      <c r="NP162" s="26"/>
      <c r="NQ162" s="26"/>
      <c r="NR162" s="26"/>
      <c r="NS162" s="26"/>
      <c r="NT162" s="26"/>
      <c r="NU162" s="26"/>
      <c r="NV162" s="26"/>
      <c r="NW162" s="26"/>
      <c r="NX162" s="26"/>
      <c r="NY162" s="26"/>
      <c r="NZ162" s="26"/>
      <c r="OA162" s="26"/>
      <c r="OB162" s="26"/>
      <c r="OC162" s="26"/>
      <c r="OD162" s="26"/>
      <c r="OE162" s="26"/>
      <c r="OF162" s="26"/>
      <c r="OG162" s="26"/>
      <c r="OH162" s="26"/>
      <c r="OI162" s="26"/>
      <c r="OJ162" s="26"/>
      <c r="OK162" s="26"/>
      <c r="OL162" s="26"/>
      <c r="OM162" s="26"/>
      <c r="ON162" s="26"/>
      <c r="OO162" s="26"/>
      <c r="OP162" s="26"/>
      <c r="OQ162" s="26"/>
      <c r="OR162" s="26"/>
      <c r="OS162" s="26"/>
      <c r="OT162" s="26"/>
      <c r="OU162" s="26"/>
      <c r="OV162" s="26"/>
      <c r="OW162" s="26"/>
      <c r="OX162" s="26"/>
      <c r="OY162" s="26"/>
      <c r="OZ162" s="26"/>
      <c r="PA162" s="26"/>
      <c r="PB162" s="26"/>
      <c r="PC162" s="26"/>
      <c r="PD162" s="26"/>
      <c r="PE162" s="26"/>
      <c r="PF162" s="26"/>
      <c r="PG162" s="26"/>
      <c r="PH162" s="26"/>
      <c r="PI162" s="26"/>
      <c r="PJ162" s="26"/>
      <c r="PK162" s="26"/>
      <c r="PL162" s="26"/>
      <c r="PM162" s="26"/>
      <c r="PN162" s="26"/>
      <c r="PO162" s="26"/>
      <c r="PP162" s="26"/>
      <c r="PQ162" s="26"/>
      <c r="PR162" s="26"/>
      <c r="PS162" s="26"/>
      <c r="PT162" s="26"/>
      <c r="PU162" s="26"/>
      <c r="PV162" s="26"/>
      <c r="PW162" s="26"/>
      <c r="PX162" s="26"/>
      <c r="PY162" s="26"/>
      <c r="PZ162" s="26"/>
      <c r="QA162" s="26"/>
      <c r="QB162" s="26"/>
      <c r="QC162" s="26"/>
      <c r="QD162" s="26"/>
      <c r="QE162" s="26"/>
      <c r="QF162" s="26"/>
      <c r="QG162" s="26"/>
      <c r="QH162" s="26"/>
      <c r="QI162" s="26"/>
      <c r="QJ162" s="26"/>
      <c r="QK162" s="26"/>
      <c r="QL162" s="26"/>
      <c r="QM162" s="26"/>
      <c r="QN162" s="26"/>
      <c r="QO162" s="26"/>
      <c r="QP162" s="26"/>
      <c r="QQ162" s="26"/>
      <c r="QR162" s="26"/>
      <c r="QS162" s="26"/>
      <c r="QT162" s="26"/>
      <c r="QU162" s="26"/>
      <c r="QV162" s="26"/>
      <c r="QW162" s="26"/>
      <c r="QX162" s="26"/>
      <c r="QY162" s="26"/>
      <c r="QZ162" s="26"/>
      <c r="RA162" s="26"/>
      <c r="RB162" s="26"/>
      <c r="RC162" s="26"/>
      <c r="RD162" s="26"/>
      <c r="RE162" s="26"/>
      <c r="RF162" s="26"/>
      <c r="RG162" s="26"/>
      <c r="RH162" s="26"/>
      <c r="RI162" s="26"/>
      <c r="RJ162" s="26"/>
      <c r="RK162" s="26"/>
      <c r="RL162" s="26"/>
      <c r="RM162" s="26"/>
      <c r="RN162" s="26"/>
      <c r="RO162" s="26"/>
      <c r="RP162" s="26"/>
      <c r="RQ162" s="26"/>
      <c r="RR162" s="26"/>
      <c r="RS162" s="26"/>
      <c r="RT162" s="26"/>
      <c r="RU162" s="26"/>
      <c r="RV162" s="26"/>
      <c r="RW162" s="26"/>
      <c r="RX162" s="26"/>
      <c r="RY162" s="26"/>
      <c r="RZ162" s="26"/>
      <c r="SA162" s="26"/>
      <c r="SB162" s="26"/>
      <c r="SC162" s="26"/>
      <c r="SD162" s="26"/>
      <c r="SE162" s="26"/>
      <c r="SF162" s="26"/>
      <c r="SG162" s="26"/>
      <c r="SH162" s="26"/>
      <c r="SI162" s="26"/>
      <c r="SJ162" s="26"/>
      <c r="SK162" s="26"/>
      <c r="SL162" s="26"/>
      <c r="SM162" s="26"/>
      <c r="SN162" s="26"/>
      <c r="SO162" s="26"/>
      <c r="SP162" s="26"/>
      <c r="SQ162" s="26"/>
      <c r="SR162" s="26"/>
      <c r="SS162" s="26"/>
      <c r="ST162" s="26"/>
      <c r="SU162" s="26"/>
      <c r="SV162" s="26"/>
      <c r="SW162" s="26"/>
      <c r="SX162" s="26"/>
      <c r="SY162" s="26"/>
      <c r="SZ162" s="26"/>
      <c r="TA162" s="26"/>
      <c r="TB162" s="26"/>
      <c r="TC162" s="26"/>
      <c r="TD162" s="26"/>
      <c r="TE162" s="26"/>
      <c r="TF162" s="26"/>
      <c r="TG162" s="26"/>
      <c r="TH162" s="26"/>
      <c r="TI162" s="26"/>
    </row>
    <row r="163" spans="1:529" s="31" customFormat="1" ht="33.75" customHeight="1" x14ac:dyDescent="0.2">
      <c r="A163" s="76" t="s">
        <v>37</v>
      </c>
      <c r="B163" s="74"/>
      <c r="C163" s="74"/>
      <c r="D163" s="30" t="s">
        <v>47</v>
      </c>
      <c r="E163" s="66">
        <f>E164</f>
        <v>6146000</v>
      </c>
      <c r="F163" s="66">
        <f t="shared" ref="F163:J164" si="84">F164</f>
        <v>6146000</v>
      </c>
      <c r="G163" s="66">
        <f t="shared" si="84"/>
        <v>4779400</v>
      </c>
      <c r="H163" s="66">
        <f t="shared" si="84"/>
        <v>98300</v>
      </c>
      <c r="I163" s="66">
        <f t="shared" si="84"/>
        <v>0</v>
      </c>
      <c r="J163" s="66">
        <f t="shared" si="84"/>
        <v>160000</v>
      </c>
      <c r="K163" s="66">
        <f t="shared" ref="K163:K164" si="85">K164</f>
        <v>160000</v>
      </c>
      <c r="L163" s="66">
        <f t="shared" ref="L163:L164" si="86">L164</f>
        <v>0</v>
      </c>
      <c r="M163" s="66">
        <f t="shared" ref="M163:M164" si="87">M164</f>
        <v>0</v>
      </c>
      <c r="N163" s="66">
        <f t="shared" ref="N163:N164" si="88">N164</f>
        <v>0</v>
      </c>
      <c r="O163" s="66">
        <f t="shared" ref="O163:P164" si="89">O164</f>
        <v>160000</v>
      </c>
      <c r="P163" s="66">
        <f t="shared" si="89"/>
        <v>6306000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  <c r="IV163" s="38"/>
      <c r="IW163" s="38"/>
      <c r="IX163" s="38"/>
      <c r="IY163" s="38"/>
      <c r="IZ163" s="38"/>
      <c r="JA163" s="38"/>
      <c r="JB163" s="38"/>
      <c r="JC163" s="38"/>
      <c r="JD163" s="38"/>
      <c r="JE163" s="38"/>
      <c r="JF163" s="38"/>
      <c r="JG163" s="38"/>
      <c r="JH163" s="38"/>
      <c r="JI163" s="38"/>
      <c r="JJ163" s="38"/>
      <c r="JK163" s="38"/>
      <c r="JL163" s="38"/>
      <c r="JM163" s="38"/>
      <c r="JN163" s="38"/>
      <c r="JO163" s="38"/>
      <c r="JP163" s="38"/>
      <c r="JQ163" s="38"/>
      <c r="JR163" s="38"/>
      <c r="JS163" s="38"/>
      <c r="JT163" s="38"/>
      <c r="JU163" s="38"/>
      <c r="JV163" s="38"/>
      <c r="JW163" s="38"/>
      <c r="JX163" s="38"/>
      <c r="JY163" s="38"/>
      <c r="JZ163" s="38"/>
      <c r="KA163" s="38"/>
      <c r="KB163" s="38"/>
      <c r="KC163" s="38"/>
      <c r="KD163" s="38"/>
      <c r="KE163" s="38"/>
      <c r="KF163" s="38"/>
      <c r="KG163" s="38"/>
      <c r="KH163" s="38"/>
      <c r="KI163" s="38"/>
      <c r="KJ163" s="38"/>
      <c r="KK163" s="38"/>
      <c r="KL163" s="38"/>
      <c r="KM163" s="38"/>
      <c r="KN163" s="38"/>
      <c r="KO163" s="38"/>
      <c r="KP163" s="38"/>
      <c r="KQ163" s="38"/>
      <c r="KR163" s="38"/>
      <c r="KS163" s="38"/>
      <c r="KT163" s="38"/>
      <c r="KU163" s="38"/>
      <c r="KV163" s="38"/>
      <c r="KW163" s="38"/>
      <c r="KX163" s="38"/>
      <c r="KY163" s="38"/>
      <c r="KZ163" s="38"/>
      <c r="LA163" s="38"/>
      <c r="LB163" s="38"/>
      <c r="LC163" s="38"/>
      <c r="LD163" s="38"/>
      <c r="LE163" s="38"/>
      <c r="LF163" s="38"/>
      <c r="LG163" s="38"/>
      <c r="LH163" s="38"/>
      <c r="LI163" s="38"/>
      <c r="LJ163" s="38"/>
      <c r="LK163" s="38"/>
      <c r="LL163" s="38"/>
      <c r="LM163" s="38"/>
      <c r="LN163" s="38"/>
      <c r="LO163" s="38"/>
      <c r="LP163" s="38"/>
      <c r="LQ163" s="38"/>
      <c r="LR163" s="38"/>
      <c r="LS163" s="38"/>
      <c r="LT163" s="38"/>
      <c r="LU163" s="38"/>
      <c r="LV163" s="38"/>
      <c r="LW163" s="38"/>
      <c r="LX163" s="38"/>
      <c r="LY163" s="38"/>
      <c r="LZ163" s="38"/>
      <c r="MA163" s="38"/>
      <c r="MB163" s="38"/>
      <c r="MC163" s="38"/>
      <c r="MD163" s="38"/>
      <c r="ME163" s="38"/>
      <c r="MF163" s="38"/>
      <c r="MG163" s="38"/>
      <c r="MH163" s="38"/>
      <c r="MI163" s="38"/>
      <c r="MJ163" s="38"/>
      <c r="MK163" s="38"/>
      <c r="ML163" s="38"/>
      <c r="MM163" s="38"/>
      <c r="MN163" s="38"/>
      <c r="MO163" s="38"/>
      <c r="MP163" s="38"/>
      <c r="MQ163" s="38"/>
      <c r="MR163" s="38"/>
      <c r="MS163" s="38"/>
      <c r="MT163" s="38"/>
      <c r="MU163" s="38"/>
      <c r="MV163" s="38"/>
      <c r="MW163" s="38"/>
      <c r="MX163" s="38"/>
      <c r="MY163" s="38"/>
      <c r="MZ163" s="38"/>
      <c r="NA163" s="38"/>
      <c r="NB163" s="38"/>
      <c r="NC163" s="38"/>
      <c r="ND163" s="38"/>
      <c r="NE163" s="38"/>
      <c r="NF163" s="38"/>
      <c r="NG163" s="38"/>
      <c r="NH163" s="38"/>
      <c r="NI163" s="38"/>
      <c r="NJ163" s="38"/>
      <c r="NK163" s="38"/>
      <c r="NL163" s="38"/>
      <c r="NM163" s="38"/>
      <c r="NN163" s="38"/>
      <c r="NO163" s="38"/>
      <c r="NP163" s="38"/>
      <c r="NQ163" s="38"/>
      <c r="NR163" s="38"/>
      <c r="NS163" s="38"/>
      <c r="NT163" s="38"/>
      <c r="NU163" s="38"/>
      <c r="NV163" s="38"/>
      <c r="NW163" s="38"/>
      <c r="NX163" s="38"/>
      <c r="NY163" s="38"/>
      <c r="NZ163" s="38"/>
      <c r="OA163" s="38"/>
      <c r="OB163" s="38"/>
      <c r="OC163" s="38"/>
      <c r="OD163" s="38"/>
      <c r="OE163" s="38"/>
      <c r="OF163" s="38"/>
      <c r="OG163" s="38"/>
      <c r="OH163" s="38"/>
      <c r="OI163" s="38"/>
      <c r="OJ163" s="38"/>
      <c r="OK163" s="38"/>
      <c r="OL163" s="38"/>
      <c r="OM163" s="38"/>
      <c r="ON163" s="38"/>
      <c r="OO163" s="38"/>
      <c r="OP163" s="38"/>
      <c r="OQ163" s="38"/>
      <c r="OR163" s="38"/>
      <c r="OS163" s="38"/>
      <c r="OT163" s="38"/>
      <c r="OU163" s="38"/>
      <c r="OV163" s="38"/>
      <c r="OW163" s="38"/>
      <c r="OX163" s="38"/>
      <c r="OY163" s="38"/>
      <c r="OZ163" s="38"/>
      <c r="PA163" s="38"/>
      <c r="PB163" s="38"/>
      <c r="PC163" s="38"/>
      <c r="PD163" s="38"/>
      <c r="PE163" s="38"/>
      <c r="PF163" s="38"/>
      <c r="PG163" s="38"/>
      <c r="PH163" s="38"/>
      <c r="PI163" s="38"/>
      <c r="PJ163" s="38"/>
      <c r="PK163" s="38"/>
      <c r="PL163" s="38"/>
      <c r="PM163" s="38"/>
      <c r="PN163" s="38"/>
      <c r="PO163" s="38"/>
      <c r="PP163" s="38"/>
      <c r="PQ163" s="38"/>
      <c r="PR163" s="38"/>
      <c r="PS163" s="38"/>
      <c r="PT163" s="38"/>
      <c r="PU163" s="38"/>
      <c r="PV163" s="38"/>
      <c r="PW163" s="38"/>
      <c r="PX163" s="38"/>
      <c r="PY163" s="38"/>
      <c r="PZ163" s="38"/>
      <c r="QA163" s="38"/>
      <c r="QB163" s="38"/>
      <c r="QC163" s="38"/>
      <c r="QD163" s="38"/>
      <c r="QE163" s="38"/>
      <c r="QF163" s="38"/>
      <c r="QG163" s="38"/>
      <c r="QH163" s="38"/>
      <c r="QI163" s="38"/>
      <c r="QJ163" s="38"/>
      <c r="QK163" s="38"/>
      <c r="QL163" s="38"/>
      <c r="QM163" s="38"/>
      <c r="QN163" s="38"/>
      <c r="QO163" s="38"/>
      <c r="QP163" s="38"/>
      <c r="QQ163" s="38"/>
      <c r="QR163" s="38"/>
      <c r="QS163" s="38"/>
      <c r="QT163" s="38"/>
      <c r="QU163" s="38"/>
      <c r="QV163" s="38"/>
      <c r="QW163" s="38"/>
      <c r="QX163" s="38"/>
      <c r="QY163" s="38"/>
      <c r="QZ163" s="38"/>
      <c r="RA163" s="38"/>
      <c r="RB163" s="38"/>
      <c r="RC163" s="38"/>
      <c r="RD163" s="38"/>
      <c r="RE163" s="38"/>
      <c r="RF163" s="38"/>
      <c r="RG163" s="38"/>
      <c r="RH163" s="38"/>
      <c r="RI163" s="38"/>
      <c r="RJ163" s="38"/>
      <c r="RK163" s="38"/>
      <c r="RL163" s="38"/>
      <c r="RM163" s="38"/>
      <c r="RN163" s="38"/>
      <c r="RO163" s="38"/>
      <c r="RP163" s="38"/>
      <c r="RQ163" s="38"/>
      <c r="RR163" s="38"/>
      <c r="RS163" s="38"/>
      <c r="RT163" s="38"/>
      <c r="RU163" s="38"/>
      <c r="RV163" s="38"/>
      <c r="RW163" s="38"/>
      <c r="RX163" s="38"/>
      <c r="RY163" s="38"/>
      <c r="RZ163" s="38"/>
      <c r="SA163" s="38"/>
      <c r="SB163" s="38"/>
      <c r="SC163" s="38"/>
      <c r="SD163" s="38"/>
      <c r="SE163" s="38"/>
      <c r="SF163" s="38"/>
      <c r="SG163" s="38"/>
      <c r="SH163" s="38"/>
      <c r="SI163" s="38"/>
      <c r="SJ163" s="38"/>
      <c r="SK163" s="38"/>
      <c r="SL163" s="38"/>
      <c r="SM163" s="38"/>
      <c r="SN163" s="38"/>
      <c r="SO163" s="38"/>
      <c r="SP163" s="38"/>
      <c r="SQ163" s="38"/>
      <c r="SR163" s="38"/>
      <c r="SS163" s="38"/>
      <c r="ST163" s="38"/>
      <c r="SU163" s="38"/>
      <c r="SV163" s="38"/>
      <c r="SW163" s="38"/>
      <c r="SX163" s="38"/>
      <c r="SY163" s="38"/>
      <c r="SZ163" s="38"/>
      <c r="TA163" s="38"/>
      <c r="TB163" s="38"/>
      <c r="TC163" s="38"/>
      <c r="TD163" s="38"/>
      <c r="TE163" s="38"/>
      <c r="TF163" s="38"/>
      <c r="TG163" s="38"/>
      <c r="TH163" s="38"/>
      <c r="TI163" s="38"/>
    </row>
    <row r="164" spans="1:529" s="40" customFormat="1" ht="36.75" customHeight="1" x14ac:dyDescent="0.25">
      <c r="A164" s="77" t="s">
        <v>139</v>
      </c>
      <c r="B164" s="75"/>
      <c r="C164" s="75"/>
      <c r="D164" s="33" t="s">
        <v>47</v>
      </c>
      <c r="E164" s="68">
        <f>E165</f>
        <v>6146000</v>
      </c>
      <c r="F164" s="68">
        <f t="shared" si="84"/>
        <v>6146000</v>
      </c>
      <c r="G164" s="68">
        <f t="shared" si="84"/>
        <v>4779400</v>
      </c>
      <c r="H164" s="68">
        <f t="shared" si="84"/>
        <v>98300</v>
      </c>
      <c r="I164" s="68">
        <f t="shared" si="84"/>
        <v>0</v>
      </c>
      <c r="J164" s="68">
        <f t="shared" si="84"/>
        <v>160000</v>
      </c>
      <c r="K164" s="68">
        <f t="shared" si="85"/>
        <v>160000</v>
      </c>
      <c r="L164" s="68">
        <f t="shared" si="86"/>
        <v>0</v>
      </c>
      <c r="M164" s="68">
        <f t="shared" si="87"/>
        <v>0</v>
      </c>
      <c r="N164" s="68">
        <f t="shared" si="88"/>
        <v>0</v>
      </c>
      <c r="O164" s="68">
        <f t="shared" si="89"/>
        <v>160000</v>
      </c>
      <c r="P164" s="68">
        <f t="shared" si="89"/>
        <v>6306000</v>
      </c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  <c r="IK164" s="39"/>
      <c r="IL164" s="39"/>
      <c r="IM164" s="39"/>
      <c r="IN164" s="39"/>
      <c r="IO164" s="39"/>
      <c r="IP164" s="39"/>
      <c r="IQ164" s="39"/>
      <c r="IR164" s="39"/>
      <c r="IS164" s="39"/>
      <c r="IT164" s="39"/>
      <c r="IU164" s="39"/>
      <c r="IV164" s="39"/>
      <c r="IW164" s="39"/>
      <c r="IX164" s="39"/>
      <c r="IY164" s="39"/>
      <c r="IZ164" s="39"/>
      <c r="JA164" s="39"/>
      <c r="JB164" s="39"/>
      <c r="JC164" s="39"/>
      <c r="JD164" s="39"/>
      <c r="JE164" s="39"/>
      <c r="JF164" s="39"/>
      <c r="JG164" s="39"/>
      <c r="JH164" s="39"/>
      <c r="JI164" s="39"/>
      <c r="JJ164" s="39"/>
      <c r="JK164" s="39"/>
      <c r="JL164" s="39"/>
      <c r="JM164" s="39"/>
      <c r="JN164" s="39"/>
      <c r="JO164" s="39"/>
      <c r="JP164" s="39"/>
      <c r="JQ164" s="39"/>
      <c r="JR164" s="39"/>
      <c r="JS164" s="39"/>
      <c r="JT164" s="39"/>
      <c r="JU164" s="39"/>
      <c r="JV164" s="39"/>
      <c r="JW164" s="39"/>
      <c r="JX164" s="39"/>
      <c r="JY164" s="39"/>
      <c r="JZ164" s="39"/>
      <c r="KA164" s="39"/>
      <c r="KB164" s="39"/>
      <c r="KC164" s="39"/>
      <c r="KD164" s="39"/>
      <c r="KE164" s="39"/>
      <c r="KF164" s="39"/>
      <c r="KG164" s="39"/>
      <c r="KH164" s="39"/>
      <c r="KI164" s="39"/>
      <c r="KJ164" s="39"/>
      <c r="KK164" s="39"/>
      <c r="KL164" s="39"/>
      <c r="KM164" s="39"/>
      <c r="KN164" s="39"/>
      <c r="KO164" s="39"/>
      <c r="KP164" s="39"/>
      <c r="KQ164" s="39"/>
      <c r="KR164" s="39"/>
      <c r="KS164" s="39"/>
      <c r="KT164" s="39"/>
      <c r="KU164" s="39"/>
      <c r="KV164" s="39"/>
      <c r="KW164" s="39"/>
      <c r="KX164" s="39"/>
      <c r="KY164" s="39"/>
      <c r="KZ164" s="39"/>
      <c r="LA164" s="39"/>
      <c r="LB164" s="39"/>
      <c r="LC164" s="39"/>
      <c r="LD164" s="39"/>
      <c r="LE164" s="39"/>
      <c r="LF164" s="39"/>
      <c r="LG164" s="39"/>
      <c r="LH164" s="39"/>
      <c r="LI164" s="39"/>
      <c r="LJ164" s="39"/>
      <c r="LK164" s="39"/>
      <c r="LL164" s="39"/>
      <c r="LM164" s="39"/>
      <c r="LN164" s="39"/>
      <c r="LO164" s="39"/>
      <c r="LP164" s="39"/>
      <c r="LQ164" s="39"/>
      <c r="LR164" s="39"/>
      <c r="LS164" s="39"/>
      <c r="LT164" s="39"/>
      <c r="LU164" s="39"/>
      <c r="LV164" s="39"/>
      <c r="LW164" s="39"/>
      <c r="LX164" s="39"/>
      <c r="LY164" s="39"/>
      <c r="LZ164" s="39"/>
      <c r="MA164" s="39"/>
      <c r="MB164" s="39"/>
      <c r="MC164" s="39"/>
      <c r="MD164" s="39"/>
      <c r="ME164" s="39"/>
      <c r="MF164" s="39"/>
      <c r="MG164" s="39"/>
      <c r="MH164" s="39"/>
      <c r="MI164" s="39"/>
      <c r="MJ164" s="39"/>
      <c r="MK164" s="39"/>
      <c r="ML164" s="39"/>
      <c r="MM164" s="39"/>
      <c r="MN164" s="39"/>
      <c r="MO164" s="39"/>
      <c r="MP164" s="39"/>
      <c r="MQ164" s="39"/>
      <c r="MR164" s="39"/>
      <c r="MS164" s="39"/>
      <c r="MT164" s="39"/>
      <c r="MU164" s="39"/>
      <c r="MV164" s="39"/>
      <c r="MW164" s="39"/>
      <c r="MX164" s="39"/>
      <c r="MY164" s="39"/>
      <c r="MZ164" s="39"/>
      <c r="NA164" s="39"/>
      <c r="NB164" s="39"/>
      <c r="NC164" s="39"/>
      <c r="ND164" s="39"/>
      <c r="NE164" s="39"/>
      <c r="NF164" s="39"/>
      <c r="NG164" s="39"/>
      <c r="NH164" s="39"/>
      <c r="NI164" s="39"/>
      <c r="NJ164" s="39"/>
      <c r="NK164" s="39"/>
      <c r="NL164" s="39"/>
      <c r="NM164" s="39"/>
      <c r="NN164" s="39"/>
      <c r="NO164" s="39"/>
      <c r="NP164" s="39"/>
      <c r="NQ164" s="39"/>
      <c r="NR164" s="39"/>
      <c r="NS164" s="39"/>
      <c r="NT164" s="39"/>
      <c r="NU164" s="39"/>
      <c r="NV164" s="39"/>
      <c r="NW164" s="39"/>
      <c r="NX164" s="39"/>
      <c r="NY164" s="39"/>
      <c r="NZ164" s="39"/>
      <c r="OA164" s="39"/>
      <c r="OB164" s="39"/>
      <c r="OC164" s="39"/>
      <c r="OD164" s="39"/>
      <c r="OE164" s="39"/>
      <c r="OF164" s="39"/>
      <c r="OG164" s="39"/>
      <c r="OH164" s="39"/>
      <c r="OI164" s="39"/>
      <c r="OJ164" s="39"/>
      <c r="OK164" s="39"/>
      <c r="OL164" s="39"/>
      <c r="OM164" s="39"/>
      <c r="ON164" s="39"/>
      <c r="OO164" s="39"/>
      <c r="OP164" s="39"/>
      <c r="OQ164" s="39"/>
      <c r="OR164" s="39"/>
      <c r="OS164" s="39"/>
      <c r="OT164" s="39"/>
      <c r="OU164" s="39"/>
      <c r="OV164" s="39"/>
      <c r="OW164" s="39"/>
      <c r="OX164" s="39"/>
      <c r="OY164" s="39"/>
      <c r="OZ164" s="39"/>
      <c r="PA164" s="39"/>
      <c r="PB164" s="39"/>
      <c r="PC164" s="39"/>
      <c r="PD164" s="39"/>
      <c r="PE164" s="39"/>
      <c r="PF164" s="39"/>
      <c r="PG164" s="39"/>
      <c r="PH164" s="39"/>
      <c r="PI164" s="39"/>
      <c r="PJ164" s="39"/>
      <c r="PK164" s="39"/>
      <c r="PL164" s="39"/>
      <c r="PM164" s="39"/>
      <c r="PN164" s="39"/>
      <c r="PO164" s="39"/>
      <c r="PP164" s="39"/>
      <c r="PQ164" s="39"/>
      <c r="PR164" s="39"/>
      <c r="PS164" s="39"/>
      <c r="PT164" s="39"/>
      <c r="PU164" s="39"/>
      <c r="PV164" s="39"/>
      <c r="PW164" s="39"/>
      <c r="PX164" s="39"/>
      <c r="PY164" s="39"/>
      <c r="PZ164" s="39"/>
      <c r="QA164" s="39"/>
      <c r="QB164" s="39"/>
      <c r="QC164" s="39"/>
      <c r="QD164" s="39"/>
      <c r="QE164" s="39"/>
      <c r="QF164" s="39"/>
      <c r="QG164" s="39"/>
      <c r="QH164" s="39"/>
      <c r="QI164" s="39"/>
      <c r="QJ164" s="39"/>
      <c r="QK164" s="39"/>
      <c r="QL164" s="39"/>
      <c r="QM164" s="39"/>
      <c r="QN164" s="39"/>
      <c r="QO164" s="39"/>
      <c r="QP164" s="39"/>
      <c r="QQ164" s="39"/>
      <c r="QR164" s="39"/>
      <c r="QS164" s="39"/>
      <c r="QT164" s="39"/>
      <c r="QU164" s="39"/>
      <c r="QV164" s="39"/>
      <c r="QW164" s="39"/>
      <c r="QX164" s="39"/>
      <c r="QY164" s="39"/>
      <c r="QZ164" s="39"/>
      <c r="RA164" s="39"/>
      <c r="RB164" s="39"/>
      <c r="RC164" s="39"/>
      <c r="RD164" s="39"/>
      <c r="RE164" s="39"/>
      <c r="RF164" s="39"/>
      <c r="RG164" s="39"/>
      <c r="RH164" s="39"/>
      <c r="RI164" s="39"/>
      <c r="RJ164" s="39"/>
      <c r="RK164" s="39"/>
      <c r="RL164" s="39"/>
      <c r="RM164" s="39"/>
      <c r="RN164" s="39"/>
      <c r="RO164" s="39"/>
      <c r="RP164" s="39"/>
      <c r="RQ164" s="39"/>
      <c r="RR164" s="39"/>
      <c r="RS164" s="39"/>
      <c r="RT164" s="39"/>
      <c r="RU164" s="39"/>
      <c r="RV164" s="39"/>
      <c r="RW164" s="39"/>
      <c r="RX164" s="39"/>
      <c r="RY164" s="39"/>
      <c r="RZ164" s="39"/>
      <c r="SA164" s="39"/>
      <c r="SB164" s="39"/>
      <c r="SC164" s="39"/>
      <c r="SD164" s="39"/>
      <c r="SE164" s="39"/>
      <c r="SF164" s="39"/>
      <c r="SG164" s="39"/>
      <c r="SH164" s="39"/>
      <c r="SI164" s="39"/>
      <c r="SJ164" s="39"/>
      <c r="SK164" s="39"/>
      <c r="SL164" s="39"/>
      <c r="SM164" s="39"/>
      <c r="SN164" s="39"/>
      <c r="SO164" s="39"/>
      <c r="SP164" s="39"/>
      <c r="SQ164" s="39"/>
      <c r="SR164" s="39"/>
      <c r="SS164" s="39"/>
      <c r="ST164" s="39"/>
      <c r="SU164" s="39"/>
      <c r="SV164" s="39"/>
      <c r="SW164" s="39"/>
      <c r="SX164" s="39"/>
      <c r="SY164" s="39"/>
      <c r="SZ164" s="39"/>
      <c r="TA164" s="39"/>
      <c r="TB164" s="39"/>
      <c r="TC164" s="39"/>
      <c r="TD164" s="39"/>
      <c r="TE164" s="39"/>
      <c r="TF164" s="39"/>
      <c r="TG164" s="39"/>
      <c r="TH164" s="39"/>
      <c r="TI164" s="39"/>
    </row>
    <row r="165" spans="1:529" s="23" customFormat="1" ht="45" x14ac:dyDescent="0.25">
      <c r="A165" s="43" t="s">
        <v>0</v>
      </c>
      <c r="B165" s="44" t="str">
        <f>'дод 4'!A20</f>
        <v>0160</v>
      </c>
      <c r="C165" s="44" t="str">
        <f>'дод 4'!B20</f>
        <v>0111</v>
      </c>
      <c r="D165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65" s="69">
        <f>F165+I165</f>
        <v>6146000</v>
      </c>
      <c r="F165" s="69">
        <f>6462800+10100-315400-11500</f>
        <v>6146000</v>
      </c>
      <c r="G165" s="69">
        <f>5047300-258500-9400</f>
        <v>4779400</v>
      </c>
      <c r="H165" s="69">
        <v>98300</v>
      </c>
      <c r="I165" s="69"/>
      <c r="J165" s="69">
        <f>L165+O165</f>
        <v>160000</v>
      </c>
      <c r="K165" s="69">
        <v>160000</v>
      </c>
      <c r="L165" s="69"/>
      <c r="M165" s="69"/>
      <c r="N165" s="69"/>
      <c r="O165" s="69">
        <v>160000</v>
      </c>
      <c r="P165" s="69">
        <f>E165+J165</f>
        <v>6306000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  <c r="IW165" s="26"/>
      <c r="IX165" s="26"/>
      <c r="IY165" s="26"/>
      <c r="IZ165" s="26"/>
      <c r="JA165" s="26"/>
      <c r="JB165" s="26"/>
      <c r="JC165" s="26"/>
      <c r="JD165" s="26"/>
      <c r="JE165" s="26"/>
      <c r="JF165" s="26"/>
      <c r="JG165" s="26"/>
      <c r="JH165" s="26"/>
      <c r="JI165" s="26"/>
      <c r="JJ165" s="26"/>
      <c r="JK165" s="26"/>
      <c r="JL165" s="26"/>
      <c r="JM165" s="26"/>
      <c r="JN165" s="26"/>
      <c r="JO165" s="26"/>
      <c r="JP165" s="26"/>
      <c r="JQ165" s="26"/>
      <c r="JR165" s="26"/>
      <c r="JS165" s="26"/>
      <c r="JT165" s="26"/>
      <c r="JU165" s="26"/>
      <c r="JV165" s="26"/>
      <c r="JW165" s="26"/>
      <c r="JX165" s="26"/>
      <c r="JY165" s="26"/>
      <c r="JZ165" s="26"/>
      <c r="KA165" s="26"/>
      <c r="KB165" s="26"/>
      <c r="KC165" s="26"/>
      <c r="KD165" s="26"/>
      <c r="KE165" s="26"/>
      <c r="KF165" s="26"/>
      <c r="KG165" s="26"/>
      <c r="KH165" s="26"/>
      <c r="KI165" s="26"/>
      <c r="KJ165" s="26"/>
      <c r="KK165" s="26"/>
      <c r="KL165" s="26"/>
      <c r="KM165" s="26"/>
      <c r="KN165" s="26"/>
      <c r="KO165" s="26"/>
      <c r="KP165" s="26"/>
      <c r="KQ165" s="26"/>
      <c r="KR165" s="26"/>
      <c r="KS165" s="26"/>
      <c r="KT165" s="26"/>
      <c r="KU165" s="26"/>
      <c r="KV165" s="26"/>
      <c r="KW165" s="26"/>
      <c r="KX165" s="26"/>
      <c r="KY165" s="26"/>
      <c r="KZ165" s="26"/>
      <c r="LA165" s="26"/>
      <c r="LB165" s="26"/>
      <c r="LC165" s="26"/>
      <c r="LD165" s="26"/>
      <c r="LE165" s="26"/>
      <c r="LF165" s="26"/>
      <c r="LG165" s="26"/>
      <c r="LH165" s="26"/>
      <c r="LI165" s="26"/>
      <c r="LJ165" s="26"/>
      <c r="LK165" s="26"/>
      <c r="LL165" s="26"/>
      <c r="LM165" s="26"/>
      <c r="LN165" s="26"/>
      <c r="LO165" s="26"/>
      <c r="LP165" s="26"/>
      <c r="LQ165" s="26"/>
      <c r="LR165" s="26"/>
      <c r="LS165" s="26"/>
      <c r="LT165" s="26"/>
      <c r="LU165" s="26"/>
      <c r="LV165" s="26"/>
      <c r="LW165" s="26"/>
      <c r="LX165" s="26"/>
      <c r="LY165" s="26"/>
      <c r="LZ165" s="26"/>
      <c r="MA165" s="26"/>
      <c r="MB165" s="26"/>
      <c r="MC165" s="26"/>
      <c r="MD165" s="26"/>
      <c r="ME165" s="26"/>
      <c r="MF165" s="26"/>
      <c r="MG165" s="26"/>
      <c r="MH165" s="26"/>
      <c r="MI165" s="26"/>
      <c r="MJ165" s="26"/>
      <c r="MK165" s="26"/>
      <c r="ML165" s="26"/>
      <c r="MM165" s="26"/>
      <c r="MN165" s="26"/>
      <c r="MO165" s="26"/>
      <c r="MP165" s="26"/>
      <c r="MQ165" s="26"/>
      <c r="MR165" s="26"/>
      <c r="MS165" s="26"/>
      <c r="MT165" s="26"/>
      <c r="MU165" s="26"/>
      <c r="MV165" s="26"/>
      <c r="MW165" s="26"/>
      <c r="MX165" s="26"/>
      <c r="MY165" s="26"/>
      <c r="MZ165" s="26"/>
      <c r="NA165" s="26"/>
      <c r="NB165" s="26"/>
      <c r="NC165" s="26"/>
      <c r="ND165" s="26"/>
      <c r="NE165" s="26"/>
      <c r="NF165" s="26"/>
      <c r="NG165" s="26"/>
      <c r="NH165" s="26"/>
      <c r="NI165" s="26"/>
      <c r="NJ165" s="26"/>
      <c r="NK165" s="26"/>
      <c r="NL165" s="26"/>
      <c r="NM165" s="26"/>
      <c r="NN165" s="26"/>
      <c r="NO165" s="26"/>
      <c r="NP165" s="26"/>
      <c r="NQ165" s="26"/>
      <c r="NR165" s="26"/>
      <c r="NS165" s="26"/>
      <c r="NT165" s="26"/>
      <c r="NU165" s="26"/>
      <c r="NV165" s="26"/>
      <c r="NW165" s="26"/>
      <c r="NX165" s="26"/>
      <c r="NY165" s="26"/>
      <c r="NZ165" s="26"/>
      <c r="OA165" s="26"/>
      <c r="OB165" s="26"/>
      <c r="OC165" s="26"/>
      <c r="OD165" s="26"/>
      <c r="OE165" s="26"/>
      <c r="OF165" s="26"/>
      <c r="OG165" s="26"/>
      <c r="OH165" s="26"/>
      <c r="OI165" s="26"/>
      <c r="OJ165" s="26"/>
      <c r="OK165" s="26"/>
      <c r="OL165" s="26"/>
      <c r="OM165" s="26"/>
      <c r="ON165" s="26"/>
      <c r="OO165" s="26"/>
      <c r="OP165" s="26"/>
      <c r="OQ165" s="26"/>
      <c r="OR165" s="26"/>
      <c r="OS165" s="26"/>
      <c r="OT165" s="26"/>
      <c r="OU165" s="26"/>
      <c r="OV165" s="26"/>
      <c r="OW165" s="26"/>
      <c r="OX165" s="26"/>
      <c r="OY165" s="26"/>
      <c r="OZ165" s="26"/>
      <c r="PA165" s="26"/>
      <c r="PB165" s="26"/>
      <c r="PC165" s="26"/>
      <c r="PD165" s="26"/>
      <c r="PE165" s="26"/>
      <c r="PF165" s="26"/>
      <c r="PG165" s="26"/>
      <c r="PH165" s="26"/>
      <c r="PI165" s="26"/>
      <c r="PJ165" s="26"/>
      <c r="PK165" s="26"/>
      <c r="PL165" s="26"/>
      <c r="PM165" s="26"/>
      <c r="PN165" s="26"/>
      <c r="PO165" s="26"/>
      <c r="PP165" s="26"/>
      <c r="PQ165" s="26"/>
      <c r="PR165" s="26"/>
      <c r="PS165" s="26"/>
      <c r="PT165" s="26"/>
      <c r="PU165" s="26"/>
      <c r="PV165" s="26"/>
      <c r="PW165" s="26"/>
      <c r="PX165" s="26"/>
      <c r="PY165" s="26"/>
      <c r="PZ165" s="26"/>
      <c r="QA165" s="26"/>
      <c r="QB165" s="26"/>
      <c r="QC165" s="26"/>
      <c r="QD165" s="26"/>
      <c r="QE165" s="26"/>
      <c r="QF165" s="26"/>
      <c r="QG165" s="26"/>
      <c r="QH165" s="26"/>
      <c r="QI165" s="26"/>
      <c r="QJ165" s="26"/>
      <c r="QK165" s="26"/>
      <c r="QL165" s="26"/>
      <c r="QM165" s="26"/>
      <c r="QN165" s="26"/>
      <c r="QO165" s="26"/>
      <c r="QP165" s="26"/>
      <c r="QQ165" s="26"/>
      <c r="QR165" s="26"/>
      <c r="QS165" s="26"/>
      <c r="QT165" s="26"/>
      <c r="QU165" s="26"/>
      <c r="QV165" s="26"/>
      <c r="QW165" s="26"/>
      <c r="QX165" s="26"/>
      <c r="QY165" s="26"/>
      <c r="QZ165" s="26"/>
      <c r="RA165" s="26"/>
      <c r="RB165" s="26"/>
      <c r="RC165" s="26"/>
      <c r="RD165" s="26"/>
      <c r="RE165" s="26"/>
      <c r="RF165" s="26"/>
      <c r="RG165" s="26"/>
      <c r="RH165" s="26"/>
      <c r="RI165" s="26"/>
      <c r="RJ165" s="26"/>
      <c r="RK165" s="26"/>
      <c r="RL165" s="26"/>
      <c r="RM165" s="26"/>
      <c r="RN165" s="26"/>
      <c r="RO165" s="26"/>
      <c r="RP165" s="26"/>
      <c r="RQ165" s="26"/>
      <c r="RR165" s="26"/>
      <c r="RS165" s="26"/>
      <c r="RT165" s="26"/>
      <c r="RU165" s="26"/>
      <c r="RV165" s="26"/>
      <c r="RW165" s="26"/>
      <c r="RX165" s="26"/>
      <c r="RY165" s="26"/>
      <c r="RZ165" s="26"/>
      <c r="SA165" s="26"/>
      <c r="SB165" s="26"/>
      <c r="SC165" s="26"/>
      <c r="SD165" s="26"/>
      <c r="SE165" s="26"/>
      <c r="SF165" s="26"/>
      <c r="SG165" s="26"/>
      <c r="SH165" s="26"/>
      <c r="SI165" s="26"/>
      <c r="SJ165" s="26"/>
      <c r="SK165" s="26"/>
      <c r="SL165" s="26"/>
      <c r="SM165" s="26"/>
      <c r="SN165" s="26"/>
      <c r="SO165" s="26"/>
      <c r="SP165" s="26"/>
      <c r="SQ165" s="26"/>
      <c r="SR165" s="26"/>
      <c r="SS165" s="26"/>
      <c r="ST165" s="26"/>
      <c r="SU165" s="26"/>
      <c r="SV165" s="26"/>
      <c r="SW165" s="26"/>
      <c r="SX165" s="26"/>
      <c r="SY165" s="26"/>
      <c r="SZ165" s="26"/>
      <c r="TA165" s="26"/>
      <c r="TB165" s="26"/>
      <c r="TC165" s="26"/>
      <c r="TD165" s="26"/>
      <c r="TE165" s="26"/>
      <c r="TF165" s="26"/>
      <c r="TG165" s="26"/>
      <c r="TH165" s="26"/>
      <c r="TI165" s="26"/>
    </row>
    <row r="166" spans="1:529" s="31" customFormat="1" ht="34.5" customHeight="1" x14ac:dyDescent="0.2">
      <c r="A166" s="76" t="s">
        <v>39</v>
      </c>
      <c r="B166" s="74"/>
      <c r="C166" s="74"/>
      <c r="D166" s="30" t="s">
        <v>46</v>
      </c>
      <c r="E166" s="66">
        <f>E167</f>
        <v>3706717</v>
      </c>
      <c r="F166" s="66">
        <f t="shared" ref="F166:J166" si="90">F167</f>
        <v>3621811</v>
      </c>
      <c r="G166" s="66">
        <f t="shared" si="90"/>
        <v>1552300</v>
      </c>
      <c r="H166" s="66">
        <f t="shared" si="90"/>
        <v>0</v>
      </c>
      <c r="I166" s="66">
        <f t="shared" si="90"/>
        <v>84906</v>
      </c>
      <c r="J166" s="66">
        <f t="shared" si="90"/>
        <v>173274492.18000001</v>
      </c>
      <c r="K166" s="66">
        <f t="shared" ref="K166" si="91">K167</f>
        <v>159427220</v>
      </c>
      <c r="L166" s="66">
        <f t="shared" ref="L166" si="92">L167</f>
        <v>3200000</v>
      </c>
      <c r="M166" s="66">
        <f t="shared" ref="M166" si="93">M167</f>
        <v>2348000</v>
      </c>
      <c r="N166" s="66">
        <f t="shared" ref="N166" si="94">N167</f>
        <v>90600</v>
      </c>
      <c r="O166" s="66">
        <f t="shared" ref="O166:P166" si="95">O167</f>
        <v>170074492.18000001</v>
      </c>
      <c r="P166" s="66">
        <f t="shared" si="95"/>
        <v>176981209.18000001</v>
      </c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  <c r="IV166" s="38"/>
      <c r="IW166" s="38"/>
      <c r="IX166" s="38"/>
      <c r="IY166" s="38"/>
      <c r="IZ166" s="38"/>
      <c r="JA166" s="38"/>
      <c r="JB166" s="38"/>
      <c r="JC166" s="38"/>
      <c r="JD166" s="38"/>
      <c r="JE166" s="38"/>
      <c r="JF166" s="38"/>
      <c r="JG166" s="38"/>
      <c r="JH166" s="38"/>
      <c r="JI166" s="38"/>
      <c r="JJ166" s="38"/>
      <c r="JK166" s="38"/>
      <c r="JL166" s="38"/>
      <c r="JM166" s="38"/>
      <c r="JN166" s="38"/>
      <c r="JO166" s="38"/>
      <c r="JP166" s="38"/>
      <c r="JQ166" s="38"/>
      <c r="JR166" s="38"/>
      <c r="JS166" s="38"/>
      <c r="JT166" s="38"/>
      <c r="JU166" s="38"/>
      <c r="JV166" s="38"/>
      <c r="JW166" s="38"/>
      <c r="JX166" s="38"/>
      <c r="JY166" s="38"/>
      <c r="JZ166" s="38"/>
      <c r="KA166" s="38"/>
      <c r="KB166" s="38"/>
      <c r="KC166" s="38"/>
      <c r="KD166" s="38"/>
      <c r="KE166" s="38"/>
      <c r="KF166" s="38"/>
      <c r="KG166" s="38"/>
      <c r="KH166" s="38"/>
      <c r="KI166" s="38"/>
      <c r="KJ166" s="38"/>
      <c r="KK166" s="38"/>
      <c r="KL166" s="38"/>
      <c r="KM166" s="38"/>
      <c r="KN166" s="38"/>
      <c r="KO166" s="38"/>
      <c r="KP166" s="38"/>
      <c r="KQ166" s="38"/>
      <c r="KR166" s="38"/>
      <c r="KS166" s="38"/>
      <c r="KT166" s="38"/>
      <c r="KU166" s="38"/>
      <c r="KV166" s="38"/>
      <c r="KW166" s="38"/>
      <c r="KX166" s="38"/>
      <c r="KY166" s="38"/>
      <c r="KZ166" s="38"/>
      <c r="LA166" s="38"/>
      <c r="LB166" s="38"/>
      <c r="LC166" s="38"/>
      <c r="LD166" s="38"/>
      <c r="LE166" s="38"/>
      <c r="LF166" s="38"/>
      <c r="LG166" s="38"/>
      <c r="LH166" s="38"/>
      <c r="LI166" s="38"/>
      <c r="LJ166" s="38"/>
      <c r="LK166" s="38"/>
      <c r="LL166" s="38"/>
      <c r="LM166" s="38"/>
      <c r="LN166" s="38"/>
      <c r="LO166" s="38"/>
      <c r="LP166" s="38"/>
      <c r="LQ166" s="38"/>
      <c r="LR166" s="38"/>
      <c r="LS166" s="38"/>
      <c r="LT166" s="38"/>
      <c r="LU166" s="38"/>
      <c r="LV166" s="38"/>
      <c r="LW166" s="38"/>
      <c r="LX166" s="38"/>
      <c r="LY166" s="38"/>
      <c r="LZ166" s="38"/>
      <c r="MA166" s="38"/>
      <c r="MB166" s="38"/>
      <c r="MC166" s="38"/>
      <c r="MD166" s="38"/>
      <c r="ME166" s="38"/>
      <c r="MF166" s="38"/>
      <c r="MG166" s="38"/>
      <c r="MH166" s="38"/>
      <c r="MI166" s="38"/>
      <c r="MJ166" s="38"/>
      <c r="MK166" s="38"/>
      <c r="ML166" s="38"/>
      <c r="MM166" s="38"/>
      <c r="MN166" s="38"/>
      <c r="MO166" s="38"/>
      <c r="MP166" s="38"/>
      <c r="MQ166" s="38"/>
      <c r="MR166" s="38"/>
      <c r="MS166" s="38"/>
      <c r="MT166" s="38"/>
      <c r="MU166" s="38"/>
      <c r="MV166" s="38"/>
      <c r="MW166" s="38"/>
      <c r="MX166" s="38"/>
      <c r="MY166" s="38"/>
      <c r="MZ166" s="38"/>
      <c r="NA166" s="38"/>
      <c r="NB166" s="38"/>
      <c r="NC166" s="38"/>
      <c r="ND166" s="38"/>
      <c r="NE166" s="38"/>
      <c r="NF166" s="38"/>
      <c r="NG166" s="38"/>
      <c r="NH166" s="38"/>
      <c r="NI166" s="38"/>
      <c r="NJ166" s="38"/>
      <c r="NK166" s="38"/>
      <c r="NL166" s="38"/>
      <c r="NM166" s="38"/>
      <c r="NN166" s="38"/>
      <c r="NO166" s="38"/>
      <c r="NP166" s="38"/>
      <c r="NQ166" s="38"/>
      <c r="NR166" s="38"/>
      <c r="NS166" s="38"/>
      <c r="NT166" s="38"/>
      <c r="NU166" s="38"/>
      <c r="NV166" s="38"/>
      <c r="NW166" s="38"/>
      <c r="NX166" s="38"/>
      <c r="NY166" s="38"/>
      <c r="NZ166" s="38"/>
      <c r="OA166" s="38"/>
      <c r="OB166" s="38"/>
      <c r="OC166" s="38"/>
      <c r="OD166" s="38"/>
      <c r="OE166" s="38"/>
      <c r="OF166" s="38"/>
      <c r="OG166" s="38"/>
      <c r="OH166" s="38"/>
      <c r="OI166" s="38"/>
      <c r="OJ166" s="38"/>
      <c r="OK166" s="38"/>
      <c r="OL166" s="38"/>
      <c r="OM166" s="38"/>
      <c r="ON166" s="38"/>
      <c r="OO166" s="38"/>
      <c r="OP166" s="38"/>
      <c r="OQ166" s="38"/>
      <c r="OR166" s="38"/>
      <c r="OS166" s="38"/>
      <c r="OT166" s="38"/>
      <c r="OU166" s="38"/>
      <c r="OV166" s="38"/>
      <c r="OW166" s="38"/>
      <c r="OX166" s="38"/>
      <c r="OY166" s="38"/>
      <c r="OZ166" s="38"/>
      <c r="PA166" s="38"/>
      <c r="PB166" s="38"/>
      <c r="PC166" s="38"/>
      <c r="PD166" s="38"/>
      <c r="PE166" s="38"/>
      <c r="PF166" s="38"/>
      <c r="PG166" s="38"/>
      <c r="PH166" s="38"/>
      <c r="PI166" s="38"/>
      <c r="PJ166" s="38"/>
      <c r="PK166" s="38"/>
      <c r="PL166" s="38"/>
      <c r="PM166" s="38"/>
      <c r="PN166" s="38"/>
      <c r="PO166" s="38"/>
      <c r="PP166" s="38"/>
      <c r="PQ166" s="38"/>
      <c r="PR166" s="38"/>
      <c r="PS166" s="38"/>
      <c r="PT166" s="38"/>
      <c r="PU166" s="38"/>
      <c r="PV166" s="38"/>
      <c r="PW166" s="38"/>
      <c r="PX166" s="38"/>
      <c r="PY166" s="38"/>
      <c r="PZ166" s="38"/>
      <c r="QA166" s="38"/>
      <c r="QB166" s="38"/>
      <c r="QC166" s="38"/>
      <c r="QD166" s="38"/>
      <c r="QE166" s="38"/>
      <c r="QF166" s="38"/>
      <c r="QG166" s="38"/>
      <c r="QH166" s="38"/>
      <c r="QI166" s="38"/>
      <c r="QJ166" s="38"/>
      <c r="QK166" s="38"/>
      <c r="QL166" s="38"/>
      <c r="QM166" s="38"/>
      <c r="QN166" s="38"/>
      <c r="QO166" s="38"/>
      <c r="QP166" s="38"/>
      <c r="QQ166" s="38"/>
      <c r="QR166" s="38"/>
      <c r="QS166" s="38"/>
      <c r="QT166" s="38"/>
      <c r="QU166" s="38"/>
      <c r="QV166" s="38"/>
      <c r="QW166" s="38"/>
      <c r="QX166" s="38"/>
      <c r="QY166" s="38"/>
      <c r="QZ166" s="38"/>
      <c r="RA166" s="38"/>
      <c r="RB166" s="38"/>
      <c r="RC166" s="38"/>
      <c r="RD166" s="38"/>
      <c r="RE166" s="38"/>
      <c r="RF166" s="38"/>
      <c r="RG166" s="38"/>
      <c r="RH166" s="38"/>
      <c r="RI166" s="38"/>
      <c r="RJ166" s="38"/>
      <c r="RK166" s="38"/>
      <c r="RL166" s="38"/>
      <c r="RM166" s="38"/>
      <c r="RN166" s="38"/>
      <c r="RO166" s="38"/>
      <c r="RP166" s="38"/>
      <c r="RQ166" s="38"/>
      <c r="RR166" s="38"/>
      <c r="RS166" s="38"/>
      <c r="RT166" s="38"/>
      <c r="RU166" s="38"/>
      <c r="RV166" s="38"/>
      <c r="RW166" s="38"/>
      <c r="RX166" s="38"/>
      <c r="RY166" s="38"/>
      <c r="RZ166" s="38"/>
      <c r="SA166" s="38"/>
      <c r="SB166" s="38"/>
      <c r="SC166" s="38"/>
      <c r="SD166" s="38"/>
      <c r="SE166" s="38"/>
      <c r="SF166" s="38"/>
      <c r="SG166" s="38"/>
      <c r="SH166" s="38"/>
      <c r="SI166" s="38"/>
      <c r="SJ166" s="38"/>
      <c r="SK166" s="38"/>
      <c r="SL166" s="38"/>
      <c r="SM166" s="38"/>
      <c r="SN166" s="38"/>
      <c r="SO166" s="38"/>
      <c r="SP166" s="38"/>
      <c r="SQ166" s="38"/>
      <c r="SR166" s="38"/>
      <c r="SS166" s="38"/>
      <c r="ST166" s="38"/>
      <c r="SU166" s="38"/>
      <c r="SV166" s="38"/>
      <c r="SW166" s="38"/>
      <c r="SX166" s="38"/>
      <c r="SY166" s="38"/>
      <c r="SZ166" s="38"/>
      <c r="TA166" s="38"/>
      <c r="TB166" s="38"/>
      <c r="TC166" s="38"/>
      <c r="TD166" s="38"/>
      <c r="TE166" s="38"/>
      <c r="TF166" s="38"/>
      <c r="TG166" s="38"/>
      <c r="TH166" s="38"/>
      <c r="TI166" s="38"/>
    </row>
    <row r="167" spans="1:529" s="40" customFormat="1" ht="38.25" customHeight="1" x14ac:dyDescent="0.25">
      <c r="A167" s="77" t="s">
        <v>40</v>
      </c>
      <c r="B167" s="75"/>
      <c r="C167" s="75"/>
      <c r="D167" s="33" t="s">
        <v>46</v>
      </c>
      <c r="E167" s="68">
        <f>SUM(E168+E169+E170+E171+E172+E173+E175+E176+E177+E178+E174+E179)</f>
        <v>3706717</v>
      </c>
      <c r="F167" s="68">
        <f t="shared" ref="F167:P167" si="96">SUM(F168+F169+F170+F171+F172+F173+F175+F176+F177+F178+F174+F179)</f>
        <v>3621811</v>
      </c>
      <c r="G167" s="68">
        <f t="shared" si="96"/>
        <v>1552300</v>
      </c>
      <c r="H167" s="68">
        <f t="shared" si="96"/>
        <v>0</v>
      </c>
      <c r="I167" s="68">
        <f t="shared" si="96"/>
        <v>84906</v>
      </c>
      <c r="J167" s="68">
        <f t="shared" si="96"/>
        <v>173274492.18000001</v>
      </c>
      <c r="K167" s="68">
        <f t="shared" si="96"/>
        <v>159427220</v>
      </c>
      <c r="L167" s="68">
        <f t="shared" si="96"/>
        <v>3200000</v>
      </c>
      <c r="M167" s="68">
        <f t="shared" si="96"/>
        <v>2348000</v>
      </c>
      <c r="N167" s="68">
        <f t="shared" si="96"/>
        <v>90600</v>
      </c>
      <c r="O167" s="68">
        <f t="shared" si="96"/>
        <v>170074492.18000001</v>
      </c>
      <c r="P167" s="68">
        <f t="shared" si="96"/>
        <v>176981209.18000001</v>
      </c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  <c r="IV167" s="39"/>
      <c r="IW167" s="39"/>
      <c r="IX167" s="39"/>
      <c r="IY167" s="39"/>
      <c r="IZ167" s="39"/>
      <c r="JA167" s="39"/>
      <c r="JB167" s="39"/>
      <c r="JC167" s="39"/>
      <c r="JD167" s="39"/>
      <c r="JE167" s="39"/>
      <c r="JF167" s="39"/>
      <c r="JG167" s="39"/>
      <c r="JH167" s="39"/>
      <c r="JI167" s="39"/>
      <c r="JJ167" s="39"/>
      <c r="JK167" s="39"/>
      <c r="JL167" s="39"/>
      <c r="JM167" s="39"/>
      <c r="JN167" s="39"/>
      <c r="JO167" s="39"/>
      <c r="JP167" s="39"/>
      <c r="JQ167" s="39"/>
      <c r="JR167" s="39"/>
      <c r="JS167" s="39"/>
      <c r="JT167" s="39"/>
      <c r="JU167" s="39"/>
      <c r="JV167" s="39"/>
      <c r="JW167" s="39"/>
      <c r="JX167" s="39"/>
      <c r="JY167" s="39"/>
      <c r="JZ167" s="39"/>
      <c r="KA167" s="39"/>
      <c r="KB167" s="39"/>
      <c r="KC167" s="39"/>
      <c r="KD167" s="39"/>
      <c r="KE167" s="39"/>
      <c r="KF167" s="39"/>
      <c r="KG167" s="39"/>
      <c r="KH167" s="39"/>
      <c r="KI167" s="39"/>
      <c r="KJ167" s="39"/>
      <c r="KK167" s="39"/>
      <c r="KL167" s="39"/>
      <c r="KM167" s="39"/>
      <c r="KN167" s="39"/>
      <c r="KO167" s="39"/>
      <c r="KP167" s="39"/>
      <c r="KQ167" s="39"/>
      <c r="KR167" s="39"/>
      <c r="KS167" s="39"/>
      <c r="KT167" s="39"/>
      <c r="KU167" s="39"/>
      <c r="KV167" s="39"/>
      <c r="KW167" s="39"/>
      <c r="KX167" s="39"/>
      <c r="KY167" s="39"/>
      <c r="KZ167" s="39"/>
      <c r="LA167" s="39"/>
      <c r="LB167" s="39"/>
      <c r="LC167" s="39"/>
      <c r="LD167" s="39"/>
      <c r="LE167" s="39"/>
      <c r="LF167" s="39"/>
      <c r="LG167" s="39"/>
      <c r="LH167" s="39"/>
      <c r="LI167" s="39"/>
      <c r="LJ167" s="39"/>
      <c r="LK167" s="39"/>
      <c r="LL167" s="39"/>
      <c r="LM167" s="39"/>
      <c r="LN167" s="39"/>
      <c r="LO167" s="39"/>
      <c r="LP167" s="39"/>
      <c r="LQ167" s="39"/>
      <c r="LR167" s="39"/>
      <c r="LS167" s="39"/>
      <c r="LT167" s="39"/>
      <c r="LU167" s="39"/>
      <c r="LV167" s="39"/>
      <c r="LW167" s="39"/>
      <c r="LX167" s="39"/>
      <c r="LY167" s="39"/>
      <c r="LZ167" s="39"/>
      <c r="MA167" s="39"/>
      <c r="MB167" s="39"/>
      <c r="MC167" s="39"/>
      <c r="MD167" s="39"/>
      <c r="ME167" s="39"/>
      <c r="MF167" s="39"/>
      <c r="MG167" s="39"/>
      <c r="MH167" s="39"/>
      <c r="MI167" s="39"/>
      <c r="MJ167" s="39"/>
      <c r="MK167" s="39"/>
      <c r="ML167" s="39"/>
      <c r="MM167" s="39"/>
      <c r="MN167" s="39"/>
      <c r="MO167" s="39"/>
      <c r="MP167" s="39"/>
      <c r="MQ167" s="39"/>
      <c r="MR167" s="39"/>
      <c r="MS167" s="39"/>
      <c r="MT167" s="39"/>
      <c r="MU167" s="39"/>
      <c r="MV167" s="39"/>
      <c r="MW167" s="39"/>
      <c r="MX167" s="39"/>
      <c r="MY167" s="39"/>
      <c r="MZ167" s="39"/>
      <c r="NA167" s="39"/>
      <c r="NB167" s="39"/>
      <c r="NC167" s="39"/>
      <c r="ND167" s="39"/>
      <c r="NE167" s="39"/>
      <c r="NF167" s="39"/>
      <c r="NG167" s="39"/>
      <c r="NH167" s="39"/>
      <c r="NI167" s="39"/>
      <c r="NJ167" s="39"/>
      <c r="NK167" s="39"/>
      <c r="NL167" s="39"/>
      <c r="NM167" s="39"/>
      <c r="NN167" s="39"/>
      <c r="NO167" s="39"/>
      <c r="NP167" s="39"/>
      <c r="NQ167" s="39"/>
      <c r="NR167" s="39"/>
      <c r="NS167" s="39"/>
      <c r="NT167" s="39"/>
      <c r="NU167" s="39"/>
      <c r="NV167" s="39"/>
      <c r="NW167" s="39"/>
      <c r="NX167" s="39"/>
      <c r="NY167" s="39"/>
      <c r="NZ167" s="39"/>
      <c r="OA167" s="39"/>
      <c r="OB167" s="39"/>
      <c r="OC167" s="39"/>
      <c r="OD167" s="39"/>
      <c r="OE167" s="39"/>
      <c r="OF167" s="39"/>
      <c r="OG167" s="39"/>
      <c r="OH167" s="39"/>
      <c r="OI167" s="39"/>
      <c r="OJ167" s="39"/>
      <c r="OK167" s="39"/>
      <c r="OL167" s="39"/>
      <c r="OM167" s="39"/>
      <c r="ON167" s="39"/>
      <c r="OO167" s="39"/>
      <c r="OP167" s="39"/>
      <c r="OQ167" s="39"/>
      <c r="OR167" s="39"/>
      <c r="OS167" s="39"/>
      <c r="OT167" s="39"/>
      <c r="OU167" s="39"/>
      <c r="OV167" s="39"/>
      <c r="OW167" s="39"/>
      <c r="OX167" s="39"/>
      <c r="OY167" s="39"/>
      <c r="OZ167" s="39"/>
      <c r="PA167" s="39"/>
      <c r="PB167" s="39"/>
      <c r="PC167" s="39"/>
      <c r="PD167" s="39"/>
      <c r="PE167" s="39"/>
      <c r="PF167" s="39"/>
      <c r="PG167" s="39"/>
      <c r="PH167" s="39"/>
      <c r="PI167" s="39"/>
      <c r="PJ167" s="39"/>
      <c r="PK167" s="39"/>
      <c r="PL167" s="39"/>
      <c r="PM167" s="39"/>
      <c r="PN167" s="39"/>
      <c r="PO167" s="39"/>
      <c r="PP167" s="39"/>
      <c r="PQ167" s="39"/>
      <c r="PR167" s="39"/>
      <c r="PS167" s="39"/>
      <c r="PT167" s="39"/>
      <c r="PU167" s="39"/>
      <c r="PV167" s="39"/>
      <c r="PW167" s="39"/>
      <c r="PX167" s="39"/>
      <c r="PY167" s="39"/>
      <c r="PZ167" s="39"/>
      <c r="QA167" s="39"/>
      <c r="QB167" s="39"/>
      <c r="QC167" s="39"/>
      <c r="QD167" s="39"/>
      <c r="QE167" s="39"/>
      <c r="QF167" s="39"/>
      <c r="QG167" s="39"/>
      <c r="QH167" s="39"/>
      <c r="QI167" s="39"/>
      <c r="QJ167" s="39"/>
      <c r="QK167" s="39"/>
      <c r="QL167" s="39"/>
      <c r="QM167" s="39"/>
      <c r="QN167" s="39"/>
      <c r="QO167" s="39"/>
      <c r="QP167" s="39"/>
      <c r="QQ167" s="39"/>
      <c r="QR167" s="39"/>
      <c r="QS167" s="39"/>
      <c r="QT167" s="39"/>
      <c r="QU167" s="39"/>
      <c r="QV167" s="39"/>
      <c r="QW167" s="39"/>
      <c r="QX167" s="39"/>
      <c r="QY167" s="39"/>
      <c r="QZ167" s="39"/>
      <c r="RA167" s="39"/>
      <c r="RB167" s="39"/>
      <c r="RC167" s="39"/>
      <c r="RD167" s="39"/>
      <c r="RE167" s="39"/>
      <c r="RF167" s="39"/>
      <c r="RG167" s="39"/>
      <c r="RH167" s="39"/>
      <c r="RI167" s="39"/>
      <c r="RJ167" s="39"/>
      <c r="RK167" s="39"/>
      <c r="RL167" s="39"/>
      <c r="RM167" s="39"/>
      <c r="RN167" s="39"/>
      <c r="RO167" s="39"/>
      <c r="RP167" s="39"/>
      <c r="RQ167" s="39"/>
      <c r="RR167" s="39"/>
      <c r="RS167" s="39"/>
      <c r="RT167" s="39"/>
      <c r="RU167" s="39"/>
      <c r="RV167" s="39"/>
      <c r="RW167" s="39"/>
      <c r="RX167" s="39"/>
      <c r="RY167" s="39"/>
      <c r="RZ167" s="39"/>
      <c r="SA167" s="39"/>
      <c r="SB167" s="39"/>
      <c r="SC167" s="39"/>
      <c r="SD167" s="39"/>
      <c r="SE167" s="39"/>
      <c r="SF167" s="39"/>
      <c r="SG167" s="39"/>
      <c r="SH167" s="39"/>
      <c r="SI167" s="39"/>
      <c r="SJ167" s="39"/>
      <c r="SK167" s="39"/>
      <c r="SL167" s="39"/>
      <c r="SM167" s="39"/>
      <c r="SN167" s="39"/>
      <c r="SO167" s="39"/>
      <c r="SP167" s="39"/>
      <c r="SQ167" s="39"/>
      <c r="SR167" s="39"/>
      <c r="SS167" s="39"/>
      <c r="ST167" s="39"/>
      <c r="SU167" s="39"/>
      <c r="SV167" s="39"/>
      <c r="SW167" s="39"/>
      <c r="SX167" s="39"/>
      <c r="SY167" s="39"/>
      <c r="SZ167" s="39"/>
      <c r="TA167" s="39"/>
      <c r="TB167" s="39"/>
      <c r="TC167" s="39"/>
      <c r="TD167" s="39"/>
      <c r="TE167" s="39"/>
      <c r="TF167" s="39"/>
      <c r="TG167" s="39"/>
      <c r="TH167" s="39"/>
      <c r="TI167" s="39"/>
    </row>
    <row r="168" spans="1:529" s="23" customFormat="1" ht="44.25" customHeight="1" x14ac:dyDescent="0.25">
      <c r="A168" s="43" t="s">
        <v>170</v>
      </c>
      <c r="B168" s="44" t="str">
        <f>'дод 4'!A20</f>
        <v>0160</v>
      </c>
      <c r="C168" s="44" t="str">
        <f>'дод 4'!B20</f>
        <v>0111</v>
      </c>
      <c r="D168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68" s="69">
        <f t="shared" ref="E168:E179" si="97">F168+I168</f>
        <v>1893800</v>
      </c>
      <c r="F168" s="69">
        <f>1976700-82900</f>
        <v>1893800</v>
      </c>
      <c r="G168" s="69">
        <f>1620200-67900</f>
        <v>1552300</v>
      </c>
      <c r="H168" s="69"/>
      <c r="I168" s="69"/>
      <c r="J168" s="69">
        <f>L168+O168</f>
        <v>3200000</v>
      </c>
      <c r="K168" s="69"/>
      <c r="L168" s="69">
        <v>3200000</v>
      </c>
      <c r="M168" s="69">
        <v>2348000</v>
      </c>
      <c r="N168" s="69">
        <v>90600</v>
      </c>
      <c r="O168" s="69"/>
      <c r="P168" s="69">
        <f t="shared" ref="P168:P179" si="98">E168+J168</f>
        <v>5093800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  <c r="IW168" s="26"/>
      <c r="IX168" s="26"/>
      <c r="IY168" s="26"/>
      <c r="IZ168" s="26"/>
      <c r="JA168" s="26"/>
      <c r="JB168" s="26"/>
      <c r="JC168" s="26"/>
      <c r="JD168" s="26"/>
      <c r="JE168" s="26"/>
      <c r="JF168" s="26"/>
      <c r="JG168" s="26"/>
      <c r="JH168" s="26"/>
      <c r="JI168" s="26"/>
      <c r="JJ168" s="26"/>
      <c r="JK168" s="26"/>
      <c r="JL168" s="26"/>
      <c r="JM168" s="26"/>
      <c r="JN168" s="26"/>
      <c r="JO168" s="26"/>
      <c r="JP168" s="26"/>
      <c r="JQ168" s="26"/>
      <c r="JR168" s="26"/>
      <c r="JS168" s="26"/>
      <c r="JT168" s="26"/>
      <c r="JU168" s="26"/>
      <c r="JV168" s="26"/>
      <c r="JW168" s="26"/>
      <c r="JX168" s="26"/>
      <c r="JY168" s="26"/>
      <c r="JZ168" s="26"/>
      <c r="KA168" s="26"/>
      <c r="KB168" s="26"/>
      <c r="KC168" s="26"/>
      <c r="KD168" s="26"/>
      <c r="KE168" s="26"/>
      <c r="KF168" s="26"/>
      <c r="KG168" s="26"/>
      <c r="KH168" s="26"/>
      <c r="KI168" s="26"/>
      <c r="KJ168" s="26"/>
      <c r="KK168" s="26"/>
      <c r="KL168" s="26"/>
      <c r="KM168" s="26"/>
      <c r="KN168" s="26"/>
      <c r="KO168" s="26"/>
      <c r="KP168" s="26"/>
      <c r="KQ168" s="26"/>
      <c r="KR168" s="26"/>
      <c r="KS168" s="26"/>
      <c r="KT168" s="26"/>
      <c r="KU168" s="26"/>
      <c r="KV168" s="26"/>
      <c r="KW168" s="26"/>
      <c r="KX168" s="26"/>
      <c r="KY168" s="26"/>
      <c r="KZ168" s="26"/>
      <c r="LA168" s="26"/>
      <c r="LB168" s="26"/>
      <c r="LC168" s="26"/>
      <c r="LD168" s="26"/>
      <c r="LE168" s="26"/>
      <c r="LF168" s="26"/>
      <c r="LG168" s="26"/>
      <c r="LH168" s="26"/>
      <c r="LI168" s="26"/>
      <c r="LJ168" s="26"/>
      <c r="LK168" s="26"/>
      <c r="LL168" s="26"/>
      <c r="LM168" s="26"/>
      <c r="LN168" s="26"/>
      <c r="LO168" s="26"/>
      <c r="LP168" s="26"/>
      <c r="LQ168" s="26"/>
      <c r="LR168" s="26"/>
      <c r="LS168" s="26"/>
      <c r="LT168" s="26"/>
      <c r="LU168" s="26"/>
      <c r="LV168" s="26"/>
      <c r="LW168" s="26"/>
      <c r="LX168" s="26"/>
      <c r="LY168" s="26"/>
      <c r="LZ168" s="26"/>
      <c r="MA168" s="26"/>
      <c r="MB168" s="26"/>
      <c r="MC168" s="26"/>
      <c r="MD168" s="26"/>
      <c r="ME168" s="26"/>
      <c r="MF168" s="26"/>
      <c r="MG168" s="26"/>
      <c r="MH168" s="26"/>
      <c r="MI168" s="26"/>
      <c r="MJ168" s="26"/>
      <c r="MK168" s="26"/>
      <c r="ML168" s="26"/>
      <c r="MM168" s="26"/>
      <c r="MN168" s="26"/>
      <c r="MO168" s="26"/>
      <c r="MP168" s="26"/>
      <c r="MQ168" s="26"/>
      <c r="MR168" s="26"/>
      <c r="MS168" s="26"/>
      <c r="MT168" s="26"/>
      <c r="MU168" s="26"/>
      <c r="MV168" s="26"/>
      <c r="MW168" s="26"/>
      <c r="MX168" s="26"/>
      <c r="MY168" s="26"/>
      <c r="MZ168" s="26"/>
      <c r="NA168" s="26"/>
      <c r="NB168" s="26"/>
      <c r="NC168" s="26"/>
      <c r="ND168" s="26"/>
      <c r="NE168" s="26"/>
      <c r="NF168" s="26"/>
      <c r="NG168" s="26"/>
      <c r="NH168" s="26"/>
      <c r="NI168" s="26"/>
      <c r="NJ168" s="26"/>
      <c r="NK168" s="26"/>
      <c r="NL168" s="26"/>
      <c r="NM168" s="26"/>
      <c r="NN168" s="26"/>
      <c r="NO168" s="26"/>
      <c r="NP168" s="26"/>
      <c r="NQ168" s="26"/>
      <c r="NR168" s="26"/>
      <c r="NS168" s="26"/>
      <c r="NT168" s="26"/>
      <c r="NU168" s="26"/>
      <c r="NV168" s="26"/>
      <c r="NW168" s="26"/>
      <c r="NX168" s="26"/>
      <c r="NY168" s="26"/>
      <c r="NZ168" s="26"/>
      <c r="OA168" s="26"/>
      <c r="OB168" s="26"/>
      <c r="OC168" s="26"/>
      <c r="OD168" s="26"/>
      <c r="OE168" s="26"/>
      <c r="OF168" s="26"/>
      <c r="OG168" s="26"/>
      <c r="OH168" s="26"/>
      <c r="OI168" s="26"/>
      <c r="OJ168" s="26"/>
      <c r="OK168" s="26"/>
      <c r="OL168" s="26"/>
      <c r="OM168" s="26"/>
      <c r="ON168" s="26"/>
      <c r="OO168" s="26"/>
      <c r="OP168" s="26"/>
      <c r="OQ168" s="26"/>
      <c r="OR168" s="26"/>
      <c r="OS168" s="26"/>
      <c r="OT168" s="26"/>
      <c r="OU168" s="26"/>
      <c r="OV168" s="26"/>
      <c r="OW168" s="26"/>
      <c r="OX168" s="26"/>
      <c r="OY168" s="26"/>
      <c r="OZ168" s="26"/>
      <c r="PA168" s="26"/>
      <c r="PB168" s="26"/>
      <c r="PC168" s="26"/>
      <c r="PD168" s="26"/>
      <c r="PE168" s="26"/>
      <c r="PF168" s="26"/>
      <c r="PG168" s="26"/>
      <c r="PH168" s="26"/>
      <c r="PI168" s="26"/>
      <c r="PJ168" s="26"/>
      <c r="PK168" s="26"/>
      <c r="PL168" s="26"/>
      <c r="PM168" s="26"/>
      <c r="PN168" s="26"/>
      <c r="PO168" s="26"/>
      <c r="PP168" s="26"/>
      <c r="PQ168" s="26"/>
      <c r="PR168" s="26"/>
      <c r="PS168" s="26"/>
      <c r="PT168" s="26"/>
      <c r="PU168" s="26"/>
      <c r="PV168" s="26"/>
      <c r="PW168" s="26"/>
      <c r="PX168" s="26"/>
      <c r="PY168" s="26"/>
      <c r="PZ168" s="26"/>
      <c r="QA168" s="26"/>
      <c r="QB168" s="26"/>
      <c r="QC168" s="26"/>
      <c r="QD168" s="26"/>
      <c r="QE168" s="26"/>
      <c r="QF168" s="26"/>
      <c r="QG168" s="26"/>
      <c r="QH168" s="26"/>
      <c r="QI168" s="26"/>
      <c r="QJ168" s="26"/>
      <c r="QK168" s="26"/>
      <c r="QL168" s="26"/>
      <c r="QM168" s="26"/>
      <c r="QN168" s="26"/>
      <c r="QO168" s="26"/>
      <c r="QP168" s="26"/>
      <c r="QQ168" s="26"/>
      <c r="QR168" s="26"/>
      <c r="QS168" s="26"/>
      <c r="QT168" s="26"/>
      <c r="QU168" s="26"/>
      <c r="QV168" s="26"/>
      <c r="QW168" s="26"/>
      <c r="QX168" s="26"/>
      <c r="QY168" s="26"/>
      <c r="QZ168" s="26"/>
      <c r="RA168" s="26"/>
      <c r="RB168" s="26"/>
      <c r="RC168" s="26"/>
      <c r="RD168" s="26"/>
      <c r="RE168" s="26"/>
      <c r="RF168" s="26"/>
      <c r="RG168" s="26"/>
      <c r="RH168" s="26"/>
      <c r="RI168" s="26"/>
      <c r="RJ168" s="26"/>
      <c r="RK168" s="26"/>
      <c r="RL168" s="26"/>
      <c r="RM168" s="26"/>
      <c r="RN168" s="26"/>
      <c r="RO168" s="26"/>
      <c r="RP168" s="26"/>
      <c r="RQ168" s="26"/>
      <c r="RR168" s="26"/>
      <c r="RS168" s="26"/>
      <c r="RT168" s="26"/>
      <c r="RU168" s="26"/>
      <c r="RV168" s="26"/>
      <c r="RW168" s="26"/>
      <c r="RX168" s="26"/>
      <c r="RY168" s="26"/>
      <c r="RZ168" s="26"/>
      <c r="SA168" s="26"/>
      <c r="SB168" s="26"/>
      <c r="SC168" s="26"/>
      <c r="SD168" s="26"/>
      <c r="SE168" s="26"/>
      <c r="SF168" s="26"/>
      <c r="SG168" s="26"/>
      <c r="SH168" s="26"/>
      <c r="SI168" s="26"/>
      <c r="SJ168" s="26"/>
      <c r="SK168" s="26"/>
      <c r="SL168" s="26"/>
      <c r="SM168" s="26"/>
      <c r="SN168" s="26"/>
      <c r="SO168" s="26"/>
      <c r="SP168" s="26"/>
      <c r="SQ168" s="26"/>
      <c r="SR168" s="26"/>
      <c r="SS168" s="26"/>
      <c r="ST168" s="26"/>
      <c r="SU168" s="26"/>
      <c r="SV168" s="26"/>
      <c r="SW168" s="26"/>
      <c r="SX168" s="26"/>
      <c r="SY168" s="26"/>
      <c r="SZ168" s="26"/>
      <c r="TA168" s="26"/>
      <c r="TB168" s="26"/>
      <c r="TC168" s="26"/>
      <c r="TD168" s="26"/>
      <c r="TE168" s="26"/>
      <c r="TF168" s="26"/>
      <c r="TG168" s="26"/>
      <c r="TH168" s="26"/>
      <c r="TI168" s="26"/>
    </row>
    <row r="169" spans="1:529" s="23" customFormat="1" ht="22.5" customHeight="1" x14ac:dyDescent="0.25">
      <c r="A169" s="43" t="s">
        <v>242</v>
      </c>
      <c r="B169" s="44" t="str">
        <f>'дод 4'!A95</f>
        <v>6030</v>
      </c>
      <c r="C169" s="44" t="str">
        <f>'дод 4'!B95</f>
        <v>0620</v>
      </c>
      <c r="D169" s="24" t="str">
        <f>'дод 4'!C95</f>
        <v>Організація благоустрою населених пунктів</v>
      </c>
      <c r="E169" s="69">
        <f t="shared" si="97"/>
        <v>0</v>
      </c>
      <c r="F169" s="69"/>
      <c r="G169" s="69"/>
      <c r="H169" s="69"/>
      <c r="I169" s="69"/>
      <c r="J169" s="69">
        <f t="shared" ref="J169:J184" si="99">L169+O169</f>
        <v>15454000</v>
      </c>
      <c r="K169" s="69">
        <f>60000000-5000000-3750000-35796000</f>
        <v>15454000</v>
      </c>
      <c r="L169" s="69"/>
      <c r="M169" s="69"/>
      <c r="N169" s="69"/>
      <c r="O169" s="69">
        <f>60000000-5000000-3750000-35796000</f>
        <v>15454000</v>
      </c>
      <c r="P169" s="69">
        <f t="shared" si="98"/>
        <v>15454000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  <c r="JK169" s="26"/>
      <c r="JL169" s="26"/>
      <c r="JM169" s="26"/>
      <c r="JN169" s="26"/>
      <c r="JO169" s="26"/>
      <c r="JP169" s="26"/>
      <c r="JQ169" s="26"/>
      <c r="JR169" s="26"/>
      <c r="JS169" s="26"/>
      <c r="JT169" s="26"/>
      <c r="JU169" s="26"/>
      <c r="JV169" s="26"/>
      <c r="JW169" s="26"/>
      <c r="JX169" s="26"/>
      <c r="JY169" s="26"/>
      <c r="JZ169" s="26"/>
      <c r="KA169" s="26"/>
      <c r="KB169" s="26"/>
      <c r="KC169" s="26"/>
      <c r="KD169" s="26"/>
      <c r="KE169" s="26"/>
      <c r="KF169" s="26"/>
      <c r="KG169" s="26"/>
      <c r="KH169" s="26"/>
      <c r="KI169" s="26"/>
      <c r="KJ169" s="26"/>
      <c r="KK169" s="26"/>
      <c r="KL169" s="26"/>
      <c r="KM169" s="26"/>
      <c r="KN169" s="26"/>
      <c r="KO169" s="26"/>
      <c r="KP169" s="26"/>
      <c r="KQ169" s="26"/>
      <c r="KR169" s="26"/>
      <c r="KS169" s="26"/>
      <c r="KT169" s="26"/>
      <c r="KU169" s="26"/>
      <c r="KV169" s="26"/>
      <c r="KW169" s="26"/>
      <c r="KX169" s="26"/>
      <c r="KY169" s="26"/>
      <c r="KZ169" s="26"/>
      <c r="LA169" s="26"/>
      <c r="LB169" s="26"/>
      <c r="LC169" s="26"/>
      <c r="LD169" s="26"/>
      <c r="LE169" s="26"/>
      <c r="LF169" s="26"/>
      <c r="LG169" s="26"/>
      <c r="LH169" s="26"/>
      <c r="LI169" s="26"/>
      <c r="LJ169" s="26"/>
      <c r="LK169" s="26"/>
      <c r="LL169" s="26"/>
      <c r="LM169" s="26"/>
      <c r="LN169" s="26"/>
      <c r="LO169" s="26"/>
      <c r="LP169" s="26"/>
      <c r="LQ169" s="26"/>
      <c r="LR169" s="26"/>
      <c r="LS169" s="26"/>
      <c r="LT169" s="26"/>
      <c r="LU169" s="26"/>
      <c r="LV169" s="26"/>
      <c r="LW169" s="26"/>
      <c r="LX169" s="26"/>
      <c r="LY169" s="26"/>
      <c r="LZ169" s="26"/>
      <c r="MA169" s="26"/>
      <c r="MB169" s="26"/>
      <c r="MC169" s="26"/>
      <c r="MD169" s="26"/>
      <c r="ME169" s="26"/>
      <c r="MF169" s="26"/>
      <c r="MG169" s="26"/>
      <c r="MH169" s="26"/>
      <c r="MI169" s="26"/>
      <c r="MJ169" s="26"/>
      <c r="MK169" s="26"/>
      <c r="ML169" s="26"/>
      <c r="MM169" s="26"/>
      <c r="MN169" s="26"/>
      <c r="MO169" s="26"/>
      <c r="MP169" s="26"/>
      <c r="MQ169" s="26"/>
      <c r="MR169" s="26"/>
      <c r="MS169" s="26"/>
      <c r="MT169" s="26"/>
      <c r="MU169" s="26"/>
      <c r="MV169" s="26"/>
      <c r="MW169" s="26"/>
      <c r="MX169" s="26"/>
      <c r="MY169" s="26"/>
      <c r="MZ169" s="26"/>
      <c r="NA169" s="26"/>
      <c r="NB169" s="26"/>
      <c r="NC169" s="26"/>
      <c r="ND169" s="26"/>
      <c r="NE169" s="26"/>
      <c r="NF169" s="26"/>
      <c r="NG169" s="26"/>
      <c r="NH169" s="26"/>
      <c r="NI169" s="26"/>
      <c r="NJ169" s="26"/>
      <c r="NK169" s="26"/>
      <c r="NL169" s="26"/>
      <c r="NM169" s="26"/>
      <c r="NN169" s="26"/>
      <c r="NO169" s="26"/>
      <c r="NP169" s="26"/>
      <c r="NQ169" s="26"/>
      <c r="NR169" s="26"/>
      <c r="NS169" s="26"/>
      <c r="NT169" s="26"/>
      <c r="NU169" s="26"/>
      <c r="NV169" s="26"/>
      <c r="NW169" s="26"/>
      <c r="NX169" s="26"/>
      <c r="NY169" s="26"/>
      <c r="NZ169" s="26"/>
      <c r="OA169" s="26"/>
      <c r="OB169" s="26"/>
      <c r="OC169" s="26"/>
      <c r="OD169" s="26"/>
      <c r="OE169" s="26"/>
      <c r="OF169" s="26"/>
      <c r="OG169" s="26"/>
      <c r="OH169" s="26"/>
      <c r="OI169" s="26"/>
      <c r="OJ169" s="26"/>
      <c r="OK169" s="26"/>
      <c r="OL169" s="26"/>
      <c r="OM169" s="26"/>
      <c r="ON169" s="26"/>
      <c r="OO169" s="26"/>
      <c r="OP169" s="26"/>
      <c r="OQ169" s="26"/>
      <c r="OR169" s="26"/>
      <c r="OS169" s="26"/>
      <c r="OT169" s="26"/>
      <c r="OU169" s="26"/>
      <c r="OV169" s="26"/>
      <c r="OW169" s="26"/>
      <c r="OX169" s="26"/>
      <c r="OY169" s="26"/>
      <c r="OZ169" s="26"/>
      <c r="PA169" s="26"/>
      <c r="PB169" s="26"/>
      <c r="PC169" s="26"/>
      <c r="PD169" s="26"/>
      <c r="PE169" s="26"/>
      <c r="PF169" s="26"/>
      <c r="PG169" s="26"/>
      <c r="PH169" s="26"/>
      <c r="PI169" s="26"/>
      <c r="PJ169" s="26"/>
      <c r="PK169" s="26"/>
      <c r="PL169" s="26"/>
      <c r="PM169" s="26"/>
      <c r="PN169" s="26"/>
      <c r="PO169" s="26"/>
      <c r="PP169" s="26"/>
      <c r="PQ169" s="26"/>
      <c r="PR169" s="26"/>
      <c r="PS169" s="26"/>
      <c r="PT169" s="26"/>
      <c r="PU169" s="26"/>
      <c r="PV169" s="26"/>
      <c r="PW169" s="26"/>
      <c r="PX169" s="26"/>
      <c r="PY169" s="26"/>
      <c r="PZ169" s="26"/>
      <c r="QA169" s="26"/>
      <c r="QB169" s="26"/>
      <c r="QC169" s="26"/>
      <c r="QD169" s="26"/>
      <c r="QE169" s="26"/>
      <c r="QF169" s="26"/>
      <c r="QG169" s="26"/>
      <c r="QH169" s="26"/>
      <c r="QI169" s="26"/>
      <c r="QJ169" s="26"/>
      <c r="QK169" s="26"/>
      <c r="QL169" s="26"/>
      <c r="QM169" s="26"/>
      <c r="QN169" s="26"/>
      <c r="QO169" s="26"/>
      <c r="QP169" s="26"/>
      <c r="QQ169" s="26"/>
      <c r="QR169" s="26"/>
      <c r="QS169" s="26"/>
      <c r="QT169" s="26"/>
      <c r="QU169" s="26"/>
      <c r="QV169" s="26"/>
      <c r="QW169" s="26"/>
      <c r="QX169" s="26"/>
      <c r="QY169" s="26"/>
      <c r="QZ169" s="26"/>
      <c r="RA169" s="26"/>
      <c r="RB169" s="26"/>
      <c r="RC169" s="26"/>
      <c r="RD169" s="26"/>
      <c r="RE169" s="26"/>
      <c r="RF169" s="26"/>
      <c r="RG169" s="26"/>
      <c r="RH169" s="26"/>
      <c r="RI169" s="26"/>
      <c r="RJ169" s="26"/>
      <c r="RK169" s="26"/>
      <c r="RL169" s="26"/>
      <c r="RM169" s="26"/>
      <c r="RN169" s="26"/>
      <c r="RO169" s="26"/>
      <c r="RP169" s="26"/>
      <c r="RQ169" s="26"/>
      <c r="RR169" s="26"/>
      <c r="RS169" s="26"/>
      <c r="RT169" s="26"/>
      <c r="RU169" s="26"/>
      <c r="RV169" s="26"/>
      <c r="RW169" s="26"/>
      <c r="RX169" s="26"/>
      <c r="RY169" s="26"/>
      <c r="RZ169" s="26"/>
      <c r="SA169" s="26"/>
      <c r="SB169" s="26"/>
      <c r="SC169" s="26"/>
      <c r="SD169" s="26"/>
      <c r="SE169" s="26"/>
      <c r="SF169" s="26"/>
      <c r="SG169" s="26"/>
      <c r="SH169" s="26"/>
      <c r="SI169" s="26"/>
      <c r="SJ169" s="26"/>
      <c r="SK169" s="26"/>
      <c r="SL169" s="26"/>
      <c r="SM169" s="26"/>
      <c r="SN169" s="26"/>
      <c r="SO169" s="26"/>
      <c r="SP169" s="26"/>
      <c r="SQ169" s="26"/>
      <c r="SR169" s="26"/>
      <c r="SS169" s="26"/>
      <c r="ST169" s="26"/>
      <c r="SU169" s="26"/>
      <c r="SV169" s="26"/>
      <c r="SW169" s="26"/>
      <c r="SX169" s="26"/>
      <c r="SY169" s="26"/>
      <c r="SZ169" s="26"/>
      <c r="TA169" s="26"/>
      <c r="TB169" s="26"/>
      <c r="TC169" s="26"/>
      <c r="TD169" s="26"/>
      <c r="TE169" s="26"/>
      <c r="TF169" s="26"/>
      <c r="TG169" s="26"/>
      <c r="TH169" s="26"/>
      <c r="TI169" s="26"/>
    </row>
    <row r="170" spans="1:529" s="23" customFormat="1" ht="54.75" customHeight="1" x14ac:dyDescent="0.25">
      <c r="A170" s="43" t="s">
        <v>243</v>
      </c>
      <c r="B170" s="44" t="str">
        <f>'дод 4'!A96</f>
        <v>6084</v>
      </c>
      <c r="C170" s="44" t="str">
        <f>'дод 4'!B96</f>
        <v>0610</v>
      </c>
      <c r="D170" s="24" t="str">
        <f>'дод 4'!C96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70" s="69">
        <f t="shared" si="97"/>
        <v>84906</v>
      </c>
      <c r="F170" s="69"/>
      <c r="G170" s="69"/>
      <c r="H170" s="69"/>
      <c r="I170" s="69">
        <v>84906</v>
      </c>
      <c r="J170" s="69">
        <f t="shared" si="99"/>
        <v>77703.06</v>
      </c>
      <c r="K170" s="69"/>
      <c r="L170" s="71"/>
      <c r="M170" s="69"/>
      <c r="N170" s="69"/>
      <c r="O170" s="69">
        <f>46724+30979.06</f>
        <v>77703.06</v>
      </c>
      <c r="P170" s="69">
        <f t="shared" si="98"/>
        <v>162609.06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  <c r="JK170" s="26"/>
      <c r="JL170" s="26"/>
      <c r="JM170" s="26"/>
      <c r="JN170" s="26"/>
      <c r="JO170" s="26"/>
      <c r="JP170" s="26"/>
      <c r="JQ170" s="26"/>
      <c r="JR170" s="26"/>
      <c r="JS170" s="26"/>
      <c r="JT170" s="26"/>
      <c r="JU170" s="26"/>
      <c r="JV170" s="26"/>
      <c r="JW170" s="26"/>
      <c r="JX170" s="26"/>
      <c r="JY170" s="26"/>
      <c r="JZ170" s="26"/>
      <c r="KA170" s="26"/>
      <c r="KB170" s="26"/>
      <c r="KC170" s="26"/>
      <c r="KD170" s="26"/>
      <c r="KE170" s="26"/>
      <c r="KF170" s="26"/>
      <c r="KG170" s="26"/>
      <c r="KH170" s="26"/>
      <c r="KI170" s="26"/>
      <c r="KJ170" s="26"/>
      <c r="KK170" s="26"/>
      <c r="KL170" s="26"/>
      <c r="KM170" s="26"/>
      <c r="KN170" s="26"/>
      <c r="KO170" s="26"/>
      <c r="KP170" s="26"/>
      <c r="KQ170" s="26"/>
      <c r="KR170" s="26"/>
      <c r="KS170" s="26"/>
      <c r="KT170" s="26"/>
      <c r="KU170" s="26"/>
      <c r="KV170" s="26"/>
      <c r="KW170" s="26"/>
      <c r="KX170" s="26"/>
      <c r="KY170" s="26"/>
      <c r="KZ170" s="26"/>
      <c r="LA170" s="26"/>
      <c r="LB170" s="26"/>
      <c r="LC170" s="26"/>
      <c r="LD170" s="26"/>
      <c r="LE170" s="26"/>
      <c r="LF170" s="26"/>
      <c r="LG170" s="26"/>
      <c r="LH170" s="26"/>
      <c r="LI170" s="26"/>
      <c r="LJ170" s="26"/>
      <c r="LK170" s="26"/>
      <c r="LL170" s="26"/>
      <c r="LM170" s="26"/>
      <c r="LN170" s="26"/>
      <c r="LO170" s="26"/>
      <c r="LP170" s="26"/>
      <c r="LQ170" s="26"/>
      <c r="LR170" s="26"/>
      <c r="LS170" s="26"/>
      <c r="LT170" s="26"/>
      <c r="LU170" s="26"/>
      <c r="LV170" s="26"/>
      <c r="LW170" s="26"/>
      <c r="LX170" s="26"/>
      <c r="LY170" s="26"/>
      <c r="LZ170" s="26"/>
      <c r="MA170" s="26"/>
      <c r="MB170" s="26"/>
      <c r="MC170" s="26"/>
      <c r="MD170" s="26"/>
      <c r="ME170" s="26"/>
      <c r="MF170" s="26"/>
      <c r="MG170" s="26"/>
      <c r="MH170" s="26"/>
      <c r="MI170" s="26"/>
      <c r="MJ170" s="26"/>
      <c r="MK170" s="26"/>
      <c r="ML170" s="26"/>
      <c r="MM170" s="26"/>
      <c r="MN170" s="26"/>
      <c r="MO170" s="26"/>
      <c r="MP170" s="26"/>
      <c r="MQ170" s="26"/>
      <c r="MR170" s="26"/>
      <c r="MS170" s="26"/>
      <c r="MT170" s="26"/>
      <c r="MU170" s="26"/>
      <c r="MV170" s="26"/>
      <c r="MW170" s="26"/>
      <c r="MX170" s="26"/>
      <c r="MY170" s="26"/>
      <c r="MZ170" s="26"/>
      <c r="NA170" s="26"/>
      <c r="NB170" s="26"/>
      <c r="NC170" s="26"/>
      <c r="ND170" s="26"/>
      <c r="NE170" s="26"/>
      <c r="NF170" s="26"/>
      <c r="NG170" s="26"/>
      <c r="NH170" s="26"/>
      <c r="NI170" s="26"/>
      <c r="NJ170" s="26"/>
      <c r="NK170" s="26"/>
      <c r="NL170" s="26"/>
      <c r="NM170" s="26"/>
      <c r="NN170" s="26"/>
      <c r="NO170" s="26"/>
      <c r="NP170" s="26"/>
      <c r="NQ170" s="26"/>
      <c r="NR170" s="26"/>
      <c r="NS170" s="26"/>
      <c r="NT170" s="26"/>
      <c r="NU170" s="26"/>
      <c r="NV170" s="26"/>
      <c r="NW170" s="26"/>
      <c r="NX170" s="26"/>
      <c r="NY170" s="26"/>
      <c r="NZ170" s="26"/>
      <c r="OA170" s="26"/>
      <c r="OB170" s="26"/>
      <c r="OC170" s="26"/>
      <c r="OD170" s="26"/>
      <c r="OE170" s="26"/>
      <c r="OF170" s="26"/>
      <c r="OG170" s="26"/>
      <c r="OH170" s="26"/>
      <c r="OI170" s="26"/>
      <c r="OJ170" s="26"/>
      <c r="OK170" s="26"/>
      <c r="OL170" s="26"/>
      <c r="OM170" s="26"/>
      <c r="ON170" s="26"/>
      <c r="OO170" s="26"/>
      <c r="OP170" s="26"/>
      <c r="OQ170" s="26"/>
      <c r="OR170" s="26"/>
      <c r="OS170" s="26"/>
      <c r="OT170" s="26"/>
      <c r="OU170" s="26"/>
      <c r="OV170" s="26"/>
      <c r="OW170" s="26"/>
      <c r="OX170" s="26"/>
      <c r="OY170" s="26"/>
      <c r="OZ170" s="26"/>
      <c r="PA170" s="26"/>
      <c r="PB170" s="26"/>
      <c r="PC170" s="26"/>
      <c r="PD170" s="26"/>
      <c r="PE170" s="26"/>
      <c r="PF170" s="26"/>
      <c r="PG170" s="26"/>
      <c r="PH170" s="26"/>
      <c r="PI170" s="26"/>
      <c r="PJ170" s="26"/>
      <c r="PK170" s="26"/>
      <c r="PL170" s="26"/>
      <c r="PM170" s="26"/>
      <c r="PN170" s="26"/>
      <c r="PO170" s="26"/>
      <c r="PP170" s="26"/>
      <c r="PQ170" s="26"/>
      <c r="PR170" s="26"/>
      <c r="PS170" s="26"/>
      <c r="PT170" s="26"/>
      <c r="PU170" s="26"/>
      <c r="PV170" s="26"/>
      <c r="PW170" s="26"/>
      <c r="PX170" s="26"/>
      <c r="PY170" s="26"/>
      <c r="PZ170" s="26"/>
      <c r="QA170" s="26"/>
      <c r="QB170" s="26"/>
      <c r="QC170" s="26"/>
      <c r="QD170" s="26"/>
      <c r="QE170" s="26"/>
      <c r="QF170" s="26"/>
      <c r="QG170" s="26"/>
      <c r="QH170" s="26"/>
      <c r="QI170" s="26"/>
      <c r="QJ170" s="26"/>
      <c r="QK170" s="26"/>
      <c r="QL170" s="26"/>
      <c r="QM170" s="26"/>
      <c r="QN170" s="26"/>
      <c r="QO170" s="26"/>
      <c r="QP170" s="26"/>
      <c r="QQ170" s="26"/>
      <c r="QR170" s="26"/>
      <c r="QS170" s="26"/>
      <c r="QT170" s="26"/>
      <c r="QU170" s="26"/>
      <c r="QV170" s="26"/>
      <c r="QW170" s="26"/>
      <c r="QX170" s="26"/>
      <c r="QY170" s="26"/>
      <c r="QZ170" s="26"/>
      <c r="RA170" s="26"/>
      <c r="RB170" s="26"/>
      <c r="RC170" s="26"/>
      <c r="RD170" s="26"/>
      <c r="RE170" s="26"/>
      <c r="RF170" s="26"/>
      <c r="RG170" s="26"/>
      <c r="RH170" s="26"/>
      <c r="RI170" s="26"/>
      <c r="RJ170" s="26"/>
      <c r="RK170" s="26"/>
      <c r="RL170" s="26"/>
      <c r="RM170" s="26"/>
      <c r="RN170" s="26"/>
      <c r="RO170" s="26"/>
      <c r="RP170" s="26"/>
      <c r="RQ170" s="26"/>
      <c r="RR170" s="26"/>
      <c r="RS170" s="26"/>
      <c r="RT170" s="26"/>
      <c r="RU170" s="26"/>
      <c r="RV170" s="26"/>
      <c r="RW170" s="26"/>
      <c r="RX170" s="26"/>
      <c r="RY170" s="26"/>
      <c r="RZ170" s="26"/>
      <c r="SA170" s="26"/>
      <c r="SB170" s="26"/>
      <c r="SC170" s="26"/>
      <c r="SD170" s="26"/>
      <c r="SE170" s="26"/>
      <c r="SF170" s="26"/>
      <c r="SG170" s="26"/>
      <c r="SH170" s="26"/>
      <c r="SI170" s="26"/>
      <c r="SJ170" s="26"/>
      <c r="SK170" s="26"/>
      <c r="SL170" s="26"/>
      <c r="SM170" s="26"/>
      <c r="SN170" s="26"/>
      <c r="SO170" s="26"/>
      <c r="SP170" s="26"/>
      <c r="SQ170" s="26"/>
      <c r="SR170" s="26"/>
      <c r="SS170" s="26"/>
      <c r="ST170" s="26"/>
      <c r="SU170" s="26"/>
      <c r="SV170" s="26"/>
      <c r="SW170" s="26"/>
      <c r="SX170" s="26"/>
      <c r="SY170" s="26"/>
      <c r="SZ170" s="26"/>
      <c r="TA170" s="26"/>
      <c r="TB170" s="26"/>
      <c r="TC170" s="26"/>
      <c r="TD170" s="26"/>
      <c r="TE170" s="26"/>
      <c r="TF170" s="26"/>
      <c r="TG170" s="26"/>
      <c r="TH170" s="26"/>
      <c r="TI170" s="26"/>
    </row>
    <row r="171" spans="1:529" s="23" customFormat="1" ht="33.75" customHeight="1" x14ac:dyDescent="0.25">
      <c r="A171" s="43" t="s">
        <v>318</v>
      </c>
      <c r="B171" s="44" t="str">
        <f>'дод 4'!A104</f>
        <v>7310</v>
      </c>
      <c r="C171" s="44" t="str">
        <f>'дод 4'!B104</f>
        <v>0443</v>
      </c>
      <c r="D171" s="24" t="str">
        <f>'дод 4'!C104</f>
        <v>Будівництво об'єктів житлово-комунального господарства</v>
      </c>
      <c r="E171" s="69">
        <f t="shared" si="97"/>
        <v>0</v>
      </c>
      <c r="F171" s="69"/>
      <c r="G171" s="69"/>
      <c r="H171" s="69"/>
      <c r="I171" s="69"/>
      <c r="J171" s="69">
        <f t="shared" si="99"/>
        <v>4590000</v>
      </c>
      <c r="K171" s="69">
        <f>3000000+1590000</f>
        <v>4590000</v>
      </c>
      <c r="L171" s="69"/>
      <c r="M171" s="69"/>
      <c r="N171" s="69"/>
      <c r="O171" s="69">
        <f>3000000+1590000</f>
        <v>4590000</v>
      </c>
      <c r="P171" s="69">
        <f t="shared" si="98"/>
        <v>4590000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  <c r="IW171" s="26"/>
      <c r="IX171" s="26"/>
      <c r="IY171" s="26"/>
      <c r="IZ171" s="26"/>
      <c r="JA171" s="26"/>
      <c r="JB171" s="26"/>
      <c r="JC171" s="26"/>
      <c r="JD171" s="26"/>
      <c r="JE171" s="26"/>
      <c r="JF171" s="26"/>
      <c r="JG171" s="26"/>
      <c r="JH171" s="26"/>
      <c r="JI171" s="26"/>
      <c r="JJ171" s="26"/>
      <c r="JK171" s="26"/>
      <c r="JL171" s="26"/>
      <c r="JM171" s="26"/>
      <c r="JN171" s="26"/>
      <c r="JO171" s="26"/>
      <c r="JP171" s="26"/>
      <c r="JQ171" s="26"/>
      <c r="JR171" s="26"/>
      <c r="JS171" s="26"/>
      <c r="JT171" s="26"/>
      <c r="JU171" s="26"/>
      <c r="JV171" s="26"/>
      <c r="JW171" s="26"/>
      <c r="JX171" s="26"/>
      <c r="JY171" s="26"/>
      <c r="JZ171" s="26"/>
      <c r="KA171" s="26"/>
      <c r="KB171" s="26"/>
      <c r="KC171" s="26"/>
      <c r="KD171" s="26"/>
      <c r="KE171" s="26"/>
      <c r="KF171" s="26"/>
      <c r="KG171" s="26"/>
      <c r="KH171" s="26"/>
      <c r="KI171" s="26"/>
      <c r="KJ171" s="26"/>
      <c r="KK171" s="26"/>
      <c r="KL171" s="26"/>
      <c r="KM171" s="26"/>
      <c r="KN171" s="26"/>
      <c r="KO171" s="26"/>
      <c r="KP171" s="26"/>
      <c r="KQ171" s="26"/>
      <c r="KR171" s="26"/>
      <c r="KS171" s="26"/>
      <c r="KT171" s="26"/>
      <c r="KU171" s="26"/>
      <c r="KV171" s="26"/>
      <c r="KW171" s="26"/>
      <c r="KX171" s="26"/>
      <c r="KY171" s="26"/>
      <c r="KZ171" s="26"/>
      <c r="LA171" s="26"/>
      <c r="LB171" s="26"/>
      <c r="LC171" s="26"/>
      <c r="LD171" s="26"/>
      <c r="LE171" s="26"/>
      <c r="LF171" s="26"/>
      <c r="LG171" s="26"/>
      <c r="LH171" s="26"/>
      <c r="LI171" s="26"/>
      <c r="LJ171" s="26"/>
      <c r="LK171" s="26"/>
      <c r="LL171" s="26"/>
      <c r="LM171" s="26"/>
      <c r="LN171" s="26"/>
      <c r="LO171" s="26"/>
      <c r="LP171" s="26"/>
      <c r="LQ171" s="26"/>
      <c r="LR171" s="26"/>
      <c r="LS171" s="26"/>
      <c r="LT171" s="26"/>
      <c r="LU171" s="26"/>
      <c r="LV171" s="26"/>
      <c r="LW171" s="26"/>
      <c r="LX171" s="26"/>
      <c r="LY171" s="26"/>
      <c r="LZ171" s="26"/>
      <c r="MA171" s="26"/>
      <c r="MB171" s="26"/>
      <c r="MC171" s="26"/>
      <c r="MD171" s="26"/>
      <c r="ME171" s="26"/>
      <c r="MF171" s="26"/>
      <c r="MG171" s="26"/>
      <c r="MH171" s="26"/>
      <c r="MI171" s="26"/>
      <c r="MJ171" s="26"/>
      <c r="MK171" s="26"/>
      <c r="ML171" s="26"/>
      <c r="MM171" s="26"/>
      <c r="MN171" s="26"/>
      <c r="MO171" s="26"/>
      <c r="MP171" s="26"/>
      <c r="MQ171" s="26"/>
      <c r="MR171" s="26"/>
      <c r="MS171" s="26"/>
      <c r="MT171" s="26"/>
      <c r="MU171" s="26"/>
      <c r="MV171" s="26"/>
      <c r="MW171" s="26"/>
      <c r="MX171" s="26"/>
      <c r="MY171" s="26"/>
      <c r="MZ171" s="26"/>
      <c r="NA171" s="26"/>
      <c r="NB171" s="26"/>
      <c r="NC171" s="26"/>
      <c r="ND171" s="26"/>
      <c r="NE171" s="26"/>
      <c r="NF171" s="26"/>
      <c r="NG171" s="26"/>
      <c r="NH171" s="26"/>
      <c r="NI171" s="26"/>
      <c r="NJ171" s="26"/>
      <c r="NK171" s="26"/>
      <c r="NL171" s="26"/>
      <c r="NM171" s="26"/>
      <c r="NN171" s="26"/>
      <c r="NO171" s="26"/>
      <c r="NP171" s="26"/>
      <c r="NQ171" s="26"/>
      <c r="NR171" s="26"/>
      <c r="NS171" s="26"/>
      <c r="NT171" s="26"/>
      <c r="NU171" s="26"/>
      <c r="NV171" s="26"/>
      <c r="NW171" s="26"/>
      <c r="NX171" s="26"/>
      <c r="NY171" s="26"/>
      <c r="NZ171" s="26"/>
      <c r="OA171" s="26"/>
      <c r="OB171" s="26"/>
      <c r="OC171" s="26"/>
      <c r="OD171" s="26"/>
      <c r="OE171" s="26"/>
      <c r="OF171" s="26"/>
      <c r="OG171" s="26"/>
      <c r="OH171" s="26"/>
      <c r="OI171" s="26"/>
      <c r="OJ171" s="26"/>
      <c r="OK171" s="26"/>
      <c r="OL171" s="26"/>
      <c r="OM171" s="26"/>
      <c r="ON171" s="26"/>
      <c r="OO171" s="26"/>
      <c r="OP171" s="26"/>
      <c r="OQ171" s="26"/>
      <c r="OR171" s="26"/>
      <c r="OS171" s="26"/>
      <c r="OT171" s="26"/>
      <c r="OU171" s="26"/>
      <c r="OV171" s="26"/>
      <c r="OW171" s="26"/>
      <c r="OX171" s="26"/>
      <c r="OY171" s="26"/>
      <c r="OZ171" s="26"/>
      <c r="PA171" s="26"/>
      <c r="PB171" s="26"/>
      <c r="PC171" s="26"/>
      <c r="PD171" s="26"/>
      <c r="PE171" s="26"/>
      <c r="PF171" s="26"/>
      <c r="PG171" s="26"/>
      <c r="PH171" s="26"/>
      <c r="PI171" s="26"/>
      <c r="PJ171" s="26"/>
      <c r="PK171" s="26"/>
      <c r="PL171" s="26"/>
      <c r="PM171" s="26"/>
      <c r="PN171" s="26"/>
      <c r="PO171" s="26"/>
      <c r="PP171" s="26"/>
      <c r="PQ171" s="26"/>
      <c r="PR171" s="26"/>
      <c r="PS171" s="26"/>
      <c r="PT171" s="26"/>
      <c r="PU171" s="26"/>
      <c r="PV171" s="26"/>
      <c r="PW171" s="26"/>
      <c r="PX171" s="26"/>
      <c r="PY171" s="26"/>
      <c r="PZ171" s="26"/>
      <c r="QA171" s="26"/>
      <c r="QB171" s="26"/>
      <c r="QC171" s="26"/>
      <c r="QD171" s="26"/>
      <c r="QE171" s="26"/>
      <c r="QF171" s="26"/>
      <c r="QG171" s="26"/>
      <c r="QH171" s="26"/>
      <c r="QI171" s="26"/>
      <c r="QJ171" s="26"/>
      <c r="QK171" s="26"/>
      <c r="QL171" s="26"/>
      <c r="QM171" s="26"/>
      <c r="QN171" s="26"/>
      <c r="QO171" s="26"/>
      <c r="QP171" s="26"/>
      <c r="QQ171" s="26"/>
      <c r="QR171" s="26"/>
      <c r="QS171" s="26"/>
      <c r="QT171" s="26"/>
      <c r="QU171" s="26"/>
      <c r="QV171" s="26"/>
      <c r="QW171" s="26"/>
      <c r="QX171" s="26"/>
      <c r="QY171" s="26"/>
      <c r="QZ171" s="26"/>
      <c r="RA171" s="26"/>
      <c r="RB171" s="26"/>
      <c r="RC171" s="26"/>
      <c r="RD171" s="26"/>
      <c r="RE171" s="26"/>
      <c r="RF171" s="26"/>
      <c r="RG171" s="26"/>
      <c r="RH171" s="26"/>
      <c r="RI171" s="26"/>
      <c r="RJ171" s="26"/>
      <c r="RK171" s="26"/>
      <c r="RL171" s="26"/>
      <c r="RM171" s="26"/>
      <c r="RN171" s="26"/>
      <c r="RO171" s="26"/>
      <c r="RP171" s="26"/>
      <c r="RQ171" s="26"/>
      <c r="RR171" s="26"/>
      <c r="RS171" s="26"/>
      <c r="RT171" s="26"/>
      <c r="RU171" s="26"/>
      <c r="RV171" s="26"/>
      <c r="RW171" s="26"/>
      <c r="RX171" s="26"/>
      <c r="RY171" s="26"/>
      <c r="RZ171" s="26"/>
      <c r="SA171" s="26"/>
      <c r="SB171" s="26"/>
      <c r="SC171" s="26"/>
      <c r="SD171" s="26"/>
      <c r="SE171" s="26"/>
      <c r="SF171" s="26"/>
      <c r="SG171" s="26"/>
      <c r="SH171" s="26"/>
      <c r="SI171" s="26"/>
      <c r="SJ171" s="26"/>
      <c r="SK171" s="26"/>
      <c r="SL171" s="26"/>
      <c r="SM171" s="26"/>
      <c r="SN171" s="26"/>
      <c r="SO171" s="26"/>
      <c r="SP171" s="26"/>
      <c r="SQ171" s="26"/>
      <c r="SR171" s="26"/>
      <c r="SS171" s="26"/>
      <c r="ST171" s="26"/>
      <c r="SU171" s="26"/>
      <c r="SV171" s="26"/>
      <c r="SW171" s="26"/>
      <c r="SX171" s="26"/>
      <c r="SY171" s="26"/>
      <c r="SZ171" s="26"/>
      <c r="TA171" s="26"/>
      <c r="TB171" s="26"/>
      <c r="TC171" s="26"/>
      <c r="TD171" s="26"/>
      <c r="TE171" s="26"/>
      <c r="TF171" s="26"/>
      <c r="TG171" s="26"/>
      <c r="TH171" s="26"/>
      <c r="TI171" s="26"/>
    </row>
    <row r="172" spans="1:529" s="23" customFormat="1" ht="21.75" customHeight="1" x14ac:dyDescent="0.25">
      <c r="A172" s="43" t="s">
        <v>319</v>
      </c>
      <c r="B172" s="44" t="str">
        <f>'дод 4'!A105</f>
        <v>7321</v>
      </c>
      <c r="C172" s="44" t="str">
        <f>'дод 4'!B105</f>
        <v>0443</v>
      </c>
      <c r="D172" s="24" t="str">
        <f>'дод 4'!C105</f>
        <v>Будівництво освітніх установ та закладів</v>
      </c>
      <c r="E172" s="69">
        <f t="shared" si="97"/>
        <v>0</v>
      </c>
      <c r="F172" s="69"/>
      <c r="G172" s="69"/>
      <c r="H172" s="69"/>
      <c r="I172" s="69"/>
      <c r="J172" s="69">
        <f t="shared" si="99"/>
        <v>4000000</v>
      </c>
      <c r="K172" s="69">
        <f>9000000-5000000</f>
        <v>4000000</v>
      </c>
      <c r="L172" s="69"/>
      <c r="M172" s="69"/>
      <c r="N172" s="69"/>
      <c r="O172" s="69">
        <f>9000000-5000000</f>
        <v>4000000</v>
      </c>
      <c r="P172" s="69">
        <f t="shared" si="98"/>
        <v>4000000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  <c r="JK172" s="26"/>
      <c r="JL172" s="26"/>
      <c r="JM172" s="26"/>
      <c r="JN172" s="26"/>
      <c r="JO172" s="26"/>
      <c r="JP172" s="26"/>
      <c r="JQ172" s="26"/>
      <c r="JR172" s="26"/>
      <c r="JS172" s="26"/>
      <c r="JT172" s="26"/>
      <c r="JU172" s="26"/>
      <c r="JV172" s="26"/>
      <c r="JW172" s="26"/>
      <c r="JX172" s="26"/>
      <c r="JY172" s="26"/>
      <c r="JZ172" s="26"/>
      <c r="KA172" s="26"/>
      <c r="KB172" s="26"/>
      <c r="KC172" s="26"/>
      <c r="KD172" s="26"/>
      <c r="KE172" s="26"/>
      <c r="KF172" s="26"/>
      <c r="KG172" s="26"/>
      <c r="KH172" s="26"/>
      <c r="KI172" s="26"/>
      <c r="KJ172" s="26"/>
      <c r="KK172" s="26"/>
      <c r="KL172" s="26"/>
      <c r="KM172" s="26"/>
      <c r="KN172" s="26"/>
      <c r="KO172" s="26"/>
      <c r="KP172" s="26"/>
      <c r="KQ172" s="26"/>
      <c r="KR172" s="26"/>
      <c r="KS172" s="26"/>
      <c r="KT172" s="26"/>
      <c r="KU172" s="26"/>
      <c r="KV172" s="26"/>
      <c r="KW172" s="26"/>
      <c r="KX172" s="26"/>
      <c r="KY172" s="26"/>
      <c r="KZ172" s="26"/>
      <c r="LA172" s="26"/>
      <c r="LB172" s="26"/>
      <c r="LC172" s="26"/>
      <c r="LD172" s="26"/>
      <c r="LE172" s="26"/>
      <c r="LF172" s="26"/>
      <c r="LG172" s="26"/>
      <c r="LH172" s="26"/>
      <c r="LI172" s="26"/>
      <c r="LJ172" s="26"/>
      <c r="LK172" s="26"/>
      <c r="LL172" s="26"/>
      <c r="LM172" s="26"/>
      <c r="LN172" s="26"/>
      <c r="LO172" s="26"/>
      <c r="LP172" s="26"/>
      <c r="LQ172" s="26"/>
      <c r="LR172" s="26"/>
      <c r="LS172" s="26"/>
      <c r="LT172" s="26"/>
      <c r="LU172" s="26"/>
      <c r="LV172" s="26"/>
      <c r="LW172" s="26"/>
      <c r="LX172" s="26"/>
      <c r="LY172" s="26"/>
      <c r="LZ172" s="26"/>
      <c r="MA172" s="26"/>
      <c r="MB172" s="26"/>
      <c r="MC172" s="26"/>
      <c r="MD172" s="26"/>
      <c r="ME172" s="26"/>
      <c r="MF172" s="26"/>
      <c r="MG172" s="26"/>
      <c r="MH172" s="26"/>
      <c r="MI172" s="26"/>
      <c r="MJ172" s="26"/>
      <c r="MK172" s="26"/>
      <c r="ML172" s="26"/>
      <c r="MM172" s="26"/>
      <c r="MN172" s="26"/>
      <c r="MO172" s="26"/>
      <c r="MP172" s="26"/>
      <c r="MQ172" s="26"/>
      <c r="MR172" s="26"/>
      <c r="MS172" s="26"/>
      <c r="MT172" s="26"/>
      <c r="MU172" s="26"/>
      <c r="MV172" s="26"/>
      <c r="MW172" s="26"/>
      <c r="MX172" s="26"/>
      <c r="MY172" s="26"/>
      <c r="MZ172" s="26"/>
      <c r="NA172" s="26"/>
      <c r="NB172" s="26"/>
      <c r="NC172" s="26"/>
      <c r="ND172" s="26"/>
      <c r="NE172" s="26"/>
      <c r="NF172" s="26"/>
      <c r="NG172" s="26"/>
      <c r="NH172" s="26"/>
      <c r="NI172" s="26"/>
      <c r="NJ172" s="26"/>
      <c r="NK172" s="26"/>
      <c r="NL172" s="26"/>
      <c r="NM172" s="26"/>
      <c r="NN172" s="26"/>
      <c r="NO172" s="26"/>
      <c r="NP172" s="26"/>
      <c r="NQ172" s="26"/>
      <c r="NR172" s="26"/>
      <c r="NS172" s="26"/>
      <c r="NT172" s="26"/>
      <c r="NU172" s="26"/>
      <c r="NV172" s="26"/>
      <c r="NW172" s="26"/>
      <c r="NX172" s="26"/>
      <c r="NY172" s="26"/>
      <c r="NZ172" s="26"/>
      <c r="OA172" s="26"/>
      <c r="OB172" s="26"/>
      <c r="OC172" s="26"/>
      <c r="OD172" s="26"/>
      <c r="OE172" s="26"/>
      <c r="OF172" s="26"/>
      <c r="OG172" s="26"/>
      <c r="OH172" s="26"/>
      <c r="OI172" s="26"/>
      <c r="OJ172" s="26"/>
      <c r="OK172" s="26"/>
      <c r="OL172" s="26"/>
      <c r="OM172" s="26"/>
      <c r="ON172" s="26"/>
      <c r="OO172" s="26"/>
      <c r="OP172" s="26"/>
      <c r="OQ172" s="26"/>
      <c r="OR172" s="26"/>
      <c r="OS172" s="26"/>
      <c r="OT172" s="26"/>
      <c r="OU172" s="26"/>
      <c r="OV172" s="26"/>
      <c r="OW172" s="26"/>
      <c r="OX172" s="26"/>
      <c r="OY172" s="26"/>
      <c r="OZ172" s="26"/>
      <c r="PA172" s="26"/>
      <c r="PB172" s="26"/>
      <c r="PC172" s="26"/>
      <c r="PD172" s="26"/>
      <c r="PE172" s="26"/>
      <c r="PF172" s="26"/>
      <c r="PG172" s="26"/>
      <c r="PH172" s="26"/>
      <c r="PI172" s="26"/>
      <c r="PJ172" s="26"/>
      <c r="PK172" s="26"/>
      <c r="PL172" s="26"/>
      <c r="PM172" s="26"/>
      <c r="PN172" s="26"/>
      <c r="PO172" s="26"/>
      <c r="PP172" s="26"/>
      <c r="PQ172" s="26"/>
      <c r="PR172" s="26"/>
      <c r="PS172" s="26"/>
      <c r="PT172" s="26"/>
      <c r="PU172" s="26"/>
      <c r="PV172" s="26"/>
      <c r="PW172" s="26"/>
      <c r="PX172" s="26"/>
      <c r="PY172" s="26"/>
      <c r="PZ172" s="26"/>
      <c r="QA172" s="26"/>
      <c r="QB172" s="26"/>
      <c r="QC172" s="26"/>
      <c r="QD172" s="26"/>
      <c r="QE172" s="26"/>
      <c r="QF172" s="26"/>
      <c r="QG172" s="26"/>
      <c r="QH172" s="26"/>
      <c r="QI172" s="26"/>
      <c r="QJ172" s="26"/>
      <c r="QK172" s="26"/>
      <c r="QL172" s="26"/>
      <c r="QM172" s="26"/>
      <c r="QN172" s="26"/>
      <c r="QO172" s="26"/>
      <c r="QP172" s="26"/>
      <c r="QQ172" s="26"/>
      <c r="QR172" s="26"/>
      <c r="QS172" s="26"/>
      <c r="QT172" s="26"/>
      <c r="QU172" s="26"/>
      <c r="QV172" s="26"/>
      <c r="QW172" s="26"/>
      <c r="QX172" s="26"/>
      <c r="QY172" s="26"/>
      <c r="QZ172" s="26"/>
      <c r="RA172" s="26"/>
      <c r="RB172" s="26"/>
      <c r="RC172" s="26"/>
      <c r="RD172" s="26"/>
      <c r="RE172" s="26"/>
      <c r="RF172" s="26"/>
      <c r="RG172" s="26"/>
      <c r="RH172" s="26"/>
      <c r="RI172" s="26"/>
      <c r="RJ172" s="26"/>
      <c r="RK172" s="26"/>
      <c r="RL172" s="26"/>
      <c r="RM172" s="26"/>
      <c r="RN172" s="26"/>
      <c r="RO172" s="26"/>
      <c r="RP172" s="26"/>
      <c r="RQ172" s="26"/>
      <c r="RR172" s="26"/>
      <c r="RS172" s="26"/>
      <c r="RT172" s="26"/>
      <c r="RU172" s="26"/>
      <c r="RV172" s="26"/>
      <c r="RW172" s="26"/>
      <c r="RX172" s="26"/>
      <c r="RY172" s="26"/>
      <c r="RZ172" s="26"/>
      <c r="SA172" s="26"/>
      <c r="SB172" s="26"/>
      <c r="SC172" s="26"/>
      <c r="SD172" s="26"/>
      <c r="SE172" s="26"/>
      <c r="SF172" s="26"/>
      <c r="SG172" s="26"/>
      <c r="SH172" s="26"/>
      <c r="SI172" s="26"/>
      <c r="SJ172" s="26"/>
      <c r="SK172" s="26"/>
      <c r="SL172" s="26"/>
      <c r="SM172" s="26"/>
      <c r="SN172" s="26"/>
      <c r="SO172" s="26"/>
      <c r="SP172" s="26"/>
      <c r="SQ172" s="26"/>
      <c r="SR172" s="26"/>
      <c r="SS172" s="26"/>
      <c r="ST172" s="26"/>
      <c r="SU172" s="26"/>
      <c r="SV172" s="26"/>
      <c r="SW172" s="26"/>
      <c r="SX172" s="26"/>
      <c r="SY172" s="26"/>
      <c r="SZ172" s="26"/>
      <c r="TA172" s="26"/>
      <c r="TB172" s="26"/>
      <c r="TC172" s="26"/>
      <c r="TD172" s="26"/>
      <c r="TE172" s="26"/>
      <c r="TF172" s="26"/>
      <c r="TG172" s="26"/>
      <c r="TH172" s="26"/>
      <c r="TI172" s="26"/>
    </row>
    <row r="173" spans="1:529" s="23" customFormat="1" ht="18" customHeight="1" x14ac:dyDescent="0.25">
      <c r="A173" s="43" t="s">
        <v>321</v>
      </c>
      <c r="B173" s="44" t="str">
        <f>'дод 4'!A106</f>
        <v>7322</v>
      </c>
      <c r="C173" s="44" t="str">
        <f>'дод 4'!B106</f>
        <v>0443</v>
      </c>
      <c r="D173" s="24" t="str">
        <f>'дод 4'!C106</f>
        <v>Будівництво медичних установ та закладів</v>
      </c>
      <c r="E173" s="69">
        <f t="shared" si="97"/>
        <v>0</v>
      </c>
      <c r="F173" s="69"/>
      <c r="G173" s="69"/>
      <c r="H173" s="69"/>
      <c r="I173" s="69"/>
      <c r="J173" s="69">
        <f t="shared" si="99"/>
        <v>12454849</v>
      </c>
      <c r="K173" s="69">
        <f>7000000-3286719+741568+8000000</f>
        <v>12454849</v>
      </c>
      <c r="L173" s="69"/>
      <c r="M173" s="69"/>
      <c r="N173" s="69"/>
      <c r="O173" s="69">
        <f>7000000-3286719+741568+8000000</f>
        <v>12454849</v>
      </c>
      <c r="P173" s="69">
        <f t="shared" si="98"/>
        <v>12454849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  <c r="IW173" s="26"/>
      <c r="IX173" s="26"/>
      <c r="IY173" s="26"/>
      <c r="IZ173" s="26"/>
      <c r="JA173" s="26"/>
      <c r="JB173" s="26"/>
      <c r="JC173" s="26"/>
      <c r="JD173" s="26"/>
      <c r="JE173" s="26"/>
      <c r="JF173" s="26"/>
      <c r="JG173" s="26"/>
      <c r="JH173" s="26"/>
      <c r="JI173" s="26"/>
      <c r="JJ173" s="26"/>
      <c r="JK173" s="26"/>
      <c r="JL173" s="26"/>
      <c r="JM173" s="26"/>
      <c r="JN173" s="26"/>
      <c r="JO173" s="26"/>
      <c r="JP173" s="26"/>
      <c r="JQ173" s="26"/>
      <c r="JR173" s="26"/>
      <c r="JS173" s="26"/>
      <c r="JT173" s="26"/>
      <c r="JU173" s="26"/>
      <c r="JV173" s="26"/>
      <c r="JW173" s="26"/>
      <c r="JX173" s="26"/>
      <c r="JY173" s="26"/>
      <c r="JZ173" s="26"/>
      <c r="KA173" s="26"/>
      <c r="KB173" s="26"/>
      <c r="KC173" s="26"/>
      <c r="KD173" s="26"/>
      <c r="KE173" s="26"/>
      <c r="KF173" s="26"/>
      <c r="KG173" s="26"/>
      <c r="KH173" s="26"/>
      <c r="KI173" s="26"/>
      <c r="KJ173" s="26"/>
      <c r="KK173" s="26"/>
      <c r="KL173" s="26"/>
      <c r="KM173" s="26"/>
      <c r="KN173" s="26"/>
      <c r="KO173" s="26"/>
      <c r="KP173" s="26"/>
      <c r="KQ173" s="26"/>
      <c r="KR173" s="26"/>
      <c r="KS173" s="26"/>
      <c r="KT173" s="26"/>
      <c r="KU173" s="26"/>
      <c r="KV173" s="26"/>
      <c r="KW173" s="26"/>
      <c r="KX173" s="26"/>
      <c r="KY173" s="26"/>
      <c r="KZ173" s="26"/>
      <c r="LA173" s="26"/>
      <c r="LB173" s="26"/>
      <c r="LC173" s="26"/>
      <c r="LD173" s="26"/>
      <c r="LE173" s="26"/>
      <c r="LF173" s="26"/>
      <c r="LG173" s="26"/>
      <c r="LH173" s="26"/>
      <c r="LI173" s="26"/>
      <c r="LJ173" s="26"/>
      <c r="LK173" s="26"/>
      <c r="LL173" s="26"/>
      <c r="LM173" s="26"/>
      <c r="LN173" s="26"/>
      <c r="LO173" s="26"/>
      <c r="LP173" s="26"/>
      <c r="LQ173" s="26"/>
      <c r="LR173" s="26"/>
      <c r="LS173" s="26"/>
      <c r="LT173" s="26"/>
      <c r="LU173" s="26"/>
      <c r="LV173" s="26"/>
      <c r="LW173" s="26"/>
      <c r="LX173" s="26"/>
      <c r="LY173" s="26"/>
      <c r="LZ173" s="26"/>
      <c r="MA173" s="26"/>
      <c r="MB173" s="26"/>
      <c r="MC173" s="26"/>
      <c r="MD173" s="26"/>
      <c r="ME173" s="26"/>
      <c r="MF173" s="26"/>
      <c r="MG173" s="26"/>
      <c r="MH173" s="26"/>
      <c r="MI173" s="26"/>
      <c r="MJ173" s="26"/>
      <c r="MK173" s="26"/>
      <c r="ML173" s="26"/>
      <c r="MM173" s="26"/>
      <c r="MN173" s="26"/>
      <c r="MO173" s="26"/>
      <c r="MP173" s="26"/>
      <c r="MQ173" s="26"/>
      <c r="MR173" s="26"/>
      <c r="MS173" s="26"/>
      <c r="MT173" s="26"/>
      <c r="MU173" s="26"/>
      <c r="MV173" s="26"/>
      <c r="MW173" s="26"/>
      <c r="MX173" s="26"/>
      <c r="MY173" s="26"/>
      <c r="MZ173" s="26"/>
      <c r="NA173" s="26"/>
      <c r="NB173" s="26"/>
      <c r="NC173" s="26"/>
      <c r="ND173" s="26"/>
      <c r="NE173" s="26"/>
      <c r="NF173" s="26"/>
      <c r="NG173" s="26"/>
      <c r="NH173" s="26"/>
      <c r="NI173" s="26"/>
      <c r="NJ173" s="26"/>
      <c r="NK173" s="26"/>
      <c r="NL173" s="26"/>
      <c r="NM173" s="26"/>
      <c r="NN173" s="26"/>
      <c r="NO173" s="26"/>
      <c r="NP173" s="26"/>
      <c r="NQ173" s="26"/>
      <c r="NR173" s="26"/>
      <c r="NS173" s="26"/>
      <c r="NT173" s="26"/>
      <c r="NU173" s="26"/>
      <c r="NV173" s="26"/>
      <c r="NW173" s="26"/>
      <c r="NX173" s="26"/>
      <c r="NY173" s="26"/>
      <c r="NZ173" s="26"/>
      <c r="OA173" s="26"/>
      <c r="OB173" s="26"/>
      <c r="OC173" s="26"/>
      <c r="OD173" s="26"/>
      <c r="OE173" s="26"/>
      <c r="OF173" s="26"/>
      <c r="OG173" s="26"/>
      <c r="OH173" s="26"/>
      <c r="OI173" s="26"/>
      <c r="OJ173" s="26"/>
      <c r="OK173" s="26"/>
      <c r="OL173" s="26"/>
      <c r="OM173" s="26"/>
      <c r="ON173" s="26"/>
      <c r="OO173" s="26"/>
      <c r="OP173" s="26"/>
      <c r="OQ173" s="26"/>
      <c r="OR173" s="26"/>
      <c r="OS173" s="26"/>
      <c r="OT173" s="26"/>
      <c r="OU173" s="26"/>
      <c r="OV173" s="26"/>
      <c r="OW173" s="26"/>
      <c r="OX173" s="26"/>
      <c r="OY173" s="26"/>
      <c r="OZ173" s="26"/>
      <c r="PA173" s="26"/>
      <c r="PB173" s="26"/>
      <c r="PC173" s="26"/>
      <c r="PD173" s="26"/>
      <c r="PE173" s="26"/>
      <c r="PF173" s="26"/>
      <c r="PG173" s="26"/>
      <c r="PH173" s="26"/>
      <c r="PI173" s="26"/>
      <c r="PJ173" s="26"/>
      <c r="PK173" s="26"/>
      <c r="PL173" s="26"/>
      <c r="PM173" s="26"/>
      <c r="PN173" s="26"/>
      <c r="PO173" s="26"/>
      <c r="PP173" s="26"/>
      <c r="PQ173" s="26"/>
      <c r="PR173" s="26"/>
      <c r="PS173" s="26"/>
      <c r="PT173" s="26"/>
      <c r="PU173" s="26"/>
      <c r="PV173" s="26"/>
      <c r="PW173" s="26"/>
      <c r="PX173" s="26"/>
      <c r="PY173" s="26"/>
      <c r="PZ173" s="26"/>
      <c r="QA173" s="26"/>
      <c r="QB173" s="26"/>
      <c r="QC173" s="26"/>
      <c r="QD173" s="26"/>
      <c r="QE173" s="26"/>
      <c r="QF173" s="26"/>
      <c r="QG173" s="26"/>
      <c r="QH173" s="26"/>
      <c r="QI173" s="26"/>
      <c r="QJ173" s="26"/>
      <c r="QK173" s="26"/>
      <c r="QL173" s="26"/>
      <c r="QM173" s="26"/>
      <c r="QN173" s="26"/>
      <c r="QO173" s="26"/>
      <c r="QP173" s="26"/>
      <c r="QQ173" s="26"/>
      <c r="QR173" s="26"/>
      <c r="QS173" s="26"/>
      <c r="QT173" s="26"/>
      <c r="QU173" s="26"/>
      <c r="QV173" s="26"/>
      <c r="QW173" s="26"/>
      <c r="QX173" s="26"/>
      <c r="QY173" s="26"/>
      <c r="QZ173" s="26"/>
      <c r="RA173" s="26"/>
      <c r="RB173" s="26"/>
      <c r="RC173" s="26"/>
      <c r="RD173" s="26"/>
      <c r="RE173" s="26"/>
      <c r="RF173" s="26"/>
      <c r="RG173" s="26"/>
      <c r="RH173" s="26"/>
      <c r="RI173" s="26"/>
      <c r="RJ173" s="26"/>
      <c r="RK173" s="26"/>
      <c r="RL173" s="26"/>
      <c r="RM173" s="26"/>
      <c r="RN173" s="26"/>
      <c r="RO173" s="26"/>
      <c r="RP173" s="26"/>
      <c r="RQ173" s="26"/>
      <c r="RR173" s="26"/>
      <c r="RS173" s="26"/>
      <c r="RT173" s="26"/>
      <c r="RU173" s="26"/>
      <c r="RV173" s="26"/>
      <c r="RW173" s="26"/>
      <c r="RX173" s="26"/>
      <c r="RY173" s="26"/>
      <c r="RZ173" s="26"/>
      <c r="SA173" s="26"/>
      <c r="SB173" s="26"/>
      <c r="SC173" s="26"/>
      <c r="SD173" s="26"/>
      <c r="SE173" s="26"/>
      <c r="SF173" s="26"/>
      <c r="SG173" s="26"/>
      <c r="SH173" s="26"/>
      <c r="SI173" s="26"/>
      <c r="SJ173" s="26"/>
      <c r="SK173" s="26"/>
      <c r="SL173" s="26"/>
      <c r="SM173" s="26"/>
      <c r="SN173" s="26"/>
      <c r="SO173" s="26"/>
      <c r="SP173" s="26"/>
      <c r="SQ173" s="26"/>
      <c r="SR173" s="26"/>
      <c r="SS173" s="26"/>
      <c r="ST173" s="26"/>
      <c r="SU173" s="26"/>
      <c r="SV173" s="26"/>
      <c r="SW173" s="26"/>
      <c r="SX173" s="26"/>
      <c r="SY173" s="26"/>
      <c r="SZ173" s="26"/>
      <c r="TA173" s="26"/>
      <c r="TB173" s="26"/>
      <c r="TC173" s="26"/>
      <c r="TD173" s="26"/>
      <c r="TE173" s="26"/>
      <c r="TF173" s="26"/>
      <c r="TG173" s="26"/>
      <c r="TH173" s="26"/>
      <c r="TI173" s="26"/>
    </row>
    <row r="174" spans="1:529" s="23" customFormat="1" ht="30" x14ac:dyDescent="0.25">
      <c r="A174" s="43" t="s">
        <v>421</v>
      </c>
      <c r="B174" s="44">
        <f>'дод 4'!A107</f>
        <v>7325</v>
      </c>
      <c r="C174" s="44">
        <f>'дод 4'!B107</f>
        <v>443</v>
      </c>
      <c r="D174" s="24" t="str">
        <f>'дод 4'!C107</f>
        <v>Будівництво споруд, установ та закладів фізичної культури і спорту</v>
      </c>
      <c r="E174" s="69"/>
      <c r="F174" s="69"/>
      <c r="G174" s="69"/>
      <c r="H174" s="69"/>
      <c r="I174" s="69"/>
      <c r="J174" s="69">
        <f t="shared" si="99"/>
        <v>500000</v>
      </c>
      <c r="K174" s="69">
        <f>7000000-7000000+100000+400000</f>
        <v>500000</v>
      </c>
      <c r="L174" s="69"/>
      <c r="M174" s="69"/>
      <c r="N174" s="69"/>
      <c r="O174" s="69">
        <f>7000000-7000000+100000+400000</f>
        <v>500000</v>
      </c>
      <c r="P174" s="69">
        <f t="shared" si="98"/>
        <v>500000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  <c r="IW174" s="26"/>
      <c r="IX174" s="26"/>
      <c r="IY174" s="26"/>
      <c r="IZ174" s="26"/>
      <c r="JA174" s="26"/>
      <c r="JB174" s="26"/>
      <c r="JC174" s="26"/>
      <c r="JD174" s="26"/>
      <c r="JE174" s="26"/>
      <c r="JF174" s="26"/>
      <c r="JG174" s="26"/>
      <c r="JH174" s="26"/>
      <c r="JI174" s="26"/>
      <c r="JJ174" s="26"/>
      <c r="JK174" s="26"/>
      <c r="JL174" s="26"/>
      <c r="JM174" s="26"/>
      <c r="JN174" s="26"/>
      <c r="JO174" s="26"/>
      <c r="JP174" s="26"/>
      <c r="JQ174" s="26"/>
      <c r="JR174" s="26"/>
      <c r="JS174" s="26"/>
      <c r="JT174" s="26"/>
      <c r="JU174" s="26"/>
      <c r="JV174" s="26"/>
      <c r="JW174" s="26"/>
      <c r="JX174" s="26"/>
      <c r="JY174" s="26"/>
      <c r="JZ174" s="26"/>
      <c r="KA174" s="26"/>
      <c r="KB174" s="26"/>
      <c r="KC174" s="26"/>
      <c r="KD174" s="26"/>
      <c r="KE174" s="26"/>
      <c r="KF174" s="26"/>
      <c r="KG174" s="26"/>
      <c r="KH174" s="26"/>
      <c r="KI174" s="26"/>
      <c r="KJ174" s="26"/>
      <c r="KK174" s="26"/>
      <c r="KL174" s="26"/>
      <c r="KM174" s="26"/>
      <c r="KN174" s="26"/>
      <c r="KO174" s="26"/>
      <c r="KP174" s="26"/>
      <c r="KQ174" s="26"/>
      <c r="KR174" s="26"/>
      <c r="KS174" s="26"/>
      <c r="KT174" s="26"/>
      <c r="KU174" s="26"/>
      <c r="KV174" s="26"/>
      <c r="KW174" s="26"/>
      <c r="KX174" s="26"/>
      <c r="KY174" s="26"/>
      <c r="KZ174" s="26"/>
      <c r="LA174" s="26"/>
      <c r="LB174" s="26"/>
      <c r="LC174" s="26"/>
      <c r="LD174" s="26"/>
      <c r="LE174" s="26"/>
      <c r="LF174" s="26"/>
      <c r="LG174" s="26"/>
      <c r="LH174" s="26"/>
      <c r="LI174" s="26"/>
      <c r="LJ174" s="26"/>
      <c r="LK174" s="26"/>
      <c r="LL174" s="26"/>
      <c r="LM174" s="26"/>
      <c r="LN174" s="26"/>
      <c r="LO174" s="26"/>
      <c r="LP174" s="26"/>
      <c r="LQ174" s="26"/>
      <c r="LR174" s="26"/>
      <c r="LS174" s="26"/>
      <c r="LT174" s="26"/>
      <c r="LU174" s="26"/>
      <c r="LV174" s="26"/>
      <c r="LW174" s="26"/>
      <c r="LX174" s="26"/>
      <c r="LY174" s="26"/>
      <c r="LZ174" s="26"/>
      <c r="MA174" s="26"/>
      <c r="MB174" s="26"/>
      <c r="MC174" s="26"/>
      <c r="MD174" s="26"/>
      <c r="ME174" s="26"/>
      <c r="MF174" s="26"/>
      <c r="MG174" s="26"/>
      <c r="MH174" s="26"/>
      <c r="MI174" s="26"/>
      <c r="MJ174" s="26"/>
      <c r="MK174" s="26"/>
      <c r="ML174" s="26"/>
      <c r="MM174" s="26"/>
      <c r="MN174" s="26"/>
      <c r="MO174" s="26"/>
      <c r="MP174" s="26"/>
      <c r="MQ174" s="26"/>
      <c r="MR174" s="26"/>
      <c r="MS174" s="26"/>
      <c r="MT174" s="26"/>
      <c r="MU174" s="26"/>
      <c r="MV174" s="26"/>
      <c r="MW174" s="26"/>
      <c r="MX174" s="26"/>
      <c r="MY174" s="26"/>
      <c r="MZ174" s="26"/>
      <c r="NA174" s="26"/>
      <c r="NB174" s="26"/>
      <c r="NC174" s="26"/>
      <c r="ND174" s="26"/>
      <c r="NE174" s="26"/>
      <c r="NF174" s="26"/>
      <c r="NG174" s="26"/>
      <c r="NH174" s="26"/>
      <c r="NI174" s="26"/>
      <c r="NJ174" s="26"/>
      <c r="NK174" s="26"/>
      <c r="NL174" s="26"/>
      <c r="NM174" s="26"/>
      <c r="NN174" s="26"/>
      <c r="NO174" s="26"/>
      <c r="NP174" s="26"/>
      <c r="NQ174" s="26"/>
      <c r="NR174" s="26"/>
      <c r="NS174" s="26"/>
      <c r="NT174" s="26"/>
      <c r="NU174" s="26"/>
      <c r="NV174" s="26"/>
      <c r="NW174" s="26"/>
      <c r="NX174" s="26"/>
      <c r="NY174" s="26"/>
      <c r="NZ174" s="26"/>
      <c r="OA174" s="26"/>
      <c r="OB174" s="26"/>
      <c r="OC174" s="26"/>
      <c r="OD174" s="26"/>
      <c r="OE174" s="26"/>
      <c r="OF174" s="26"/>
      <c r="OG174" s="26"/>
      <c r="OH174" s="26"/>
      <c r="OI174" s="26"/>
      <c r="OJ174" s="26"/>
      <c r="OK174" s="26"/>
      <c r="OL174" s="26"/>
      <c r="OM174" s="26"/>
      <c r="ON174" s="26"/>
      <c r="OO174" s="26"/>
      <c r="OP174" s="26"/>
      <c r="OQ174" s="26"/>
      <c r="OR174" s="26"/>
      <c r="OS174" s="26"/>
      <c r="OT174" s="26"/>
      <c r="OU174" s="26"/>
      <c r="OV174" s="26"/>
      <c r="OW174" s="26"/>
      <c r="OX174" s="26"/>
      <c r="OY174" s="26"/>
      <c r="OZ174" s="26"/>
      <c r="PA174" s="26"/>
      <c r="PB174" s="26"/>
      <c r="PC174" s="26"/>
      <c r="PD174" s="26"/>
      <c r="PE174" s="26"/>
      <c r="PF174" s="26"/>
      <c r="PG174" s="26"/>
      <c r="PH174" s="26"/>
      <c r="PI174" s="26"/>
      <c r="PJ174" s="26"/>
      <c r="PK174" s="26"/>
      <c r="PL174" s="26"/>
      <c r="PM174" s="26"/>
      <c r="PN174" s="26"/>
      <c r="PO174" s="26"/>
      <c r="PP174" s="26"/>
      <c r="PQ174" s="26"/>
      <c r="PR174" s="26"/>
      <c r="PS174" s="26"/>
      <c r="PT174" s="26"/>
      <c r="PU174" s="26"/>
      <c r="PV174" s="26"/>
      <c r="PW174" s="26"/>
      <c r="PX174" s="26"/>
      <c r="PY174" s="26"/>
      <c r="PZ174" s="26"/>
      <c r="QA174" s="26"/>
      <c r="QB174" s="26"/>
      <c r="QC174" s="26"/>
      <c r="QD174" s="26"/>
      <c r="QE174" s="26"/>
      <c r="QF174" s="26"/>
      <c r="QG174" s="26"/>
      <c r="QH174" s="26"/>
      <c r="QI174" s="26"/>
      <c r="QJ174" s="26"/>
      <c r="QK174" s="26"/>
      <c r="QL174" s="26"/>
      <c r="QM174" s="26"/>
      <c r="QN174" s="26"/>
      <c r="QO174" s="26"/>
      <c r="QP174" s="26"/>
      <c r="QQ174" s="26"/>
      <c r="QR174" s="26"/>
      <c r="QS174" s="26"/>
      <c r="QT174" s="26"/>
      <c r="QU174" s="26"/>
      <c r="QV174" s="26"/>
      <c r="QW174" s="26"/>
      <c r="QX174" s="26"/>
      <c r="QY174" s="26"/>
      <c r="QZ174" s="26"/>
      <c r="RA174" s="26"/>
      <c r="RB174" s="26"/>
      <c r="RC174" s="26"/>
      <c r="RD174" s="26"/>
      <c r="RE174" s="26"/>
      <c r="RF174" s="26"/>
      <c r="RG174" s="26"/>
      <c r="RH174" s="26"/>
      <c r="RI174" s="26"/>
      <c r="RJ174" s="26"/>
      <c r="RK174" s="26"/>
      <c r="RL174" s="26"/>
      <c r="RM174" s="26"/>
      <c r="RN174" s="26"/>
      <c r="RO174" s="26"/>
      <c r="RP174" s="26"/>
      <c r="RQ174" s="26"/>
      <c r="RR174" s="26"/>
      <c r="RS174" s="26"/>
      <c r="RT174" s="26"/>
      <c r="RU174" s="26"/>
      <c r="RV174" s="26"/>
      <c r="RW174" s="26"/>
      <c r="RX174" s="26"/>
      <c r="RY174" s="26"/>
      <c r="RZ174" s="26"/>
      <c r="SA174" s="26"/>
      <c r="SB174" s="26"/>
      <c r="SC174" s="26"/>
      <c r="SD174" s="26"/>
      <c r="SE174" s="26"/>
      <c r="SF174" s="26"/>
      <c r="SG174" s="26"/>
      <c r="SH174" s="26"/>
      <c r="SI174" s="26"/>
      <c r="SJ174" s="26"/>
      <c r="SK174" s="26"/>
      <c r="SL174" s="26"/>
      <c r="SM174" s="26"/>
      <c r="SN174" s="26"/>
      <c r="SO174" s="26"/>
      <c r="SP174" s="26"/>
      <c r="SQ174" s="26"/>
      <c r="SR174" s="26"/>
      <c r="SS174" s="26"/>
      <c r="ST174" s="26"/>
      <c r="SU174" s="26"/>
      <c r="SV174" s="26"/>
      <c r="SW174" s="26"/>
      <c r="SX174" s="26"/>
      <c r="SY174" s="26"/>
      <c r="SZ174" s="26"/>
      <c r="TA174" s="26"/>
      <c r="TB174" s="26"/>
      <c r="TC174" s="26"/>
      <c r="TD174" s="26"/>
      <c r="TE174" s="26"/>
      <c r="TF174" s="26"/>
      <c r="TG174" s="26"/>
      <c r="TH174" s="26"/>
      <c r="TI174" s="26"/>
    </row>
    <row r="175" spans="1:529" s="23" customFormat="1" ht="23.25" customHeight="1" x14ac:dyDescent="0.25">
      <c r="A175" s="43" t="s">
        <v>323</v>
      </c>
      <c r="B175" s="44" t="str">
        <f>'дод 4'!A108</f>
        <v>7330</v>
      </c>
      <c r="C175" s="44" t="str">
        <f>'дод 4'!B108</f>
        <v>0443</v>
      </c>
      <c r="D175" s="24" t="str">
        <f>'дод 4'!C108</f>
        <v>Будівництво інших об'єктів комунальної власності</v>
      </c>
      <c r="E175" s="69">
        <f t="shared" si="97"/>
        <v>0</v>
      </c>
      <c r="F175" s="69"/>
      <c r="G175" s="69"/>
      <c r="H175" s="69"/>
      <c r="I175" s="69"/>
      <c r="J175" s="69">
        <f t="shared" si="99"/>
        <v>42980823</v>
      </c>
      <c r="K175" s="69">
        <f>41200000+100000-1000000+300000+1000000+1000000-1800000+860151+8034260+1003444+2000000+282968-10000000</f>
        <v>42980823</v>
      </c>
      <c r="L175" s="69"/>
      <c r="M175" s="69"/>
      <c r="N175" s="69"/>
      <c r="O175" s="69">
        <f>41200000+100000-1000000+300000+1000000+1000000-1800000+860151+8034260+1003444+2000000+282968-10000000</f>
        <v>42980823</v>
      </c>
      <c r="P175" s="69">
        <f t="shared" si="98"/>
        <v>42980823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  <c r="JK175" s="26"/>
      <c r="JL175" s="26"/>
      <c r="JM175" s="26"/>
      <c r="JN175" s="26"/>
      <c r="JO175" s="26"/>
      <c r="JP175" s="26"/>
      <c r="JQ175" s="26"/>
      <c r="JR175" s="26"/>
      <c r="JS175" s="26"/>
      <c r="JT175" s="26"/>
      <c r="JU175" s="26"/>
      <c r="JV175" s="26"/>
      <c r="JW175" s="26"/>
      <c r="JX175" s="26"/>
      <c r="JY175" s="26"/>
      <c r="JZ175" s="26"/>
      <c r="KA175" s="26"/>
      <c r="KB175" s="26"/>
      <c r="KC175" s="26"/>
      <c r="KD175" s="26"/>
      <c r="KE175" s="26"/>
      <c r="KF175" s="26"/>
      <c r="KG175" s="26"/>
      <c r="KH175" s="26"/>
      <c r="KI175" s="26"/>
      <c r="KJ175" s="26"/>
      <c r="KK175" s="26"/>
      <c r="KL175" s="26"/>
      <c r="KM175" s="26"/>
      <c r="KN175" s="26"/>
      <c r="KO175" s="26"/>
      <c r="KP175" s="26"/>
      <c r="KQ175" s="26"/>
      <c r="KR175" s="26"/>
      <c r="KS175" s="26"/>
      <c r="KT175" s="26"/>
      <c r="KU175" s="26"/>
      <c r="KV175" s="26"/>
      <c r="KW175" s="26"/>
      <c r="KX175" s="26"/>
      <c r="KY175" s="26"/>
      <c r="KZ175" s="26"/>
      <c r="LA175" s="26"/>
      <c r="LB175" s="26"/>
      <c r="LC175" s="26"/>
      <c r="LD175" s="26"/>
      <c r="LE175" s="26"/>
      <c r="LF175" s="26"/>
      <c r="LG175" s="26"/>
      <c r="LH175" s="26"/>
      <c r="LI175" s="26"/>
      <c r="LJ175" s="26"/>
      <c r="LK175" s="26"/>
      <c r="LL175" s="26"/>
      <c r="LM175" s="26"/>
      <c r="LN175" s="26"/>
      <c r="LO175" s="26"/>
      <c r="LP175" s="26"/>
      <c r="LQ175" s="26"/>
      <c r="LR175" s="26"/>
      <c r="LS175" s="26"/>
      <c r="LT175" s="26"/>
      <c r="LU175" s="26"/>
      <c r="LV175" s="26"/>
      <c r="LW175" s="26"/>
      <c r="LX175" s="26"/>
      <c r="LY175" s="26"/>
      <c r="LZ175" s="26"/>
      <c r="MA175" s="26"/>
      <c r="MB175" s="26"/>
      <c r="MC175" s="26"/>
      <c r="MD175" s="26"/>
      <c r="ME175" s="26"/>
      <c r="MF175" s="26"/>
      <c r="MG175" s="26"/>
      <c r="MH175" s="26"/>
      <c r="MI175" s="26"/>
      <c r="MJ175" s="26"/>
      <c r="MK175" s="26"/>
      <c r="ML175" s="26"/>
      <c r="MM175" s="26"/>
      <c r="MN175" s="26"/>
      <c r="MO175" s="26"/>
      <c r="MP175" s="26"/>
      <c r="MQ175" s="26"/>
      <c r="MR175" s="26"/>
      <c r="MS175" s="26"/>
      <c r="MT175" s="26"/>
      <c r="MU175" s="26"/>
      <c r="MV175" s="26"/>
      <c r="MW175" s="26"/>
      <c r="MX175" s="26"/>
      <c r="MY175" s="26"/>
      <c r="MZ175" s="26"/>
      <c r="NA175" s="26"/>
      <c r="NB175" s="26"/>
      <c r="NC175" s="26"/>
      <c r="ND175" s="26"/>
      <c r="NE175" s="26"/>
      <c r="NF175" s="26"/>
      <c r="NG175" s="26"/>
      <c r="NH175" s="26"/>
      <c r="NI175" s="26"/>
      <c r="NJ175" s="26"/>
      <c r="NK175" s="26"/>
      <c r="NL175" s="26"/>
      <c r="NM175" s="26"/>
      <c r="NN175" s="26"/>
      <c r="NO175" s="26"/>
      <c r="NP175" s="26"/>
      <c r="NQ175" s="26"/>
      <c r="NR175" s="26"/>
      <c r="NS175" s="26"/>
      <c r="NT175" s="26"/>
      <c r="NU175" s="26"/>
      <c r="NV175" s="26"/>
      <c r="NW175" s="26"/>
      <c r="NX175" s="26"/>
      <c r="NY175" s="26"/>
      <c r="NZ175" s="26"/>
      <c r="OA175" s="26"/>
      <c r="OB175" s="26"/>
      <c r="OC175" s="26"/>
      <c r="OD175" s="26"/>
      <c r="OE175" s="26"/>
      <c r="OF175" s="26"/>
      <c r="OG175" s="26"/>
      <c r="OH175" s="26"/>
      <c r="OI175" s="26"/>
      <c r="OJ175" s="26"/>
      <c r="OK175" s="26"/>
      <c r="OL175" s="26"/>
      <c r="OM175" s="26"/>
      <c r="ON175" s="26"/>
      <c r="OO175" s="26"/>
      <c r="OP175" s="26"/>
      <c r="OQ175" s="26"/>
      <c r="OR175" s="26"/>
      <c r="OS175" s="26"/>
      <c r="OT175" s="26"/>
      <c r="OU175" s="26"/>
      <c r="OV175" s="26"/>
      <c r="OW175" s="26"/>
      <c r="OX175" s="26"/>
      <c r="OY175" s="26"/>
      <c r="OZ175" s="26"/>
      <c r="PA175" s="26"/>
      <c r="PB175" s="26"/>
      <c r="PC175" s="26"/>
      <c r="PD175" s="26"/>
      <c r="PE175" s="26"/>
      <c r="PF175" s="26"/>
      <c r="PG175" s="26"/>
      <c r="PH175" s="26"/>
      <c r="PI175" s="26"/>
      <c r="PJ175" s="26"/>
      <c r="PK175" s="26"/>
      <c r="PL175" s="26"/>
      <c r="PM175" s="26"/>
      <c r="PN175" s="26"/>
      <c r="PO175" s="26"/>
      <c r="PP175" s="26"/>
      <c r="PQ175" s="26"/>
      <c r="PR175" s="26"/>
      <c r="PS175" s="26"/>
      <c r="PT175" s="26"/>
      <c r="PU175" s="26"/>
      <c r="PV175" s="26"/>
      <c r="PW175" s="26"/>
      <c r="PX175" s="26"/>
      <c r="PY175" s="26"/>
      <c r="PZ175" s="26"/>
      <c r="QA175" s="26"/>
      <c r="QB175" s="26"/>
      <c r="QC175" s="26"/>
      <c r="QD175" s="26"/>
      <c r="QE175" s="26"/>
      <c r="QF175" s="26"/>
      <c r="QG175" s="26"/>
      <c r="QH175" s="26"/>
      <c r="QI175" s="26"/>
      <c r="QJ175" s="26"/>
      <c r="QK175" s="26"/>
      <c r="QL175" s="26"/>
      <c r="QM175" s="26"/>
      <c r="QN175" s="26"/>
      <c r="QO175" s="26"/>
      <c r="QP175" s="26"/>
      <c r="QQ175" s="26"/>
      <c r="QR175" s="26"/>
      <c r="QS175" s="26"/>
      <c r="QT175" s="26"/>
      <c r="QU175" s="26"/>
      <c r="QV175" s="26"/>
      <c r="QW175" s="26"/>
      <c r="QX175" s="26"/>
      <c r="QY175" s="26"/>
      <c r="QZ175" s="26"/>
      <c r="RA175" s="26"/>
      <c r="RB175" s="26"/>
      <c r="RC175" s="26"/>
      <c r="RD175" s="26"/>
      <c r="RE175" s="26"/>
      <c r="RF175" s="26"/>
      <c r="RG175" s="26"/>
      <c r="RH175" s="26"/>
      <c r="RI175" s="26"/>
      <c r="RJ175" s="26"/>
      <c r="RK175" s="26"/>
      <c r="RL175" s="26"/>
      <c r="RM175" s="26"/>
      <c r="RN175" s="26"/>
      <c r="RO175" s="26"/>
      <c r="RP175" s="26"/>
      <c r="RQ175" s="26"/>
      <c r="RR175" s="26"/>
      <c r="RS175" s="26"/>
      <c r="RT175" s="26"/>
      <c r="RU175" s="26"/>
      <c r="RV175" s="26"/>
      <c r="RW175" s="26"/>
      <c r="RX175" s="26"/>
      <c r="RY175" s="26"/>
      <c r="RZ175" s="26"/>
      <c r="SA175" s="26"/>
      <c r="SB175" s="26"/>
      <c r="SC175" s="26"/>
      <c r="SD175" s="26"/>
      <c r="SE175" s="26"/>
      <c r="SF175" s="26"/>
      <c r="SG175" s="26"/>
      <c r="SH175" s="26"/>
      <c r="SI175" s="26"/>
      <c r="SJ175" s="26"/>
      <c r="SK175" s="26"/>
      <c r="SL175" s="26"/>
      <c r="SM175" s="26"/>
      <c r="SN175" s="26"/>
      <c r="SO175" s="26"/>
      <c r="SP175" s="26"/>
      <c r="SQ175" s="26"/>
      <c r="SR175" s="26"/>
      <c r="SS175" s="26"/>
      <c r="ST175" s="26"/>
      <c r="SU175" s="26"/>
      <c r="SV175" s="26"/>
      <c r="SW175" s="26"/>
      <c r="SX175" s="26"/>
      <c r="SY175" s="26"/>
      <c r="SZ175" s="26"/>
      <c r="TA175" s="26"/>
      <c r="TB175" s="26"/>
      <c r="TC175" s="26"/>
      <c r="TD175" s="26"/>
      <c r="TE175" s="26"/>
      <c r="TF175" s="26"/>
      <c r="TG175" s="26"/>
      <c r="TH175" s="26"/>
      <c r="TI175" s="26"/>
    </row>
    <row r="176" spans="1:529" s="23" customFormat="1" ht="44.25" customHeight="1" x14ac:dyDescent="0.25">
      <c r="A176" s="43" t="s">
        <v>447</v>
      </c>
      <c r="B176" s="44">
        <f>'дод 4'!A110</f>
        <v>7361</v>
      </c>
      <c r="C176" s="44" t="str">
        <f>'дод 4'!B110</f>
        <v>0490</v>
      </c>
      <c r="D176" s="24" t="str">
        <f>'дод 4'!C110</f>
        <v>Співфінансування інвестиційних проектів, що реалізуються за рахунок коштів державного фонду регіонального розвитку</v>
      </c>
      <c r="E176" s="69">
        <f t="shared" ref="E176" si="100">F176+I176</f>
        <v>0</v>
      </c>
      <c r="F176" s="69"/>
      <c r="G176" s="69"/>
      <c r="H176" s="69"/>
      <c r="I176" s="69"/>
      <c r="J176" s="69">
        <f t="shared" ref="J176" si="101">L176+O176</f>
        <v>5000000</v>
      </c>
      <c r="K176" s="69">
        <v>5000000</v>
      </c>
      <c r="L176" s="69"/>
      <c r="M176" s="69"/>
      <c r="N176" s="69"/>
      <c r="O176" s="69">
        <v>5000000</v>
      </c>
      <c r="P176" s="69">
        <f t="shared" si="98"/>
        <v>5000000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  <c r="IW176" s="26"/>
      <c r="IX176" s="26"/>
      <c r="IY176" s="26"/>
      <c r="IZ176" s="26"/>
      <c r="JA176" s="26"/>
      <c r="JB176" s="26"/>
      <c r="JC176" s="26"/>
      <c r="JD176" s="26"/>
      <c r="JE176" s="26"/>
      <c r="JF176" s="26"/>
      <c r="JG176" s="26"/>
      <c r="JH176" s="26"/>
      <c r="JI176" s="26"/>
      <c r="JJ176" s="26"/>
      <c r="JK176" s="26"/>
      <c r="JL176" s="26"/>
      <c r="JM176" s="26"/>
      <c r="JN176" s="26"/>
      <c r="JO176" s="26"/>
      <c r="JP176" s="26"/>
      <c r="JQ176" s="26"/>
      <c r="JR176" s="26"/>
      <c r="JS176" s="26"/>
      <c r="JT176" s="26"/>
      <c r="JU176" s="26"/>
      <c r="JV176" s="26"/>
      <c r="JW176" s="26"/>
      <c r="JX176" s="26"/>
      <c r="JY176" s="26"/>
      <c r="JZ176" s="26"/>
      <c r="KA176" s="26"/>
      <c r="KB176" s="26"/>
      <c r="KC176" s="26"/>
      <c r="KD176" s="26"/>
      <c r="KE176" s="26"/>
      <c r="KF176" s="26"/>
      <c r="KG176" s="26"/>
      <c r="KH176" s="26"/>
      <c r="KI176" s="26"/>
      <c r="KJ176" s="26"/>
      <c r="KK176" s="26"/>
      <c r="KL176" s="26"/>
      <c r="KM176" s="26"/>
      <c r="KN176" s="26"/>
      <c r="KO176" s="26"/>
      <c r="KP176" s="26"/>
      <c r="KQ176" s="26"/>
      <c r="KR176" s="26"/>
      <c r="KS176" s="26"/>
      <c r="KT176" s="26"/>
      <c r="KU176" s="26"/>
      <c r="KV176" s="26"/>
      <c r="KW176" s="26"/>
      <c r="KX176" s="26"/>
      <c r="KY176" s="26"/>
      <c r="KZ176" s="26"/>
      <c r="LA176" s="26"/>
      <c r="LB176" s="26"/>
      <c r="LC176" s="26"/>
      <c r="LD176" s="26"/>
      <c r="LE176" s="26"/>
      <c r="LF176" s="26"/>
      <c r="LG176" s="26"/>
      <c r="LH176" s="26"/>
      <c r="LI176" s="26"/>
      <c r="LJ176" s="26"/>
      <c r="LK176" s="26"/>
      <c r="LL176" s="26"/>
      <c r="LM176" s="26"/>
      <c r="LN176" s="26"/>
      <c r="LO176" s="26"/>
      <c r="LP176" s="26"/>
      <c r="LQ176" s="26"/>
      <c r="LR176" s="26"/>
      <c r="LS176" s="26"/>
      <c r="LT176" s="26"/>
      <c r="LU176" s="26"/>
      <c r="LV176" s="26"/>
      <c r="LW176" s="26"/>
      <c r="LX176" s="26"/>
      <c r="LY176" s="26"/>
      <c r="LZ176" s="26"/>
      <c r="MA176" s="26"/>
      <c r="MB176" s="26"/>
      <c r="MC176" s="26"/>
      <c r="MD176" s="26"/>
      <c r="ME176" s="26"/>
      <c r="MF176" s="26"/>
      <c r="MG176" s="26"/>
      <c r="MH176" s="26"/>
      <c r="MI176" s="26"/>
      <c r="MJ176" s="26"/>
      <c r="MK176" s="26"/>
      <c r="ML176" s="26"/>
      <c r="MM176" s="26"/>
      <c r="MN176" s="26"/>
      <c r="MO176" s="26"/>
      <c r="MP176" s="26"/>
      <c r="MQ176" s="26"/>
      <c r="MR176" s="26"/>
      <c r="MS176" s="26"/>
      <c r="MT176" s="26"/>
      <c r="MU176" s="26"/>
      <c r="MV176" s="26"/>
      <c r="MW176" s="26"/>
      <c r="MX176" s="26"/>
      <c r="MY176" s="26"/>
      <c r="MZ176" s="26"/>
      <c r="NA176" s="26"/>
      <c r="NB176" s="26"/>
      <c r="NC176" s="26"/>
      <c r="ND176" s="26"/>
      <c r="NE176" s="26"/>
      <c r="NF176" s="26"/>
      <c r="NG176" s="26"/>
      <c r="NH176" s="26"/>
      <c r="NI176" s="26"/>
      <c r="NJ176" s="26"/>
      <c r="NK176" s="26"/>
      <c r="NL176" s="26"/>
      <c r="NM176" s="26"/>
      <c r="NN176" s="26"/>
      <c r="NO176" s="26"/>
      <c r="NP176" s="26"/>
      <c r="NQ176" s="26"/>
      <c r="NR176" s="26"/>
      <c r="NS176" s="26"/>
      <c r="NT176" s="26"/>
      <c r="NU176" s="26"/>
      <c r="NV176" s="26"/>
      <c r="NW176" s="26"/>
      <c r="NX176" s="26"/>
      <c r="NY176" s="26"/>
      <c r="NZ176" s="26"/>
      <c r="OA176" s="26"/>
      <c r="OB176" s="26"/>
      <c r="OC176" s="26"/>
      <c r="OD176" s="26"/>
      <c r="OE176" s="26"/>
      <c r="OF176" s="26"/>
      <c r="OG176" s="26"/>
      <c r="OH176" s="26"/>
      <c r="OI176" s="26"/>
      <c r="OJ176" s="26"/>
      <c r="OK176" s="26"/>
      <c r="OL176" s="26"/>
      <c r="OM176" s="26"/>
      <c r="ON176" s="26"/>
      <c r="OO176" s="26"/>
      <c r="OP176" s="26"/>
      <c r="OQ176" s="26"/>
      <c r="OR176" s="26"/>
      <c r="OS176" s="26"/>
      <c r="OT176" s="26"/>
      <c r="OU176" s="26"/>
      <c r="OV176" s="26"/>
      <c r="OW176" s="26"/>
      <c r="OX176" s="26"/>
      <c r="OY176" s="26"/>
      <c r="OZ176" s="26"/>
      <c r="PA176" s="26"/>
      <c r="PB176" s="26"/>
      <c r="PC176" s="26"/>
      <c r="PD176" s="26"/>
      <c r="PE176" s="26"/>
      <c r="PF176" s="26"/>
      <c r="PG176" s="26"/>
      <c r="PH176" s="26"/>
      <c r="PI176" s="26"/>
      <c r="PJ176" s="26"/>
      <c r="PK176" s="26"/>
      <c r="PL176" s="26"/>
      <c r="PM176" s="26"/>
      <c r="PN176" s="26"/>
      <c r="PO176" s="26"/>
      <c r="PP176" s="26"/>
      <c r="PQ176" s="26"/>
      <c r="PR176" s="26"/>
      <c r="PS176" s="26"/>
      <c r="PT176" s="26"/>
      <c r="PU176" s="26"/>
      <c r="PV176" s="26"/>
      <c r="PW176" s="26"/>
      <c r="PX176" s="26"/>
      <c r="PY176" s="26"/>
      <c r="PZ176" s="26"/>
      <c r="QA176" s="26"/>
      <c r="QB176" s="26"/>
      <c r="QC176" s="26"/>
      <c r="QD176" s="26"/>
      <c r="QE176" s="26"/>
      <c r="QF176" s="26"/>
      <c r="QG176" s="26"/>
      <c r="QH176" s="26"/>
      <c r="QI176" s="26"/>
      <c r="QJ176" s="26"/>
      <c r="QK176" s="26"/>
      <c r="QL176" s="26"/>
      <c r="QM176" s="26"/>
      <c r="QN176" s="26"/>
      <c r="QO176" s="26"/>
      <c r="QP176" s="26"/>
      <c r="QQ176" s="26"/>
      <c r="QR176" s="26"/>
      <c r="QS176" s="26"/>
      <c r="QT176" s="26"/>
      <c r="QU176" s="26"/>
      <c r="QV176" s="26"/>
      <c r="QW176" s="26"/>
      <c r="QX176" s="26"/>
      <c r="QY176" s="26"/>
      <c r="QZ176" s="26"/>
      <c r="RA176" s="26"/>
      <c r="RB176" s="26"/>
      <c r="RC176" s="26"/>
      <c r="RD176" s="26"/>
      <c r="RE176" s="26"/>
      <c r="RF176" s="26"/>
      <c r="RG176" s="26"/>
      <c r="RH176" s="26"/>
      <c r="RI176" s="26"/>
      <c r="RJ176" s="26"/>
      <c r="RK176" s="26"/>
      <c r="RL176" s="26"/>
      <c r="RM176" s="26"/>
      <c r="RN176" s="26"/>
      <c r="RO176" s="26"/>
      <c r="RP176" s="26"/>
      <c r="RQ176" s="26"/>
      <c r="RR176" s="26"/>
      <c r="RS176" s="26"/>
      <c r="RT176" s="26"/>
      <c r="RU176" s="26"/>
      <c r="RV176" s="26"/>
      <c r="RW176" s="26"/>
      <c r="RX176" s="26"/>
      <c r="RY176" s="26"/>
      <c r="RZ176" s="26"/>
      <c r="SA176" s="26"/>
      <c r="SB176" s="26"/>
      <c r="SC176" s="26"/>
      <c r="SD176" s="26"/>
      <c r="SE176" s="26"/>
      <c r="SF176" s="26"/>
      <c r="SG176" s="26"/>
      <c r="SH176" s="26"/>
      <c r="SI176" s="26"/>
      <c r="SJ176" s="26"/>
      <c r="SK176" s="26"/>
      <c r="SL176" s="26"/>
      <c r="SM176" s="26"/>
      <c r="SN176" s="26"/>
      <c r="SO176" s="26"/>
      <c r="SP176" s="26"/>
      <c r="SQ176" s="26"/>
      <c r="SR176" s="26"/>
      <c r="SS176" s="26"/>
      <c r="ST176" s="26"/>
      <c r="SU176" s="26"/>
      <c r="SV176" s="26"/>
      <c r="SW176" s="26"/>
      <c r="SX176" s="26"/>
      <c r="SY176" s="26"/>
      <c r="SZ176" s="26"/>
      <c r="TA176" s="26"/>
      <c r="TB176" s="26"/>
      <c r="TC176" s="26"/>
      <c r="TD176" s="26"/>
      <c r="TE176" s="26"/>
      <c r="TF176" s="26"/>
      <c r="TG176" s="26"/>
      <c r="TH176" s="26"/>
      <c r="TI176" s="26"/>
    </row>
    <row r="177" spans="1:529" s="23" customFormat="1" ht="42.75" customHeight="1" x14ac:dyDescent="0.25">
      <c r="A177" s="43" t="s">
        <v>437</v>
      </c>
      <c r="B177" s="44">
        <v>7363</v>
      </c>
      <c r="C177" s="43" t="s">
        <v>102</v>
      </c>
      <c r="D177" s="24" t="s">
        <v>438</v>
      </c>
      <c r="E177" s="69">
        <f t="shared" si="97"/>
        <v>0</v>
      </c>
      <c r="F177" s="69"/>
      <c r="G177" s="69"/>
      <c r="H177" s="69"/>
      <c r="I177" s="69"/>
      <c r="J177" s="69">
        <f t="shared" si="99"/>
        <v>95000</v>
      </c>
      <c r="K177" s="69">
        <v>95000</v>
      </c>
      <c r="L177" s="69"/>
      <c r="M177" s="69"/>
      <c r="N177" s="69"/>
      <c r="O177" s="69">
        <v>95000</v>
      </c>
      <c r="P177" s="69">
        <f t="shared" si="98"/>
        <v>95000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  <c r="JK177" s="26"/>
      <c r="JL177" s="26"/>
      <c r="JM177" s="26"/>
      <c r="JN177" s="26"/>
      <c r="JO177" s="26"/>
      <c r="JP177" s="26"/>
      <c r="JQ177" s="26"/>
      <c r="JR177" s="26"/>
      <c r="JS177" s="26"/>
      <c r="JT177" s="26"/>
      <c r="JU177" s="26"/>
      <c r="JV177" s="26"/>
      <c r="JW177" s="26"/>
      <c r="JX177" s="26"/>
      <c r="JY177" s="26"/>
      <c r="JZ177" s="26"/>
      <c r="KA177" s="26"/>
      <c r="KB177" s="26"/>
      <c r="KC177" s="26"/>
      <c r="KD177" s="26"/>
      <c r="KE177" s="26"/>
      <c r="KF177" s="26"/>
      <c r="KG177" s="26"/>
      <c r="KH177" s="26"/>
      <c r="KI177" s="26"/>
      <c r="KJ177" s="26"/>
      <c r="KK177" s="26"/>
      <c r="KL177" s="26"/>
      <c r="KM177" s="26"/>
      <c r="KN177" s="26"/>
      <c r="KO177" s="26"/>
      <c r="KP177" s="26"/>
      <c r="KQ177" s="26"/>
      <c r="KR177" s="26"/>
      <c r="KS177" s="26"/>
      <c r="KT177" s="26"/>
      <c r="KU177" s="26"/>
      <c r="KV177" s="26"/>
      <c r="KW177" s="26"/>
      <c r="KX177" s="26"/>
      <c r="KY177" s="26"/>
      <c r="KZ177" s="26"/>
      <c r="LA177" s="26"/>
      <c r="LB177" s="26"/>
      <c r="LC177" s="26"/>
      <c r="LD177" s="26"/>
      <c r="LE177" s="26"/>
      <c r="LF177" s="26"/>
      <c r="LG177" s="26"/>
      <c r="LH177" s="26"/>
      <c r="LI177" s="26"/>
      <c r="LJ177" s="26"/>
      <c r="LK177" s="26"/>
      <c r="LL177" s="26"/>
      <c r="LM177" s="26"/>
      <c r="LN177" s="26"/>
      <c r="LO177" s="26"/>
      <c r="LP177" s="26"/>
      <c r="LQ177" s="26"/>
      <c r="LR177" s="26"/>
      <c r="LS177" s="26"/>
      <c r="LT177" s="26"/>
      <c r="LU177" s="26"/>
      <c r="LV177" s="26"/>
      <c r="LW177" s="26"/>
      <c r="LX177" s="26"/>
      <c r="LY177" s="26"/>
      <c r="LZ177" s="26"/>
      <c r="MA177" s="26"/>
      <c r="MB177" s="26"/>
      <c r="MC177" s="26"/>
      <c r="MD177" s="26"/>
      <c r="ME177" s="26"/>
      <c r="MF177" s="26"/>
      <c r="MG177" s="26"/>
      <c r="MH177" s="26"/>
      <c r="MI177" s="26"/>
      <c r="MJ177" s="26"/>
      <c r="MK177" s="26"/>
      <c r="ML177" s="26"/>
      <c r="MM177" s="26"/>
      <c r="MN177" s="26"/>
      <c r="MO177" s="26"/>
      <c r="MP177" s="26"/>
      <c r="MQ177" s="26"/>
      <c r="MR177" s="26"/>
      <c r="MS177" s="26"/>
      <c r="MT177" s="26"/>
      <c r="MU177" s="26"/>
      <c r="MV177" s="26"/>
      <c r="MW177" s="26"/>
      <c r="MX177" s="26"/>
      <c r="MY177" s="26"/>
      <c r="MZ177" s="26"/>
      <c r="NA177" s="26"/>
      <c r="NB177" s="26"/>
      <c r="NC177" s="26"/>
      <c r="ND177" s="26"/>
      <c r="NE177" s="26"/>
      <c r="NF177" s="26"/>
      <c r="NG177" s="26"/>
      <c r="NH177" s="26"/>
      <c r="NI177" s="26"/>
      <c r="NJ177" s="26"/>
      <c r="NK177" s="26"/>
      <c r="NL177" s="26"/>
      <c r="NM177" s="26"/>
      <c r="NN177" s="26"/>
      <c r="NO177" s="26"/>
      <c r="NP177" s="26"/>
      <c r="NQ177" s="26"/>
      <c r="NR177" s="26"/>
      <c r="NS177" s="26"/>
      <c r="NT177" s="26"/>
      <c r="NU177" s="26"/>
      <c r="NV177" s="26"/>
      <c r="NW177" s="26"/>
      <c r="NX177" s="26"/>
      <c r="NY177" s="26"/>
      <c r="NZ177" s="26"/>
      <c r="OA177" s="26"/>
      <c r="OB177" s="26"/>
      <c r="OC177" s="26"/>
      <c r="OD177" s="26"/>
      <c r="OE177" s="26"/>
      <c r="OF177" s="26"/>
      <c r="OG177" s="26"/>
      <c r="OH177" s="26"/>
      <c r="OI177" s="26"/>
      <c r="OJ177" s="26"/>
      <c r="OK177" s="26"/>
      <c r="OL177" s="26"/>
      <c r="OM177" s="26"/>
      <c r="ON177" s="26"/>
      <c r="OO177" s="26"/>
      <c r="OP177" s="26"/>
      <c r="OQ177" s="26"/>
      <c r="OR177" s="26"/>
      <c r="OS177" s="26"/>
      <c r="OT177" s="26"/>
      <c r="OU177" s="26"/>
      <c r="OV177" s="26"/>
      <c r="OW177" s="26"/>
      <c r="OX177" s="26"/>
      <c r="OY177" s="26"/>
      <c r="OZ177" s="26"/>
      <c r="PA177" s="26"/>
      <c r="PB177" s="26"/>
      <c r="PC177" s="26"/>
      <c r="PD177" s="26"/>
      <c r="PE177" s="26"/>
      <c r="PF177" s="26"/>
      <c r="PG177" s="26"/>
      <c r="PH177" s="26"/>
      <c r="PI177" s="26"/>
      <c r="PJ177" s="26"/>
      <c r="PK177" s="26"/>
      <c r="PL177" s="26"/>
      <c r="PM177" s="26"/>
      <c r="PN177" s="26"/>
      <c r="PO177" s="26"/>
      <c r="PP177" s="26"/>
      <c r="PQ177" s="26"/>
      <c r="PR177" s="26"/>
      <c r="PS177" s="26"/>
      <c r="PT177" s="26"/>
      <c r="PU177" s="26"/>
      <c r="PV177" s="26"/>
      <c r="PW177" s="26"/>
      <c r="PX177" s="26"/>
      <c r="PY177" s="26"/>
      <c r="PZ177" s="26"/>
      <c r="QA177" s="26"/>
      <c r="QB177" s="26"/>
      <c r="QC177" s="26"/>
      <c r="QD177" s="26"/>
      <c r="QE177" s="26"/>
      <c r="QF177" s="26"/>
      <c r="QG177" s="26"/>
      <c r="QH177" s="26"/>
      <c r="QI177" s="26"/>
      <c r="QJ177" s="26"/>
      <c r="QK177" s="26"/>
      <c r="QL177" s="26"/>
      <c r="QM177" s="26"/>
      <c r="QN177" s="26"/>
      <c r="QO177" s="26"/>
      <c r="QP177" s="26"/>
      <c r="QQ177" s="26"/>
      <c r="QR177" s="26"/>
      <c r="QS177" s="26"/>
      <c r="QT177" s="26"/>
      <c r="QU177" s="26"/>
      <c r="QV177" s="26"/>
      <c r="QW177" s="26"/>
      <c r="QX177" s="26"/>
      <c r="QY177" s="26"/>
      <c r="QZ177" s="26"/>
      <c r="RA177" s="26"/>
      <c r="RB177" s="26"/>
      <c r="RC177" s="26"/>
      <c r="RD177" s="26"/>
      <c r="RE177" s="26"/>
      <c r="RF177" s="26"/>
      <c r="RG177" s="26"/>
      <c r="RH177" s="26"/>
      <c r="RI177" s="26"/>
      <c r="RJ177" s="26"/>
      <c r="RK177" s="26"/>
      <c r="RL177" s="26"/>
      <c r="RM177" s="26"/>
      <c r="RN177" s="26"/>
      <c r="RO177" s="26"/>
      <c r="RP177" s="26"/>
      <c r="RQ177" s="26"/>
      <c r="RR177" s="26"/>
      <c r="RS177" s="26"/>
      <c r="RT177" s="26"/>
      <c r="RU177" s="26"/>
      <c r="RV177" s="26"/>
      <c r="RW177" s="26"/>
      <c r="RX177" s="26"/>
      <c r="RY177" s="26"/>
      <c r="RZ177" s="26"/>
      <c r="SA177" s="26"/>
      <c r="SB177" s="26"/>
      <c r="SC177" s="26"/>
      <c r="SD177" s="26"/>
      <c r="SE177" s="26"/>
      <c r="SF177" s="26"/>
      <c r="SG177" s="26"/>
      <c r="SH177" s="26"/>
      <c r="SI177" s="26"/>
      <c r="SJ177" s="26"/>
      <c r="SK177" s="26"/>
      <c r="SL177" s="26"/>
      <c r="SM177" s="26"/>
      <c r="SN177" s="26"/>
      <c r="SO177" s="26"/>
      <c r="SP177" s="26"/>
      <c r="SQ177" s="26"/>
      <c r="SR177" s="26"/>
      <c r="SS177" s="26"/>
      <c r="ST177" s="26"/>
      <c r="SU177" s="26"/>
      <c r="SV177" s="26"/>
      <c r="SW177" s="26"/>
      <c r="SX177" s="26"/>
      <c r="SY177" s="26"/>
      <c r="SZ177" s="26"/>
      <c r="TA177" s="26"/>
      <c r="TB177" s="26"/>
      <c r="TC177" s="26"/>
      <c r="TD177" s="26"/>
      <c r="TE177" s="26"/>
      <c r="TF177" s="26"/>
      <c r="TG177" s="26"/>
      <c r="TH177" s="26"/>
      <c r="TI177" s="26"/>
    </row>
    <row r="178" spans="1:529" s="23" customFormat="1" ht="21.75" customHeight="1" x14ac:dyDescent="0.25">
      <c r="A178" s="43" t="s">
        <v>177</v>
      </c>
      <c r="B178" s="44" t="str">
        <f>'дод 4'!A125</f>
        <v>7640</v>
      </c>
      <c r="C178" s="44" t="str">
        <f>'дод 4'!B125</f>
        <v>0470</v>
      </c>
      <c r="D178" s="24" t="str">
        <f>'дод 4'!C125</f>
        <v>Заходи з енергозбереження</v>
      </c>
      <c r="E178" s="69">
        <f t="shared" si="97"/>
        <v>1728011</v>
      </c>
      <c r="F178" s="69">
        <v>1728011</v>
      </c>
      <c r="G178" s="69"/>
      <c r="H178" s="69"/>
      <c r="I178" s="69"/>
      <c r="J178" s="69">
        <f t="shared" si="99"/>
        <v>84089000</v>
      </c>
      <c r="K178" s="69">
        <v>74352548</v>
      </c>
      <c r="L178" s="71"/>
      <c r="M178" s="69"/>
      <c r="N178" s="69"/>
      <c r="O178" s="69">
        <f>74352548+9736452</f>
        <v>84089000</v>
      </c>
      <c r="P178" s="69">
        <f t="shared" si="98"/>
        <v>85817011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  <c r="IW178" s="26"/>
      <c r="IX178" s="26"/>
      <c r="IY178" s="26"/>
      <c r="IZ178" s="26"/>
      <c r="JA178" s="26"/>
      <c r="JB178" s="26"/>
      <c r="JC178" s="26"/>
      <c r="JD178" s="26"/>
      <c r="JE178" s="26"/>
      <c r="JF178" s="26"/>
      <c r="JG178" s="26"/>
      <c r="JH178" s="26"/>
      <c r="JI178" s="26"/>
      <c r="JJ178" s="26"/>
      <c r="JK178" s="26"/>
      <c r="JL178" s="26"/>
      <c r="JM178" s="26"/>
      <c r="JN178" s="26"/>
      <c r="JO178" s="26"/>
      <c r="JP178" s="26"/>
      <c r="JQ178" s="26"/>
      <c r="JR178" s="26"/>
      <c r="JS178" s="26"/>
      <c r="JT178" s="26"/>
      <c r="JU178" s="26"/>
      <c r="JV178" s="26"/>
      <c r="JW178" s="26"/>
      <c r="JX178" s="26"/>
      <c r="JY178" s="26"/>
      <c r="JZ178" s="26"/>
      <c r="KA178" s="26"/>
      <c r="KB178" s="26"/>
      <c r="KC178" s="26"/>
      <c r="KD178" s="26"/>
      <c r="KE178" s="26"/>
      <c r="KF178" s="26"/>
      <c r="KG178" s="26"/>
      <c r="KH178" s="26"/>
      <c r="KI178" s="26"/>
      <c r="KJ178" s="26"/>
      <c r="KK178" s="26"/>
      <c r="KL178" s="26"/>
      <c r="KM178" s="26"/>
      <c r="KN178" s="26"/>
      <c r="KO178" s="26"/>
      <c r="KP178" s="26"/>
      <c r="KQ178" s="26"/>
      <c r="KR178" s="26"/>
      <c r="KS178" s="26"/>
      <c r="KT178" s="26"/>
      <c r="KU178" s="26"/>
      <c r="KV178" s="26"/>
      <c r="KW178" s="26"/>
      <c r="KX178" s="26"/>
      <c r="KY178" s="26"/>
      <c r="KZ178" s="26"/>
      <c r="LA178" s="26"/>
      <c r="LB178" s="26"/>
      <c r="LC178" s="26"/>
      <c r="LD178" s="26"/>
      <c r="LE178" s="26"/>
      <c r="LF178" s="26"/>
      <c r="LG178" s="26"/>
      <c r="LH178" s="26"/>
      <c r="LI178" s="26"/>
      <c r="LJ178" s="26"/>
      <c r="LK178" s="26"/>
      <c r="LL178" s="26"/>
      <c r="LM178" s="26"/>
      <c r="LN178" s="26"/>
      <c r="LO178" s="26"/>
      <c r="LP178" s="26"/>
      <c r="LQ178" s="26"/>
      <c r="LR178" s="26"/>
      <c r="LS178" s="26"/>
      <c r="LT178" s="26"/>
      <c r="LU178" s="26"/>
      <c r="LV178" s="26"/>
      <c r="LW178" s="26"/>
      <c r="LX178" s="26"/>
      <c r="LY178" s="26"/>
      <c r="LZ178" s="26"/>
      <c r="MA178" s="26"/>
      <c r="MB178" s="26"/>
      <c r="MC178" s="26"/>
      <c r="MD178" s="26"/>
      <c r="ME178" s="26"/>
      <c r="MF178" s="26"/>
      <c r="MG178" s="26"/>
      <c r="MH178" s="26"/>
      <c r="MI178" s="26"/>
      <c r="MJ178" s="26"/>
      <c r="MK178" s="26"/>
      <c r="ML178" s="26"/>
      <c r="MM178" s="26"/>
      <c r="MN178" s="26"/>
      <c r="MO178" s="26"/>
      <c r="MP178" s="26"/>
      <c r="MQ178" s="26"/>
      <c r="MR178" s="26"/>
      <c r="MS178" s="26"/>
      <c r="MT178" s="26"/>
      <c r="MU178" s="26"/>
      <c r="MV178" s="26"/>
      <c r="MW178" s="26"/>
      <c r="MX178" s="26"/>
      <c r="MY178" s="26"/>
      <c r="MZ178" s="26"/>
      <c r="NA178" s="26"/>
      <c r="NB178" s="26"/>
      <c r="NC178" s="26"/>
      <c r="ND178" s="26"/>
      <c r="NE178" s="26"/>
      <c r="NF178" s="26"/>
      <c r="NG178" s="26"/>
      <c r="NH178" s="26"/>
      <c r="NI178" s="26"/>
      <c r="NJ178" s="26"/>
      <c r="NK178" s="26"/>
      <c r="NL178" s="26"/>
      <c r="NM178" s="26"/>
      <c r="NN178" s="26"/>
      <c r="NO178" s="26"/>
      <c r="NP178" s="26"/>
      <c r="NQ178" s="26"/>
      <c r="NR178" s="26"/>
      <c r="NS178" s="26"/>
      <c r="NT178" s="26"/>
      <c r="NU178" s="26"/>
      <c r="NV178" s="26"/>
      <c r="NW178" s="26"/>
      <c r="NX178" s="26"/>
      <c r="NY178" s="26"/>
      <c r="NZ178" s="26"/>
      <c r="OA178" s="26"/>
      <c r="OB178" s="26"/>
      <c r="OC178" s="26"/>
      <c r="OD178" s="26"/>
      <c r="OE178" s="26"/>
      <c r="OF178" s="26"/>
      <c r="OG178" s="26"/>
      <c r="OH178" s="26"/>
      <c r="OI178" s="26"/>
      <c r="OJ178" s="26"/>
      <c r="OK178" s="26"/>
      <c r="OL178" s="26"/>
      <c r="OM178" s="26"/>
      <c r="ON178" s="26"/>
      <c r="OO178" s="26"/>
      <c r="OP178" s="26"/>
      <c r="OQ178" s="26"/>
      <c r="OR178" s="26"/>
      <c r="OS178" s="26"/>
      <c r="OT178" s="26"/>
      <c r="OU178" s="26"/>
      <c r="OV178" s="26"/>
      <c r="OW178" s="26"/>
      <c r="OX178" s="26"/>
      <c r="OY178" s="26"/>
      <c r="OZ178" s="26"/>
      <c r="PA178" s="26"/>
      <c r="PB178" s="26"/>
      <c r="PC178" s="26"/>
      <c r="PD178" s="26"/>
      <c r="PE178" s="26"/>
      <c r="PF178" s="26"/>
      <c r="PG178" s="26"/>
      <c r="PH178" s="26"/>
      <c r="PI178" s="26"/>
      <c r="PJ178" s="26"/>
      <c r="PK178" s="26"/>
      <c r="PL178" s="26"/>
      <c r="PM178" s="26"/>
      <c r="PN178" s="26"/>
      <c r="PO178" s="26"/>
      <c r="PP178" s="26"/>
      <c r="PQ178" s="26"/>
      <c r="PR178" s="26"/>
      <c r="PS178" s="26"/>
      <c r="PT178" s="26"/>
      <c r="PU178" s="26"/>
      <c r="PV178" s="26"/>
      <c r="PW178" s="26"/>
      <c r="PX178" s="26"/>
      <c r="PY178" s="26"/>
      <c r="PZ178" s="26"/>
      <c r="QA178" s="26"/>
      <c r="QB178" s="26"/>
      <c r="QC178" s="26"/>
      <c r="QD178" s="26"/>
      <c r="QE178" s="26"/>
      <c r="QF178" s="26"/>
      <c r="QG178" s="26"/>
      <c r="QH178" s="26"/>
      <c r="QI178" s="26"/>
      <c r="QJ178" s="26"/>
      <c r="QK178" s="26"/>
      <c r="QL178" s="26"/>
      <c r="QM178" s="26"/>
      <c r="QN178" s="26"/>
      <c r="QO178" s="26"/>
      <c r="QP178" s="26"/>
      <c r="QQ178" s="26"/>
      <c r="QR178" s="26"/>
      <c r="QS178" s="26"/>
      <c r="QT178" s="26"/>
      <c r="QU178" s="26"/>
      <c r="QV178" s="26"/>
      <c r="QW178" s="26"/>
      <c r="QX178" s="26"/>
      <c r="QY178" s="26"/>
      <c r="QZ178" s="26"/>
      <c r="RA178" s="26"/>
      <c r="RB178" s="26"/>
      <c r="RC178" s="26"/>
      <c r="RD178" s="26"/>
      <c r="RE178" s="26"/>
      <c r="RF178" s="26"/>
      <c r="RG178" s="26"/>
      <c r="RH178" s="26"/>
      <c r="RI178" s="26"/>
      <c r="RJ178" s="26"/>
      <c r="RK178" s="26"/>
      <c r="RL178" s="26"/>
      <c r="RM178" s="26"/>
      <c r="RN178" s="26"/>
      <c r="RO178" s="26"/>
      <c r="RP178" s="26"/>
      <c r="RQ178" s="26"/>
      <c r="RR178" s="26"/>
      <c r="RS178" s="26"/>
      <c r="RT178" s="26"/>
      <c r="RU178" s="26"/>
      <c r="RV178" s="26"/>
      <c r="RW178" s="26"/>
      <c r="RX178" s="26"/>
      <c r="RY178" s="26"/>
      <c r="RZ178" s="26"/>
      <c r="SA178" s="26"/>
      <c r="SB178" s="26"/>
      <c r="SC178" s="26"/>
      <c r="SD178" s="26"/>
      <c r="SE178" s="26"/>
      <c r="SF178" s="26"/>
      <c r="SG178" s="26"/>
      <c r="SH178" s="26"/>
      <c r="SI178" s="26"/>
      <c r="SJ178" s="26"/>
      <c r="SK178" s="26"/>
      <c r="SL178" s="26"/>
      <c r="SM178" s="26"/>
      <c r="SN178" s="26"/>
      <c r="SO178" s="26"/>
      <c r="SP178" s="26"/>
      <c r="SQ178" s="26"/>
      <c r="SR178" s="26"/>
      <c r="SS178" s="26"/>
      <c r="ST178" s="26"/>
      <c r="SU178" s="26"/>
      <c r="SV178" s="26"/>
      <c r="SW178" s="26"/>
      <c r="SX178" s="26"/>
      <c r="SY178" s="26"/>
      <c r="SZ178" s="26"/>
      <c r="TA178" s="26"/>
      <c r="TB178" s="26"/>
      <c r="TC178" s="26"/>
      <c r="TD178" s="26"/>
      <c r="TE178" s="26"/>
      <c r="TF178" s="26"/>
      <c r="TG178" s="26"/>
      <c r="TH178" s="26"/>
      <c r="TI178" s="26"/>
    </row>
    <row r="179" spans="1:529" s="23" customFormat="1" ht="116.25" customHeight="1" x14ac:dyDescent="0.25">
      <c r="A179" s="43" t="s">
        <v>443</v>
      </c>
      <c r="B179" s="44">
        <v>7691</v>
      </c>
      <c r="C179" s="46" t="s">
        <v>102</v>
      </c>
      <c r="D179" s="24" t="s">
        <v>367</v>
      </c>
      <c r="E179" s="69">
        <f t="shared" si="97"/>
        <v>0</v>
      </c>
      <c r="F179" s="69"/>
      <c r="G179" s="69"/>
      <c r="H179" s="69"/>
      <c r="I179" s="69"/>
      <c r="J179" s="69">
        <f t="shared" si="99"/>
        <v>833117.12</v>
      </c>
      <c r="K179" s="69"/>
      <c r="L179" s="71"/>
      <c r="M179" s="69"/>
      <c r="N179" s="69"/>
      <c r="O179" s="69">
        <v>833117.12</v>
      </c>
      <c r="P179" s="69">
        <f t="shared" si="98"/>
        <v>833117.12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  <c r="IW179" s="26"/>
      <c r="IX179" s="26"/>
      <c r="IY179" s="26"/>
      <c r="IZ179" s="26"/>
      <c r="JA179" s="26"/>
      <c r="JB179" s="26"/>
      <c r="JC179" s="26"/>
      <c r="JD179" s="26"/>
      <c r="JE179" s="26"/>
      <c r="JF179" s="26"/>
      <c r="JG179" s="26"/>
      <c r="JH179" s="26"/>
      <c r="JI179" s="26"/>
      <c r="JJ179" s="26"/>
      <c r="JK179" s="26"/>
      <c r="JL179" s="26"/>
      <c r="JM179" s="26"/>
      <c r="JN179" s="26"/>
      <c r="JO179" s="26"/>
      <c r="JP179" s="26"/>
      <c r="JQ179" s="26"/>
      <c r="JR179" s="26"/>
      <c r="JS179" s="26"/>
      <c r="JT179" s="26"/>
      <c r="JU179" s="26"/>
      <c r="JV179" s="26"/>
      <c r="JW179" s="26"/>
      <c r="JX179" s="26"/>
      <c r="JY179" s="26"/>
      <c r="JZ179" s="26"/>
      <c r="KA179" s="26"/>
      <c r="KB179" s="26"/>
      <c r="KC179" s="26"/>
      <c r="KD179" s="26"/>
      <c r="KE179" s="26"/>
      <c r="KF179" s="26"/>
      <c r="KG179" s="26"/>
      <c r="KH179" s="26"/>
      <c r="KI179" s="26"/>
      <c r="KJ179" s="26"/>
      <c r="KK179" s="26"/>
      <c r="KL179" s="26"/>
      <c r="KM179" s="26"/>
      <c r="KN179" s="26"/>
      <c r="KO179" s="26"/>
      <c r="KP179" s="26"/>
      <c r="KQ179" s="26"/>
      <c r="KR179" s="26"/>
      <c r="KS179" s="26"/>
      <c r="KT179" s="26"/>
      <c r="KU179" s="26"/>
      <c r="KV179" s="26"/>
      <c r="KW179" s="26"/>
      <c r="KX179" s="26"/>
      <c r="KY179" s="26"/>
      <c r="KZ179" s="26"/>
      <c r="LA179" s="26"/>
      <c r="LB179" s="26"/>
      <c r="LC179" s="26"/>
      <c r="LD179" s="26"/>
      <c r="LE179" s="26"/>
      <c r="LF179" s="26"/>
      <c r="LG179" s="26"/>
      <c r="LH179" s="26"/>
      <c r="LI179" s="26"/>
      <c r="LJ179" s="26"/>
      <c r="LK179" s="26"/>
      <c r="LL179" s="26"/>
      <c r="LM179" s="26"/>
      <c r="LN179" s="26"/>
      <c r="LO179" s="26"/>
      <c r="LP179" s="26"/>
      <c r="LQ179" s="26"/>
      <c r="LR179" s="26"/>
      <c r="LS179" s="26"/>
      <c r="LT179" s="26"/>
      <c r="LU179" s="26"/>
      <c r="LV179" s="26"/>
      <c r="LW179" s="26"/>
      <c r="LX179" s="26"/>
      <c r="LY179" s="26"/>
      <c r="LZ179" s="26"/>
      <c r="MA179" s="26"/>
      <c r="MB179" s="26"/>
      <c r="MC179" s="26"/>
      <c r="MD179" s="26"/>
      <c r="ME179" s="26"/>
      <c r="MF179" s="26"/>
      <c r="MG179" s="26"/>
      <c r="MH179" s="26"/>
      <c r="MI179" s="26"/>
      <c r="MJ179" s="26"/>
      <c r="MK179" s="26"/>
      <c r="ML179" s="26"/>
      <c r="MM179" s="26"/>
      <c r="MN179" s="26"/>
      <c r="MO179" s="26"/>
      <c r="MP179" s="26"/>
      <c r="MQ179" s="26"/>
      <c r="MR179" s="26"/>
      <c r="MS179" s="26"/>
      <c r="MT179" s="26"/>
      <c r="MU179" s="26"/>
      <c r="MV179" s="26"/>
      <c r="MW179" s="26"/>
      <c r="MX179" s="26"/>
      <c r="MY179" s="26"/>
      <c r="MZ179" s="26"/>
      <c r="NA179" s="26"/>
      <c r="NB179" s="26"/>
      <c r="NC179" s="26"/>
      <c r="ND179" s="26"/>
      <c r="NE179" s="26"/>
      <c r="NF179" s="26"/>
      <c r="NG179" s="26"/>
      <c r="NH179" s="26"/>
      <c r="NI179" s="26"/>
      <c r="NJ179" s="26"/>
      <c r="NK179" s="26"/>
      <c r="NL179" s="26"/>
      <c r="NM179" s="26"/>
      <c r="NN179" s="26"/>
      <c r="NO179" s="26"/>
      <c r="NP179" s="26"/>
      <c r="NQ179" s="26"/>
      <c r="NR179" s="26"/>
      <c r="NS179" s="26"/>
      <c r="NT179" s="26"/>
      <c r="NU179" s="26"/>
      <c r="NV179" s="26"/>
      <c r="NW179" s="26"/>
      <c r="NX179" s="26"/>
      <c r="NY179" s="26"/>
      <c r="NZ179" s="26"/>
      <c r="OA179" s="26"/>
      <c r="OB179" s="26"/>
      <c r="OC179" s="26"/>
      <c r="OD179" s="26"/>
      <c r="OE179" s="26"/>
      <c r="OF179" s="26"/>
      <c r="OG179" s="26"/>
      <c r="OH179" s="26"/>
      <c r="OI179" s="26"/>
      <c r="OJ179" s="26"/>
      <c r="OK179" s="26"/>
      <c r="OL179" s="26"/>
      <c r="OM179" s="26"/>
      <c r="ON179" s="26"/>
      <c r="OO179" s="26"/>
      <c r="OP179" s="26"/>
      <c r="OQ179" s="26"/>
      <c r="OR179" s="26"/>
      <c r="OS179" s="26"/>
      <c r="OT179" s="26"/>
      <c r="OU179" s="26"/>
      <c r="OV179" s="26"/>
      <c r="OW179" s="26"/>
      <c r="OX179" s="26"/>
      <c r="OY179" s="26"/>
      <c r="OZ179" s="26"/>
      <c r="PA179" s="26"/>
      <c r="PB179" s="26"/>
      <c r="PC179" s="26"/>
      <c r="PD179" s="26"/>
      <c r="PE179" s="26"/>
      <c r="PF179" s="26"/>
      <c r="PG179" s="26"/>
      <c r="PH179" s="26"/>
      <c r="PI179" s="26"/>
      <c r="PJ179" s="26"/>
      <c r="PK179" s="26"/>
      <c r="PL179" s="26"/>
      <c r="PM179" s="26"/>
      <c r="PN179" s="26"/>
      <c r="PO179" s="26"/>
      <c r="PP179" s="26"/>
      <c r="PQ179" s="26"/>
      <c r="PR179" s="26"/>
      <c r="PS179" s="26"/>
      <c r="PT179" s="26"/>
      <c r="PU179" s="26"/>
      <c r="PV179" s="26"/>
      <c r="PW179" s="26"/>
      <c r="PX179" s="26"/>
      <c r="PY179" s="26"/>
      <c r="PZ179" s="26"/>
      <c r="QA179" s="26"/>
      <c r="QB179" s="26"/>
      <c r="QC179" s="26"/>
      <c r="QD179" s="26"/>
      <c r="QE179" s="26"/>
      <c r="QF179" s="26"/>
      <c r="QG179" s="26"/>
      <c r="QH179" s="26"/>
      <c r="QI179" s="26"/>
      <c r="QJ179" s="26"/>
      <c r="QK179" s="26"/>
      <c r="QL179" s="26"/>
      <c r="QM179" s="26"/>
      <c r="QN179" s="26"/>
      <c r="QO179" s="26"/>
      <c r="QP179" s="26"/>
      <c r="QQ179" s="26"/>
      <c r="QR179" s="26"/>
      <c r="QS179" s="26"/>
      <c r="QT179" s="26"/>
      <c r="QU179" s="26"/>
      <c r="QV179" s="26"/>
      <c r="QW179" s="26"/>
      <c r="QX179" s="26"/>
      <c r="QY179" s="26"/>
      <c r="QZ179" s="26"/>
      <c r="RA179" s="26"/>
      <c r="RB179" s="26"/>
      <c r="RC179" s="26"/>
      <c r="RD179" s="26"/>
      <c r="RE179" s="26"/>
      <c r="RF179" s="26"/>
      <c r="RG179" s="26"/>
      <c r="RH179" s="26"/>
      <c r="RI179" s="26"/>
      <c r="RJ179" s="26"/>
      <c r="RK179" s="26"/>
      <c r="RL179" s="26"/>
      <c r="RM179" s="26"/>
      <c r="RN179" s="26"/>
      <c r="RO179" s="26"/>
      <c r="RP179" s="26"/>
      <c r="RQ179" s="26"/>
      <c r="RR179" s="26"/>
      <c r="RS179" s="26"/>
      <c r="RT179" s="26"/>
      <c r="RU179" s="26"/>
      <c r="RV179" s="26"/>
      <c r="RW179" s="26"/>
      <c r="RX179" s="26"/>
      <c r="RY179" s="26"/>
      <c r="RZ179" s="26"/>
      <c r="SA179" s="26"/>
      <c r="SB179" s="26"/>
      <c r="SC179" s="26"/>
      <c r="SD179" s="26"/>
      <c r="SE179" s="26"/>
      <c r="SF179" s="26"/>
      <c r="SG179" s="26"/>
      <c r="SH179" s="26"/>
      <c r="SI179" s="26"/>
      <c r="SJ179" s="26"/>
      <c r="SK179" s="26"/>
      <c r="SL179" s="26"/>
      <c r="SM179" s="26"/>
      <c r="SN179" s="26"/>
      <c r="SO179" s="26"/>
      <c r="SP179" s="26"/>
      <c r="SQ179" s="26"/>
      <c r="SR179" s="26"/>
      <c r="SS179" s="26"/>
      <c r="ST179" s="26"/>
      <c r="SU179" s="26"/>
      <c r="SV179" s="26"/>
      <c r="SW179" s="26"/>
      <c r="SX179" s="26"/>
      <c r="SY179" s="26"/>
      <c r="SZ179" s="26"/>
      <c r="TA179" s="26"/>
      <c r="TB179" s="26"/>
      <c r="TC179" s="26"/>
      <c r="TD179" s="26"/>
      <c r="TE179" s="26"/>
      <c r="TF179" s="26"/>
      <c r="TG179" s="26"/>
      <c r="TH179" s="26"/>
      <c r="TI179" s="26"/>
    </row>
    <row r="180" spans="1:529" s="31" customFormat="1" ht="35.25" customHeight="1" x14ac:dyDescent="0.2">
      <c r="A180" s="76" t="s">
        <v>244</v>
      </c>
      <c r="B180" s="74"/>
      <c r="C180" s="74"/>
      <c r="D180" s="30" t="s">
        <v>53</v>
      </c>
      <c r="E180" s="66">
        <f>E181</f>
        <v>9048300</v>
      </c>
      <c r="F180" s="66">
        <f t="shared" ref="F180:J180" si="102">F181</f>
        <v>9048300</v>
      </c>
      <c r="G180" s="66">
        <f t="shared" si="102"/>
        <v>6934200</v>
      </c>
      <c r="H180" s="66">
        <f t="shared" si="102"/>
        <v>92400</v>
      </c>
      <c r="I180" s="66">
        <f t="shared" si="102"/>
        <v>0</v>
      </c>
      <c r="J180" s="66">
        <f t="shared" si="102"/>
        <v>2696249.54</v>
      </c>
      <c r="K180" s="66">
        <f t="shared" ref="K180" si="103">K181</f>
        <v>0</v>
      </c>
      <c r="L180" s="66">
        <f t="shared" ref="L180" si="104">L181</f>
        <v>1946249.54</v>
      </c>
      <c r="M180" s="66">
        <f t="shared" ref="M180" si="105">M181</f>
        <v>0</v>
      </c>
      <c r="N180" s="66">
        <f t="shared" ref="N180" si="106">N181</f>
        <v>0</v>
      </c>
      <c r="O180" s="66">
        <f t="shared" ref="O180:P180" si="107">O181</f>
        <v>750000</v>
      </c>
      <c r="P180" s="66">
        <f t="shared" si="107"/>
        <v>11744549.539999999</v>
      </c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  <c r="IV180" s="38"/>
      <c r="IW180" s="38"/>
      <c r="IX180" s="38"/>
      <c r="IY180" s="38"/>
      <c r="IZ180" s="38"/>
      <c r="JA180" s="38"/>
      <c r="JB180" s="38"/>
      <c r="JC180" s="38"/>
      <c r="JD180" s="38"/>
      <c r="JE180" s="38"/>
      <c r="JF180" s="38"/>
      <c r="JG180" s="38"/>
      <c r="JH180" s="38"/>
      <c r="JI180" s="38"/>
      <c r="JJ180" s="38"/>
      <c r="JK180" s="38"/>
      <c r="JL180" s="38"/>
      <c r="JM180" s="38"/>
      <c r="JN180" s="38"/>
      <c r="JO180" s="38"/>
      <c r="JP180" s="38"/>
      <c r="JQ180" s="38"/>
      <c r="JR180" s="38"/>
      <c r="JS180" s="38"/>
      <c r="JT180" s="38"/>
      <c r="JU180" s="38"/>
      <c r="JV180" s="38"/>
      <c r="JW180" s="38"/>
      <c r="JX180" s="38"/>
      <c r="JY180" s="38"/>
      <c r="JZ180" s="38"/>
      <c r="KA180" s="38"/>
      <c r="KB180" s="38"/>
      <c r="KC180" s="38"/>
      <c r="KD180" s="38"/>
      <c r="KE180" s="38"/>
      <c r="KF180" s="38"/>
      <c r="KG180" s="38"/>
      <c r="KH180" s="38"/>
      <c r="KI180" s="38"/>
      <c r="KJ180" s="38"/>
      <c r="KK180" s="38"/>
      <c r="KL180" s="38"/>
      <c r="KM180" s="38"/>
      <c r="KN180" s="38"/>
      <c r="KO180" s="38"/>
      <c r="KP180" s="38"/>
      <c r="KQ180" s="38"/>
      <c r="KR180" s="38"/>
      <c r="KS180" s="38"/>
      <c r="KT180" s="38"/>
      <c r="KU180" s="38"/>
      <c r="KV180" s="38"/>
      <c r="KW180" s="38"/>
      <c r="KX180" s="38"/>
      <c r="KY180" s="38"/>
      <c r="KZ180" s="38"/>
      <c r="LA180" s="38"/>
      <c r="LB180" s="38"/>
      <c r="LC180" s="38"/>
      <c r="LD180" s="38"/>
      <c r="LE180" s="38"/>
      <c r="LF180" s="38"/>
      <c r="LG180" s="38"/>
      <c r="LH180" s="38"/>
      <c r="LI180" s="38"/>
      <c r="LJ180" s="38"/>
      <c r="LK180" s="38"/>
      <c r="LL180" s="38"/>
      <c r="LM180" s="38"/>
      <c r="LN180" s="38"/>
      <c r="LO180" s="38"/>
      <c r="LP180" s="38"/>
      <c r="LQ180" s="38"/>
      <c r="LR180" s="38"/>
      <c r="LS180" s="38"/>
      <c r="LT180" s="38"/>
      <c r="LU180" s="38"/>
      <c r="LV180" s="38"/>
      <c r="LW180" s="38"/>
      <c r="LX180" s="38"/>
      <c r="LY180" s="38"/>
      <c r="LZ180" s="38"/>
      <c r="MA180" s="38"/>
      <c r="MB180" s="38"/>
      <c r="MC180" s="38"/>
      <c r="MD180" s="38"/>
      <c r="ME180" s="38"/>
      <c r="MF180" s="38"/>
      <c r="MG180" s="38"/>
      <c r="MH180" s="38"/>
      <c r="MI180" s="38"/>
      <c r="MJ180" s="38"/>
      <c r="MK180" s="38"/>
      <c r="ML180" s="38"/>
      <c r="MM180" s="38"/>
      <c r="MN180" s="38"/>
      <c r="MO180" s="38"/>
      <c r="MP180" s="38"/>
      <c r="MQ180" s="38"/>
      <c r="MR180" s="38"/>
      <c r="MS180" s="38"/>
      <c r="MT180" s="38"/>
      <c r="MU180" s="38"/>
      <c r="MV180" s="38"/>
      <c r="MW180" s="38"/>
      <c r="MX180" s="38"/>
      <c r="MY180" s="38"/>
      <c r="MZ180" s="38"/>
      <c r="NA180" s="38"/>
      <c r="NB180" s="38"/>
      <c r="NC180" s="38"/>
      <c r="ND180" s="38"/>
      <c r="NE180" s="38"/>
      <c r="NF180" s="38"/>
      <c r="NG180" s="38"/>
      <c r="NH180" s="38"/>
      <c r="NI180" s="38"/>
      <c r="NJ180" s="38"/>
      <c r="NK180" s="38"/>
      <c r="NL180" s="38"/>
      <c r="NM180" s="38"/>
      <c r="NN180" s="38"/>
      <c r="NO180" s="38"/>
      <c r="NP180" s="38"/>
      <c r="NQ180" s="38"/>
      <c r="NR180" s="38"/>
      <c r="NS180" s="38"/>
      <c r="NT180" s="38"/>
      <c r="NU180" s="38"/>
      <c r="NV180" s="38"/>
      <c r="NW180" s="38"/>
      <c r="NX180" s="38"/>
      <c r="NY180" s="38"/>
      <c r="NZ180" s="38"/>
      <c r="OA180" s="38"/>
      <c r="OB180" s="38"/>
      <c r="OC180" s="38"/>
      <c r="OD180" s="38"/>
      <c r="OE180" s="38"/>
      <c r="OF180" s="38"/>
      <c r="OG180" s="38"/>
      <c r="OH180" s="38"/>
      <c r="OI180" s="38"/>
      <c r="OJ180" s="38"/>
      <c r="OK180" s="38"/>
      <c r="OL180" s="38"/>
      <c r="OM180" s="38"/>
      <c r="ON180" s="38"/>
      <c r="OO180" s="38"/>
      <c r="OP180" s="38"/>
      <c r="OQ180" s="38"/>
      <c r="OR180" s="38"/>
      <c r="OS180" s="38"/>
      <c r="OT180" s="38"/>
      <c r="OU180" s="38"/>
      <c r="OV180" s="38"/>
      <c r="OW180" s="38"/>
      <c r="OX180" s="38"/>
      <c r="OY180" s="38"/>
      <c r="OZ180" s="38"/>
      <c r="PA180" s="38"/>
      <c r="PB180" s="38"/>
      <c r="PC180" s="38"/>
      <c r="PD180" s="38"/>
      <c r="PE180" s="38"/>
      <c r="PF180" s="38"/>
      <c r="PG180" s="38"/>
      <c r="PH180" s="38"/>
      <c r="PI180" s="38"/>
      <c r="PJ180" s="38"/>
      <c r="PK180" s="38"/>
      <c r="PL180" s="38"/>
      <c r="PM180" s="38"/>
      <c r="PN180" s="38"/>
      <c r="PO180" s="38"/>
      <c r="PP180" s="38"/>
      <c r="PQ180" s="38"/>
      <c r="PR180" s="38"/>
      <c r="PS180" s="38"/>
      <c r="PT180" s="38"/>
      <c r="PU180" s="38"/>
      <c r="PV180" s="38"/>
      <c r="PW180" s="38"/>
      <c r="PX180" s="38"/>
      <c r="PY180" s="38"/>
      <c r="PZ180" s="38"/>
      <c r="QA180" s="38"/>
      <c r="QB180" s="38"/>
      <c r="QC180" s="38"/>
      <c r="QD180" s="38"/>
      <c r="QE180" s="38"/>
      <c r="QF180" s="38"/>
      <c r="QG180" s="38"/>
      <c r="QH180" s="38"/>
      <c r="QI180" s="38"/>
      <c r="QJ180" s="38"/>
      <c r="QK180" s="38"/>
      <c r="QL180" s="38"/>
      <c r="QM180" s="38"/>
      <c r="QN180" s="38"/>
      <c r="QO180" s="38"/>
      <c r="QP180" s="38"/>
      <c r="QQ180" s="38"/>
      <c r="QR180" s="38"/>
      <c r="QS180" s="38"/>
      <c r="QT180" s="38"/>
      <c r="QU180" s="38"/>
      <c r="QV180" s="38"/>
      <c r="QW180" s="38"/>
      <c r="QX180" s="38"/>
      <c r="QY180" s="38"/>
      <c r="QZ180" s="38"/>
      <c r="RA180" s="38"/>
      <c r="RB180" s="38"/>
      <c r="RC180" s="38"/>
      <c r="RD180" s="38"/>
      <c r="RE180" s="38"/>
      <c r="RF180" s="38"/>
      <c r="RG180" s="38"/>
      <c r="RH180" s="38"/>
      <c r="RI180" s="38"/>
      <c r="RJ180" s="38"/>
      <c r="RK180" s="38"/>
      <c r="RL180" s="38"/>
      <c r="RM180" s="38"/>
      <c r="RN180" s="38"/>
      <c r="RO180" s="38"/>
      <c r="RP180" s="38"/>
      <c r="RQ180" s="38"/>
      <c r="RR180" s="38"/>
      <c r="RS180" s="38"/>
      <c r="RT180" s="38"/>
      <c r="RU180" s="38"/>
      <c r="RV180" s="38"/>
      <c r="RW180" s="38"/>
      <c r="RX180" s="38"/>
      <c r="RY180" s="38"/>
      <c r="RZ180" s="38"/>
      <c r="SA180" s="38"/>
      <c r="SB180" s="38"/>
      <c r="SC180" s="38"/>
      <c r="SD180" s="38"/>
      <c r="SE180" s="38"/>
      <c r="SF180" s="38"/>
      <c r="SG180" s="38"/>
      <c r="SH180" s="38"/>
      <c r="SI180" s="38"/>
      <c r="SJ180" s="38"/>
      <c r="SK180" s="38"/>
      <c r="SL180" s="38"/>
      <c r="SM180" s="38"/>
      <c r="SN180" s="38"/>
      <c r="SO180" s="38"/>
      <c r="SP180" s="38"/>
      <c r="SQ180" s="38"/>
      <c r="SR180" s="38"/>
      <c r="SS180" s="38"/>
      <c r="ST180" s="38"/>
      <c r="SU180" s="38"/>
      <c r="SV180" s="38"/>
      <c r="SW180" s="38"/>
      <c r="SX180" s="38"/>
      <c r="SY180" s="38"/>
      <c r="SZ180" s="38"/>
      <c r="TA180" s="38"/>
      <c r="TB180" s="38"/>
      <c r="TC180" s="38"/>
      <c r="TD180" s="38"/>
      <c r="TE180" s="38"/>
      <c r="TF180" s="38"/>
      <c r="TG180" s="38"/>
      <c r="TH180" s="38"/>
      <c r="TI180" s="38"/>
    </row>
    <row r="181" spans="1:529" s="40" customFormat="1" ht="41.25" customHeight="1" x14ac:dyDescent="0.25">
      <c r="A181" s="77" t="s">
        <v>245</v>
      </c>
      <c r="B181" s="75"/>
      <c r="C181" s="75"/>
      <c r="D181" s="33" t="s">
        <v>53</v>
      </c>
      <c r="E181" s="68">
        <f>E182+E183+E184</f>
        <v>9048300</v>
      </c>
      <c r="F181" s="68">
        <f t="shared" ref="F181:P181" si="108">F182+F183+F184</f>
        <v>9048300</v>
      </c>
      <c r="G181" s="68">
        <f t="shared" si="108"/>
        <v>6934200</v>
      </c>
      <c r="H181" s="68">
        <f t="shared" si="108"/>
        <v>92400</v>
      </c>
      <c r="I181" s="68">
        <f t="shared" si="108"/>
        <v>0</v>
      </c>
      <c r="J181" s="68">
        <f t="shared" si="108"/>
        <v>2696249.54</v>
      </c>
      <c r="K181" s="68">
        <f t="shared" si="108"/>
        <v>0</v>
      </c>
      <c r="L181" s="68">
        <f>L182+L183+L184</f>
        <v>1946249.54</v>
      </c>
      <c r="M181" s="68">
        <f t="shared" si="108"/>
        <v>0</v>
      </c>
      <c r="N181" s="68">
        <f t="shared" si="108"/>
        <v>0</v>
      </c>
      <c r="O181" s="68">
        <f t="shared" si="108"/>
        <v>750000</v>
      </c>
      <c r="P181" s="68">
        <f t="shared" si="108"/>
        <v>11744549.539999999</v>
      </c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  <c r="IV181" s="39"/>
      <c r="IW181" s="39"/>
      <c r="IX181" s="39"/>
      <c r="IY181" s="39"/>
      <c r="IZ181" s="39"/>
      <c r="JA181" s="39"/>
      <c r="JB181" s="39"/>
      <c r="JC181" s="39"/>
      <c r="JD181" s="39"/>
      <c r="JE181" s="39"/>
      <c r="JF181" s="39"/>
      <c r="JG181" s="39"/>
      <c r="JH181" s="39"/>
      <c r="JI181" s="39"/>
      <c r="JJ181" s="39"/>
      <c r="JK181" s="39"/>
      <c r="JL181" s="39"/>
      <c r="JM181" s="39"/>
      <c r="JN181" s="39"/>
      <c r="JO181" s="39"/>
      <c r="JP181" s="39"/>
      <c r="JQ181" s="39"/>
      <c r="JR181" s="39"/>
      <c r="JS181" s="39"/>
      <c r="JT181" s="39"/>
      <c r="JU181" s="39"/>
      <c r="JV181" s="39"/>
      <c r="JW181" s="39"/>
      <c r="JX181" s="39"/>
      <c r="JY181" s="39"/>
      <c r="JZ181" s="39"/>
      <c r="KA181" s="39"/>
      <c r="KB181" s="39"/>
      <c r="KC181" s="39"/>
      <c r="KD181" s="39"/>
      <c r="KE181" s="39"/>
      <c r="KF181" s="39"/>
      <c r="KG181" s="39"/>
      <c r="KH181" s="39"/>
      <c r="KI181" s="39"/>
      <c r="KJ181" s="39"/>
      <c r="KK181" s="39"/>
      <c r="KL181" s="39"/>
      <c r="KM181" s="39"/>
      <c r="KN181" s="39"/>
      <c r="KO181" s="39"/>
      <c r="KP181" s="39"/>
      <c r="KQ181" s="39"/>
      <c r="KR181" s="39"/>
      <c r="KS181" s="39"/>
      <c r="KT181" s="39"/>
      <c r="KU181" s="39"/>
      <c r="KV181" s="39"/>
      <c r="KW181" s="39"/>
      <c r="KX181" s="39"/>
      <c r="KY181" s="39"/>
      <c r="KZ181" s="39"/>
      <c r="LA181" s="39"/>
      <c r="LB181" s="39"/>
      <c r="LC181" s="39"/>
      <c r="LD181" s="39"/>
      <c r="LE181" s="39"/>
      <c r="LF181" s="39"/>
      <c r="LG181" s="39"/>
      <c r="LH181" s="39"/>
      <c r="LI181" s="39"/>
      <c r="LJ181" s="39"/>
      <c r="LK181" s="39"/>
      <c r="LL181" s="39"/>
      <c r="LM181" s="39"/>
      <c r="LN181" s="39"/>
      <c r="LO181" s="39"/>
      <c r="LP181" s="39"/>
      <c r="LQ181" s="39"/>
      <c r="LR181" s="39"/>
      <c r="LS181" s="39"/>
      <c r="LT181" s="39"/>
      <c r="LU181" s="39"/>
      <c r="LV181" s="39"/>
      <c r="LW181" s="39"/>
      <c r="LX181" s="39"/>
      <c r="LY181" s="39"/>
      <c r="LZ181" s="39"/>
      <c r="MA181" s="39"/>
      <c r="MB181" s="39"/>
      <c r="MC181" s="39"/>
      <c r="MD181" s="39"/>
      <c r="ME181" s="39"/>
      <c r="MF181" s="39"/>
      <c r="MG181" s="39"/>
      <c r="MH181" s="39"/>
      <c r="MI181" s="39"/>
      <c r="MJ181" s="39"/>
      <c r="MK181" s="39"/>
      <c r="ML181" s="39"/>
      <c r="MM181" s="39"/>
      <c r="MN181" s="39"/>
      <c r="MO181" s="39"/>
      <c r="MP181" s="39"/>
      <c r="MQ181" s="39"/>
      <c r="MR181" s="39"/>
      <c r="MS181" s="39"/>
      <c r="MT181" s="39"/>
      <c r="MU181" s="39"/>
      <c r="MV181" s="39"/>
      <c r="MW181" s="39"/>
      <c r="MX181" s="39"/>
      <c r="MY181" s="39"/>
      <c r="MZ181" s="39"/>
      <c r="NA181" s="39"/>
      <c r="NB181" s="39"/>
      <c r="NC181" s="39"/>
      <c r="ND181" s="39"/>
      <c r="NE181" s="39"/>
      <c r="NF181" s="39"/>
      <c r="NG181" s="39"/>
      <c r="NH181" s="39"/>
      <c r="NI181" s="39"/>
      <c r="NJ181" s="39"/>
      <c r="NK181" s="39"/>
      <c r="NL181" s="39"/>
      <c r="NM181" s="39"/>
      <c r="NN181" s="39"/>
      <c r="NO181" s="39"/>
      <c r="NP181" s="39"/>
      <c r="NQ181" s="39"/>
      <c r="NR181" s="39"/>
      <c r="NS181" s="39"/>
      <c r="NT181" s="39"/>
      <c r="NU181" s="39"/>
      <c r="NV181" s="39"/>
      <c r="NW181" s="39"/>
      <c r="NX181" s="39"/>
      <c r="NY181" s="39"/>
      <c r="NZ181" s="39"/>
      <c r="OA181" s="39"/>
      <c r="OB181" s="39"/>
      <c r="OC181" s="39"/>
      <c r="OD181" s="39"/>
      <c r="OE181" s="39"/>
      <c r="OF181" s="39"/>
      <c r="OG181" s="39"/>
      <c r="OH181" s="39"/>
      <c r="OI181" s="39"/>
      <c r="OJ181" s="39"/>
      <c r="OK181" s="39"/>
      <c r="OL181" s="39"/>
      <c r="OM181" s="39"/>
      <c r="ON181" s="39"/>
      <c r="OO181" s="39"/>
      <c r="OP181" s="39"/>
      <c r="OQ181" s="39"/>
      <c r="OR181" s="39"/>
      <c r="OS181" s="39"/>
      <c r="OT181" s="39"/>
      <c r="OU181" s="39"/>
      <c r="OV181" s="39"/>
      <c r="OW181" s="39"/>
      <c r="OX181" s="39"/>
      <c r="OY181" s="39"/>
      <c r="OZ181" s="39"/>
      <c r="PA181" s="39"/>
      <c r="PB181" s="39"/>
      <c r="PC181" s="39"/>
      <c r="PD181" s="39"/>
      <c r="PE181" s="39"/>
      <c r="PF181" s="39"/>
      <c r="PG181" s="39"/>
      <c r="PH181" s="39"/>
      <c r="PI181" s="39"/>
      <c r="PJ181" s="39"/>
      <c r="PK181" s="39"/>
      <c r="PL181" s="39"/>
      <c r="PM181" s="39"/>
      <c r="PN181" s="39"/>
      <c r="PO181" s="39"/>
      <c r="PP181" s="39"/>
      <c r="PQ181" s="39"/>
      <c r="PR181" s="39"/>
      <c r="PS181" s="39"/>
      <c r="PT181" s="39"/>
      <c r="PU181" s="39"/>
      <c r="PV181" s="39"/>
      <c r="PW181" s="39"/>
      <c r="PX181" s="39"/>
      <c r="PY181" s="39"/>
      <c r="PZ181" s="39"/>
      <c r="QA181" s="39"/>
      <c r="QB181" s="39"/>
      <c r="QC181" s="39"/>
      <c r="QD181" s="39"/>
      <c r="QE181" s="39"/>
      <c r="QF181" s="39"/>
      <c r="QG181" s="39"/>
      <c r="QH181" s="39"/>
      <c r="QI181" s="39"/>
      <c r="QJ181" s="39"/>
      <c r="QK181" s="39"/>
      <c r="QL181" s="39"/>
      <c r="QM181" s="39"/>
      <c r="QN181" s="39"/>
      <c r="QO181" s="39"/>
      <c r="QP181" s="39"/>
      <c r="QQ181" s="39"/>
      <c r="QR181" s="39"/>
      <c r="QS181" s="39"/>
      <c r="QT181" s="39"/>
      <c r="QU181" s="39"/>
      <c r="QV181" s="39"/>
      <c r="QW181" s="39"/>
      <c r="QX181" s="39"/>
      <c r="QY181" s="39"/>
      <c r="QZ181" s="39"/>
      <c r="RA181" s="39"/>
      <c r="RB181" s="39"/>
      <c r="RC181" s="39"/>
      <c r="RD181" s="39"/>
      <c r="RE181" s="39"/>
      <c r="RF181" s="39"/>
      <c r="RG181" s="39"/>
      <c r="RH181" s="39"/>
      <c r="RI181" s="39"/>
      <c r="RJ181" s="39"/>
      <c r="RK181" s="39"/>
      <c r="RL181" s="39"/>
      <c r="RM181" s="39"/>
      <c r="RN181" s="39"/>
      <c r="RO181" s="39"/>
      <c r="RP181" s="39"/>
      <c r="RQ181" s="39"/>
      <c r="RR181" s="39"/>
      <c r="RS181" s="39"/>
      <c r="RT181" s="39"/>
      <c r="RU181" s="39"/>
      <c r="RV181" s="39"/>
      <c r="RW181" s="39"/>
      <c r="RX181" s="39"/>
      <c r="RY181" s="39"/>
      <c r="RZ181" s="39"/>
      <c r="SA181" s="39"/>
      <c r="SB181" s="39"/>
      <c r="SC181" s="39"/>
      <c r="SD181" s="39"/>
      <c r="SE181" s="39"/>
      <c r="SF181" s="39"/>
      <c r="SG181" s="39"/>
      <c r="SH181" s="39"/>
      <c r="SI181" s="39"/>
      <c r="SJ181" s="39"/>
      <c r="SK181" s="39"/>
      <c r="SL181" s="39"/>
      <c r="SM181" s="39"/>
      <c r="SN181" s="39"/>
      <c r="SO181" s="39"/>
      <c r="SP181" s="39"/>
      <c r="SQ181" s="39"/>
      <c r="SR181" s="39"/>
      <c r="SS181" s="39"/>
      <c r="ST181" s="39"/>
      <c r="SU181" s="39"/>
      <c r="SV181" s="39"/>
      <c r="SW181" s="39"/>
      <c r="SX181" s="39"/>
      <c r="SY181" s="39"/>
      <c r="SZ181" s="39"/>
      <c r="TA181" s="39"/>
      <c r="TB181" s="39"/>
      <c r="TC181" s="39"/>
      <c r="TD181" s="39"/>
      <c r="TE181" s="39"/>
      <c r="TF181" s="39"/>
      <c r="TG181" s="39"/>
      <c r="TH181" s="39"/>
      <c r="TI181" s="39"/>
    </row>
    <row r="182" spans="1:529" s="23" customFormat="1" ht="45" customHeight="1" x14ac:dyDescent="0.25">
      <c r="A182" s="43" t="s">
        <v>246</v>
      </c>
      <c r="B182" s="44" t="str">
        <f>'дод 4'!A20</f>
        <v>0160</v>
      </c>
      <c r="C182" s="44" t="str">
        <f>'дод 4'!B20</f>
        <v>0111</v>
      </c>
      <c r="D182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82" s="69">
        <f>F182+I182</f>
        <v>8873300</v>
      </c>
      <c r="F182" s="69">
        <f>8936200+12100+288619-394119+50000-19500</f>
        <v>8873300</v>
      </c>
      <c r="G182" s="69">
        <f>7036700+236573-323073-16000</f>
        <v>6934200</v>
      </c>
      <c r="H182" s="69">
        <v>92400</v>
      </c>
      <c r="I182" s="69"/>
      <c r="J182" s="69">
        <f t="shared" si="99"/>
        <v>0</v>
      </c>
      <c r="K182" s="69"/>
      <c r="L182" s="69"/>
      <c r="M182" s="69"/>
      <c r="N182" s="69"/>
      <c r="O182" s="69"/>
      <c r="P182" s="69">
        <f>E182+J182</f>
        <v>8873300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  <c r="LB182" s="26"/>
      <c r="LC182" s="26"/>
      <c r="LD182" s="26"/>
      <c r="LE182" s="26"/>
      <c r="LF182" s="26"/>
      <c r="LG182" s="26"/>
      <c r="LH182" s="26"/>
      <c r="LI182" s="26"/>
      <c r="LJ182" s="26"/>
      <c r="LK182" s="26"/>
      <c r="LL182" s="26"/>
      <c r="LM182" s="26"/>
      <c r="LN182" s="26"/>
      <c r="LO182" s="26"/>
      <c r="LP182" s="26"/>
      <c r="LQ182" s="26"/>
      <c r="LR182" s="26"/>
      <c r="LS182" s="26"/>
      <c r="LT182" s="26"/>
      <c r="LU182" s="26"/>
      <c r="LV182" s="26"/>
      <c r="LW182" s="26"/>
      <c r="LX182" s="26"/>
      <c r="LY182" s="26"/>
      <c r="LZ182" s="26"/>
      <c r="MA182" s="26"/>
      <c r="MB182" s="26"/>
      <c r="MC182" s="26"/>
      <c r="MD182" s="26"/>
      <c r="ME182" s="26"/>
      <c r="MF182" s="26"/>
      <c r="MG182" s="26"/>
      <c r="MH182" s="26"/>
      <c r="MI182" s="26"/>
      <c r="MJ182" s="26"/>
      <c r="MK182" s="26"/>
      <c r="ML182" s="26"/>
      <c r="MM182" s="26"/>
      <c r="MN182" s="26"/>
      <c r="MO182" s="26"/>
      <c r="MP182" s="26"/>
      <c r="MQ182" s="26"/>
      <c r="MR182" s="26"/>
      <c r="MS182" s="26"/>
      <c r="MT182" s="26"/>
      <c r="MU182" s="26"/>
      <c r="MV182" s="26"/>
      <c r="MW182" s="26"/>
      <c r="MX182" s="26"/>
      <c r="MY182" s="26"/>
      <c r="MZ182" s="26"/>
      <c r="NA182" s="26"/>
      <c r="NB182" s="26"/>
      <c r="NC182" s="26"/>
      <c r="ND182" s="26"/>
      <c r="NE182" s="26"/>
      <c r="NF182" s="26"/>
      <c r="NG182" s="26"/>
      <c r="NH182" s="26"/>
      <c r="NI182" s="26"/>
      <c r="NJ182" s="26"/>
      <c r="NK182" s="26"/>
      <c r="NL182" s="26"/>
      <c r="NM182" s="26"/>
      <c r="NN182" s="26"/>
      <c r="NO182" s="26"/>
      <c r="NP182" s="26"/>
      <c r="NQ182" s="26"/>
      <c r="NR182" s="26"/>
      <c r="NS182" s="26"/>
      <c r="NT182" s="26"/>
      <c r="NU182" s="26"/>
      <c r="NV182" s="26"/>
      <c r="NW182" s="26"/>
      <c r="NX182" s="26"/>
      <c r="NY182" s="26"/>
      <c r="NZ182" s="26"/>
      <c r="OA182" s="26"/>
      <c r="OB182" s="26"/>
      <c r="OC182" s="26"/>
      <c r="OD182" s="26"/>
      <c r="OE182" s="26"/>
      <c r="OF182" s="26"/>
      <c r="OG182" s="26"/>
      <c r="OH182" s="26"/>
      <c r="OI182" s="26"/>
      <c r="OJ182" s="26"/>
      <c r="OK182" s="26"/>
      <c r="OL182" s="26"/>
      <c r="OM182" s="26"/>
      <c r="ON182" s="26"/>
      <c r="OO182" s="26"/>
      <c r="OP182" s="26"/>
      <c r="OQ182" s="26"/>
      <c r="OR182" s="26"/>
      <c r="OS182" s="26"/>
      <c r="OT182" s="26"/>
      <c r="OU182" s="26"/>
      <c r="OV182" s="26"/>
      <c r="OW182" s="26"/>
      <c r="OX182" s="26"/>
      <c r="OY182" s="26"/>
      <c r="OZ182" s="26"/>
      <c r="PA182" s="26"/>
      <c r="PB182" s="26"/>
      <c r="PC182" s="26"/>
      <c r="PD182" s="26"/>
      <c r="PE182" s="26"/>
      <c r="PF182" s="26"/>
      <c r="PG182" s="26"/>
      <c r="PH182" s="26"/>
      <c r="PI182" s="26"/>
      <c r="PJ182" s="26"/>
      <c r="PK182" s="26"/>
      <c r="PL182" s="26"/>
      <c r="PM182" s="26"/>
      <c r="PN182" s="26"/>
      <c r="PO182" s="26"/>
      <c r="PP182" s="26"/>
      <c r="PQ182" s="26"/>
      <c r="PR182" s="26"/>
      <c r="PS182" s="26"/>
      <c r="PT182" s="26"/>
      <c r="PU182" s="26"/>
      <c r="PV182" s="26"/>
      <c r="PW182" s="26"/>
      <c r="PX182" s="26"/>
      <c r="PY182" s="26"/>
      <c r="PZ182" s="26"/>
      <c r="QA182" s="26"/>
      <c r="QB182" s="26"/>
      <c r="QC182" s="26"/>
      <c r="QD182" s="26"/>
      <c r="QE182" s="26"/>
      <c r="QF182" s="26"/>
      <c r="QG182" s="26"/>
      <c r="QH182" s="26"/>
      <c r="QI182" s="26"/>
      <c r="QJ182" s="26"/>
      <c r="QK182" s="26"/>
      <c r="QL182" s="26"/>
      <c r="QM182" s="26"/>
      <c r="QN182" s="26"/>
      <c r="QO182" s="26"/>
      <c r="QP182" s="26"/>
      <c r="QQ182" s="26"/>
      <c r="QR182" s="26"/>
      <c r="QS182" s="26"/>
      <c r="QT182" s="26"/>
      <c r="QU182" s="26"/>
      <c r="QV182" s="26"/>
      <c r="QW182" s="26"/>
      <c r="QX182" s="26"/>
      <c r="QY182" s="26"/>
      <c r="QZ182" s="26"/>
      <c r="RA182" s="26"/>
      <c r="RB182" s="26"/>
      <c r="RC182" s="26"/>
      <c r="RD182" s="26"/>
      <c r="RE182" s="26"/>
      <c r="RF182" s="26"/>
      <c r="RG182" s="26"/>
      <c r="RH182" s="26"/>
      <c r="RI182" s="26"/>
      <c r="RJ182" s="26"/>
      <c r="RK182" s="26"/>
      <c r="RL182" s="26"/>
      <c r="RM182" s="26"/>
      <c r="RN182" s="26"/>
      <c r="RO182" s="26"/>
      <c r="RP182" s="26"/>
      <c r="RQ182" s="26"/>
      <c r="RR182" s="26"/>
      <c r="RS182" s="26"/>
      <c r="RT182" s="26"/>
      <c r="RU182" s="26"/>
      <c r="RV182" s="26"/>
      <c r="RW182" s="26"/>
      <c r="RX182" s="26"/>
      <c r="RY182" s="26"/>
      <c r="RZ182" s="26"/>
      <c r="SA182" s="26"/>
      <c r="SB182" s="26"/>
      <c r="SC182" s="26"/>
      <c r="SD182" s="26"/>
      <c r="SE182" s="26"/>
      <c r="SF182" s="26"/>
      <c r="SG182" s="26"/>
      <c r="SH182" s="26"/>
      <c r="SI182" s="26"/>
      <c r="SJ182" s="26"/>
      <c r="SK182" s="26"/>
      <c r="SL182" s="26"/>
      <c r="SM182" s="26"/>
      <c r="SN182" s="26"/>
      <c r="SO182" s="26"/>
      <c r="SP182" s="26"/>
      <c r="SQ182" s="26"/>
      <c r="SR182" s="26"/>
      <c r="SS182" s="26"/>
      <c r="ST182" s="26"/>
      <c r="SU182" s="26"/>
      <c r="SV182" s="26"/>
      <c r="SW182" s="26"/>
      <c r="SX182" s="26"/>
      <c r="SY182" s="26"/>
      <c r="SZ182" s="26"/>
      <c r="TA182" s="26"/>
      <c r="TB182" s="26"/>
      <c r="TC182" s="26"/>
      <c r="TD182" s="26"/>
      <c r="TE182" s="26"/>
      <c r="TF182" s="26"/>
      <c r="TG182" s="26"/>
      <c r="TH182" s="26"/>
      <c r="TI182" s="26"/>
    </row>
    <row r="183" spans="1:529" s="23" customFormat="1" ht="34.5" customHeight="1" x14ac:dyDescent="0.25">
      <c r="A183" s="43" t="s">
        <v>363</v>
      </c>
      <c r="B183" s="44" t="str">
        <f>'дод 4'!A97</f>
        <v>6090</v>
      </c>
      <c r="C183" s="44" t="str">
        <f>'дод 4'!B97</f>
        <v>0640</v>
      </c>
      <c r="D183" s="24" t="str">
        <f>'дод 4'!C97</f>
        <v>Інша діяльність у сфері житлово-комунального господарства</v>
      </c>
      <c r="E183" s="69">
        <f>F183+I183</f>
        <v>175000</v>
      </c>
      <c r="F183" s="69">
        <v>175000</v>
      </c>
      <c r="G183" s="69"/>
      <c r="H183" s="69"/>
      <c r="I183" s="69"/>
      <c r="J183" s="69">
        <f t="shared" si="99"/>
        <v>0</v>
      </c>
      <c r="K183" s="69"/>
      <c r="L183" s="69"/>
      <c r="M183" s="69"/>
      <c r="N183" s="69"/>
      <c r="O183" s="69"/>
      <c r="P183" s="69">
        <f>E183+J183</f>
        <v>175000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  <c r="IW183" s="26"/>
      <c r="IX183" s="26"/>
      <c r="IY183" s="26"/>
      <c r="IZ183" s="26"/>
      <c r="JA183" s="26"/>
      <c r="JB183" s="26"/>
      <c r="JC183" s="26"/>
      <c r="JD183" s="26"/>
      <c r="JE183" s="26"/>
      <c r="JF183" s="26"/>
      <c r="JG183" s="26"/>
      <c r="JH183" s="26"/>
      <c r="JI183" s="26"/>
      <c r="JJ183" s="26"/>
      <c r="JK183" s="26"/>
      <c r="JL183" s="26"/>
      <c r="JM183" s="26"/>
      <c r="JN183" s="26"/>
      <c r="JO183" s="26"/>
      <c r="JP183" s="26"/>
      <c r="JQ183" s="26"/>
      <c r="JR183" s="26"/>
      <c r="JS183" s="26"/>
      <c r="JT183" s="26"/>
      <c r="JU183" s="26"/>
      <c r="JV183" s="26"/>
      <c r="JW183" s="26"/>
      <c r="JX183" s="26"/>
      <c r="JY183" s="26"/>
      <c r="JZ183" s="26"/>
      <c r="KA183" s="26"/>
      <c r="KB183" s="26"/>
      <c r="KC183" s="26"/>
      <c r="KD183" s="26"/>
      <c r="KE183" s="26"/>
      <c r="KF183" s="26"/>
      <c r="KG183" s="26"/>
      <c r="KH183" s="26"/>
      <c r="KI183" s="26"/>
      <c r="KJ183" s="26"/>
      <c r="KK183" s="26"/>
      <c r="KL183" s="26"/>
      <c r="KM183" s="26"/>
      <c r="KN183" s="26"/>
      <c r="KO183" s="26"/>
      <c r="KP183" s="26"/>
      <c r="KQ183" s="26"/>
      <c r="KR183" s="26"/>
      <c r="KS183" s="26"/>
      <c r="KT183" s="26"/>
      <c r="KU183" s="26"/>
      <c r="KV183" s="26"/>
      <c r="KW183" s="26"/>
      <c r="KX183" s="26"/>
      <c r="KY183" s="26"/>
      <c r="KZ183" s="26"/>
      <c r="LA183" s="26"/>
      <c r="LB183" s="26"/>
      <c r="LC183" s="26"/>
      <c r="LD183" s="26"/>
      <c r="LE183" s="26"/>
      <c r="LF183" s="26"/>
      <c r="LG183" s="26"/>
      <c r="LH183" s="26"/>
      <c r="LI183" s="26"/>
      <c r="LJ183" s="26"/>
      <c r="LK183" s="26"/>
      <c r="LL183" s="26"/>
      <c r="LM183" s="26"/>
      <c r="LN183" s="26"/>
      <c r="LO183" s="26"/>
      <c r="LP183" s="26"/>
      <c r="LQ183" s="26"/>
      <c r="LR183" s="26"/>
      <c r="LS183" s="26"/>
      <c r="LT183" s="26"/>
      <c r="LU183" s="26"/>
      <c r="LV183" s="26"/>
      <c r="LW183" s="26"/>
      <c r="LX183" s="26"/>
      <c r="LY183" s="26"/>
      <c r="LZ183" s="26"/>
      <c r="MA183" s="26"/>
      <c r="MB183" s="26"/>
      <c r="MC183" s="26"/>
      <c r="MD183" s="26"/>
      <c r="ME183" s="26"/>
      <c r="MF183" s="26"/>
      <c r="MG183" s="26"/>
      <c r="MH183" s="26"/>
      <c r="MI183" s="26"/>
      <c r="MJ183" s="26"/>
      <c r="MK183" s="26"/>
      <c r="ML183" s="26"/>
      <c r="MM183" s="26"/>
      <c r="MN183" s="26"/>
      <c r="MO183" s="26"/>
      <c r="MP183" s="26"/>
      <c r="MQ183" s="26"/>
      <c r="MR183" s="26"/>
      <c r="MS183" s="26"/>
      <c r="MT183" s="26"/>
      <c r="MU183" s="26"/>
      <c r="MV183" s="26"/>
      <c r="MW183" s="26"/>
      <c r="MX183" s="26"/>
      <c r="MY183" s="26"/>
      <c r="MZ183" s="26"/>
      <c r="NA183" s="26"/>
      <c r="NB183" s="26"/>
      <c r="NC183" s="26"/>
      <c r="ND183" s="26"/>
      <c r="NE183" s="26"/>
      <c r="NF183" s="26"/>
      <c r="NG183" s="26"/>
      <c r="NH183" s="26"/>
      <c r="NI183" s="26"/>
      <c r="NJ183" s="26"/>
      <c r="NK183" s="26"/>
      <c r="NL183" s="26"/>
      <c r="NM183" s="26"/>
      <c r="NN183" s="26"/>
      <c r="NO183" s="26"/>
      <c r="NP183" s="26"/>
      <c r="NQ183" s="26"/>
      <c r="NR183" s="26"/>
      <c r="NS183" s="26"/>
      <c r="NT183" s="26"/>
      <c r="NU183" s="26"/>
      <c r="NV183" s="26"/>
      <c r="NW183" s="26"/>
      <c r="NX183" s="26"/>
      <c r="NY183" s="26"/>
      <c r="NZ183" s="26"/>
      <c r="OA183" s="26"/>
      <c r="OB183" s="26"/>
      <c r="OC183" s="26"/>
      <c r="OD183" s="26"/>
      <c r="OE183" s="26"/>
      <c r="OF183" s="26"/>
      <c r="OG183" s="26"/>
      <c r="OH183" s="26"/>
      <c r="OI183" s="26"/>
      <c r="OJ183" s="26"/>
      <c r="OK183" s="26"/>
      <c r="OL183" s="26"/>
      <c r="OM183" s="26"/>
      <c r="ON183" s="26"/>
      <c r="OO183" s="26"/>
      <c r="OP183" s="26"/>
      <c r="OQ183" s="26"/>
      <c r="OR183" s="26"/>
      <c r="OS183" s="26"/>
      <c r="OT183" s="26"/>
      <c r="OU183" s="26"/>
      <c r="OV183" s="26"/>
      <c r="OW183" s="26"/>
      <c r="OX183" s="26"/>
      <c r="OY183" s="26"/>
      <c r="OZ183" s="26"/>
      <c r="PA183" s="26"/>
      <c r="PB183" s="26"/>
      <c r="PC183" s="26"/>
      <c r="PD183" s="26"/>
      <c r="PE183" s="26"/>
      <c r="PF183" s="26"/>
      <c r="PG183" s="26"/>
      <c r="PH183" s="26"/>
      <c r="PI183" s="26"/>
      <c r="PJ183" s="26"/>
      <c r="PK183" s="26"/>
      <c r="PL183" s="26"/>
      <c r="PM183" s="26"/>
      <c r="PN183" s="26"/>
      <c r="PO183" s="26"/>
      <c r="PP183" s="26"/>
      <c r="PQ183" s="26"/>
      <c r="PR183" s="26"/>
      <c r="PS183" s="26"/>
      <c r="PT183" s="26"/>
      <c r="PU183" s="26"/>
      <c r="PV183" s="26"/>
      <c r="PW183" s="26"/>
      <c r="PX183" s="26"/>
      <c r="PY183" s="26"/>
      <c r="PZ183" s="26"/>
      <c r="QA183" s="26"/>
      <c r="QB183" s="26"/>
      <c r="QC183" s="26"/>
      <c r="QD183" s="26"/>
      <c r="QE183" s="26"/>
      <c r="QF183" s="26"/>
      <c r="QG183" s="26"/>
      <c r="QH183" s="26"/>
      <c r="QI183" s="26"/>
      <c r="QJ183" s="26"/>
      <c r="QK183" s="26"/>
      <c r="QL183" s="26"/>
      <c r="QM183" s="26"/>
      <c r="QN183" s="26"/>
      <c r="QO183" s="26"/>
      <c r="QP183" s="26"/>
      <c r="QQ183" s="26"/>
      <c r="QR183" s="26"/>
      <c r="QS183" s="26"/>
      <c r="QT183" s="26"/>
      <c r="QU183" s="26"/>
      <c r="QV183" s="26"/>
      <c r="QW183" s="26"/>
      <c r="QX183" s="26"/>
      <c r="QY183" s="26"/>
      <c r="QZ183" s="26"/>
      <c r="RA183" s="26"/>
      <c r="RB183" s="26"/>
      <c r="RC183" s="26"/>
      <c r="RD183" s="26"/>
      <c r="RE183" s="26"/>
      <c r="RF183" s="26"/>
      <c r="RG183" s="26"/>
      <c r="RH183" s="26"/>
      <c r="RI183" s="26"/>
      <c r="RJ183" s="26"/>
      <c r="RK183" s="26"/>
      <c r="RL183" s="26"/>
      <c r="RM183" s="26"/>
      <c r="RN183" s="26"/>
      <c r="RO183" s="26"/>
      <c r="RP183" s="26"/>
      <c r="RQ183" s="26"/>
      <c r="RR183" s="26"/>
      <c r="RS183" s="26"/>
      <c r="RT183" s="26"/>
      <c r="RU183" s="26"/>
      <c r="RV183" s="26"/>
      <c r="RW183" s="26"/>
      <c r="RX183" s="26"/>
      <c r="RY183" s="26"/>
      <c r="RZ183" s="26"/>
      <c r="SA183" s="26"/>
      <c r="SB183" s="26"/>
      <c r="SC183" s="26"/>
      <c r="SD183" s="26"/>
      <c r="SE183" s="26"/>
      <c r="SF183" s="26"/>
      <c r="SG183" s="26"/>
      <c r="SH183" s="26"/>
      <c r="SI183" s="26"/>
      <c r="SJ183" s="26"/>
      <c r="SK183" s="26"/>
      <c r="SL183" s="26"/>
      <c r="SM183" s="26"/>
      <c r="SN183" s="26"/>
      <c r="SO183" s="26"/>
      <c r="SP183" s="26"/>
      <c r="SQ183" s="26"/>
      <c r="SR183" s="26"/>
      <c r="SS183" s="26"/>
      <c r="ST183" s="26"/>
      <c r="SU183" s="26"/>
      <c r="SV183" s="26"/>
      <c r="SW183" s="26"/>
      <c r="SX183" s="26"/>
      <c r="SY183" s="26"/>
      <c r="SZ183" s="26"/>
      <c r="TA183" s="26"/>
      <c r="TB183" s="26"/>
      <c r="TC183" s="26"/>
      <c r="TD183" s="26"/>
      <c r="TE183" s="26"/>
      <c r="TF183" s="26"/>
      <c r="TG183" s="26"/>
      <c r="TH183" s="26"/>
      <c r="TI183" s="26"/>
    </row>
    <row r="184" spans="1:529" s="23" customFormat="1" ht="87.75" customHeight="1" x14ac:dyDescent="0.25">
      <c r="A184" s="52" t="s">
        <v>349</v>
      </c>
      <c r="B184" s="45" t="str">
        <f>'дод 4'!A130</f>
        <v>7691</v>
      </c>
      <c r="C184" s="45" t="str">
        <f>'дод 4'!B130</f>
        <v>0490</v>
      </c>
      <c r="D184" s="22" t="str">
        <f>'дод 4'!C130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84" s="69">
        <f>F184+I184</f>
        <v>0</v>
      </c>
      <c r="F184" s="69"/>
      <c r="G184" s="69"/>
      <c r="H184" s="69"/>
      <c r="I184" s="69"/>
      <c r="J184" s="69">
        <f t="shared" si="99"/>
        <v>2696249.54</v>
      </c>
      <c r="K184" s="69"/>
      <c r="L184" s="69">
        <f>1321371+1074878.54-450000</f>
        <v>1946249.54</v>
      </c>
      <c r="M184" s="69"/>
      <c r="N184" s="69"/>
      <c r="O184" s="69">
        <f>300000+450000</f>
        <v>750000</v>
      </c>
      <c r="P184" s="69">
        <f>E184+J184</f>
        <v>2696249.54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  <c r="IW184" s="26"/>
      <c r="IX184" s="26"/>
      <c r="IY184" s="26"/>
      <c r="IZ184" s="26"/>
      <c r="JA184" s="26"/>
      <c r="JB184" s="26"/>
      <c r="JC184" s="26"/>
      <c r="JD184" s="26"/>
      <c r="JE184" s="26"/>
      <c r="JF184" s="26"/>
      <c r="JG184" s="26"/>
      <c r="JH184" s="26"/>
      <c r="JI184" s="26"/>
      <c r="JJ184" s="26"/>
      <c r="JK184" s="26"/>
      <c r="JL184" s="26"/>
      <c r="JM184" s="26"/>
      <c r="JN184" s="26"/>
      <c r="JO184" s="26"/>
      <c r="JP184" s="26"/>
      <c r="JQ184" s="26"/>
      <c r="JR184" s="26"/>
      <c r="JS184" s="26"/>
      <c r="JT184" s="26"/>
      <c r="JU184" s="26"/>
      <c r="JV184" s="26"/>
      <c r="JW184" s="26"/>
      <c r="JX184" s="26"/>
      <c r="JY184" s="26"/>
      <c r="JZ184" s="26"/>
      <c r="KA184" s="26"/>
      <c r="KB184" s="26"/>
      <c r="KC184" s="26"/>
      <c r="KD184" s="26"/>
      <c r="KE184" s="26"/>
      <c r="KF184" s="26"/>
      <c r="KG184" s="26"/>
      <c r="KH184" s="26"/>
      <c r="KI184" s="26"/>
      <c r="KJ184" s="26"/>
      <c r="KK184" s="26"/>
      <c r="KL184" s="26"/>
      <c r="KM184" s="26"/>
      <c r="KN184" s="26"/>
      <c r="KO184" s="26"/>
      <c r="KP184" s="26"/>
      <c r="KQ184" s="26"/>
      <c r="KR184" s="26"/>
      <c r="KS184" s="26"/>
      <c r="KT184" s="26"/>
      <c r="KU184" s="26"/>
      <c r="KV184" s="26"/>
      <c r="KW184" s="26"/>
      <c r="KX184" s="26"/>
      <c r="KY184" s="26"/>
      <c r="KZ184" s="26"/>
      <c r="LA184" s="26"/>
      <c r="LB184" s="26"/>
      <c r="LC184" s="26"/>
      <c r="LD184" s="26"/>
      <c r="LE184" s="26"/>
      <c r="LF184" s="26"/>
      <c r="LG184" s="26"/>
      <c r="LH184" s="26"/>
      <c r="LI184" s="26"/>
      <c r="LJ184" s="26"/>
      <c r="LK184" s="26"/>
      <c r="LL184" s="26"/>
      <c r="LM184" s="26"/>
      <c r="LN184" s="26"/>
      <c r="LO184" s="26"/>
      <c r="LP184" s="26"/>
      <c r="LQ184" s="26"/>
      <c r="LR184" s="26"/>
      <c r="LS184" s="26"/>
      <c r="LT184" s="26"/>
      <c r="LU184" s="26"/>
      <c r="LV184" s="26"/>
      <c r="LW184" s="26"/>
      <c r="LX184" s="26"/>
      <c r="LY184" s="26"/>
      <c r="LZ184" s="26"/>
      <c r="MA184" s="26"/>
      <c r="MB184" s="26"/>
      <c r="MC184" s="26"/>
      <c r="MD184" s="26"/>
      <c r="ME184" s="26"/>
      <c r="MF184" s="26"/>
      <c r="MG184" s="26"/>
      <c r="MH184" s="26"/>
      <c r="MI184" s="26"/>
      <c r="MJ184" s="26"/>
      <c r="MK184" s="26"/>
      <c r="ML184" s="26"/>
      <c r="MM184" s="26"/>
      <c r="MN184" s="26"/>
      <c r="MO184" s="26"/>
      <c r="MP184" s="26"/>
      <c r="MQ184" s="26"/>
      <c r="MR184" s="26"/>
      <c r="MS184" s="26"/>
      <c r="MT184" s="26"/>
      <c r="MU184" s="26"/>
      <c r="MV184" s="26"/>
      <c r="MW184" s="26"/>
      <c r="MX184" s="26"/>
      <c r="MY184" s="26"/>
      <c r="MZ184" s="26"/>
      <c r="NA184" s="26"/>
      <c r="NB184" s="26"/>
      <c r="NC184" s="26"/>
      <c r="ND184" s="26"/>
      <c r="NE184" s="26"/>
      <c r="NF184" s="26"/>
      <c r="NG184" s="26"/>
      <c r="NH184" s="26"/>
      <c r="NI184" s="26"/>
      <c r="NJ184" s="26"/>
      <c r="NK184" s="26"/>
      <c r="NL184" s="26"/>
      <c r="NM184" s="26"/>
      <c r="NN184" s="26"/>
      <c r="NO184" s="26"/>
      <c r="NP184" s="26"/>
      <c r="NQ184" s="26"/>
      <c r="NR184" s="26"/>
      <c r="NS184" s="26"/>
      <c r="NT184" s="26"/>
      <c r="NU184" s="26"/>
      <c r="NV184" s="26"/>
      <c r="NW184" s="26"/>
      <c r="NX184" s="26"/>
      <c r="NY184" s="26"/>
      <c r="NZ184" s="26"/>
      <c r="OA184" s="26"/>
      <c r="OB184" s="26"/>
      <c r="OC184" s="26"/>
      <c r="OD184" s="26"/>
      <c r="OE184" s="26"/>
      <c r="OF184" s="26"/>
      <c r="OG184" s="26"/>
      <c r="OH184" s="26"/>
      <c r="OI184" s="26"/>
      <c r="OJ184" s="26"/>
      <c r="OK184" s="26"/>
      <c r="OL184" s="26"/>
      <c r="OM184" s="26"/>
      <c r="ON184" s="26"/>
      <c r="OO184" s="26"/>
      <c r="OP184" s="26"/>
      <c r="OQ184" s="26"/>
      <c r="OR184" s="26"/>
      <c r="OS184" s="26"/>
      <c r="OT184" s="26"/>
      <c r="OU184" s="26"/>
      <c r="OV184" s="26"/>
      <c r="OW184" s="26"/>
      <c r="OX184" s="26"/>
      <c r="OY184" s="26"/>
      <c r="OZ184" s="26"/>
      <c r="PA184" s="26"/>
      <c r="PB184" s="26"/>
      <c r="PC184" s="26"/>
      <c r="PD184" s="26"/>
      <c r="PE184" s="26"/>
      <c r="PF184" s="26"/>
      <c r="PG184" s="26"/>
      <c r="PH184" s="26"/>
      <c r="PI184" s="26"/>
      <c r="PJ184" s="26"/>
      <c r="PK184" s="26"/>
      <c r="PL184" s="26"/>
      <c r="PM184" s="26"/>
      <c r="PN184" s="26"/>
      <c r="PO184" s="26"/>
      <c r="PP184" s="26"/>
      <c r="PQ184" s="26"/>
      <c r="PR184" s="26"/>
      <c r="PS184" s="26"/>
      <c r="PT184" s="26"/>
      <c r="PU184" s="26"/>
      <c r="PV184" s="26"/>
      <c r="PW184" s="26"/>
      <c r="PX184" s="26"/>
      <c r="PY184" s="26"/>
      <c r="PZ184" s="26"/>
      <c r="QA184" s="26"/>
      <c r="QB184" s="26"/>
      <c r="QC184" s="26"/>
      <c r="QD184" s="26"/>
      <c r="QE184" s="26"/>
      <c r="QF184" s="26"/>
      <c r="QG184" s="26"/>
      <c r="QH184" s="26"/>
      <c r="QI184" s="26"/>
      <c r="QJ184" s="26"/>
      <c r="QK184" s="26"/>
      <c r="QL184" s="26"/>
      <c r="QM184" s="26"/>
      <c r="QN184" s="26"/>
      <c r="QO184" s="26"/>
      <c r="QP184" s="26"/>
      <c r="QQ184" s="26"/>
      <c r="QR184" s="26"/>
      <c r="QS184" s="26"/>
      <c r="QT184" s="26"/>
      <c r="QU184" s="26"/>
      <c r="QV184" s="26"/>
      <c r="QW184" s="26"/>
      <c r="QX184" s="26"/>
      <c r="QY184" s="26"/>
      <c r="QZ184" s="26"/>
      <c r="RA184" s="26"/>
      <c r="RB184" s="26"/>
      <c r="RC184" s="26"/>
      <c r="RD184" s="26"/>
      <c r="RE184" s="26"/>
      <c r="RF184" s="26"/>
      <c r="RG184" s="26"/>
      <c r="RH184" s="26"/>
      <c r="RI184" s="26"/>
      <c r="RJ184" s="26"/>
      <c r="RK184" s="26"/>
      <c r="RL184" s="26"/>
      <c r="RM184" s="26"/>
      <c r="RN184" s="26"/>
      <c r="RO184" s="26"/>
      <c r="RP184" s="26"/>
      <c r="RQ184" s="26"/>
      <c r="RR184" s="26"/>
      <c r="RS184" s="26"/>
      <c r="RT184" s="26"/>
      <c r="RU184" s="26"/>
      <c r="RV184" s="26"/>
      <c r="RW184" s="26"/>
      <c r="RX184" s="26"/>
      <c r="RY184" s="26"/>
      <c r="RZ184" s="26"/>
      <c r="SA184" s="26"/>
      <c r="SB184" s="26"/>
      <c r="SC184" s="26"/>
      <c r="SD184" s="26"/>
      <c r="SE184" s="26"/>
      <c r="SF184" s="26"/>
      <c r="SG184" s="26"/>
      <c r="SH184" s="26"/>
      <c r="SI184" s="26"/>
      <c r="SJ184" s="26"/>
      <c r="SK184" s="26"/>
      <c r="SL184" s="26"/>
      <c r="SM184" s="26"/>
      <c r="SN184" s="26"/>
      <c r="SO184" s="26"/>
      <c r="SP184" s="26"/>
      <c r="SQ184" s="26"/>
      <c r="SR184" s="26"/>
      <c r="SS184" s="26"/>
      <c r="ST184" s="26"/>
      <c r="SU184" s="26"/>
      <c r="SV184" s="26"/>
      <c r="SW184" s="26"/>
      <c r="SX184" s="26"/>
      <c r="SY184" s="26"/>
      <c r="SZ184" s="26"/>
      <c r="TA184" s="26"/>
      <c r="TB184" s="26"/>
      <c r="TC184" s="26"/>
      <c r="TD184" s="26"/>
      <c r="TE184" s="26"/>
      <c r="TF184" s="26"/>
      <c r="TG184" s="26"/>
      <c r="TH184" s="26"/>
      <c r="TI184" s="26"/>
    </row>
    <row r="185" spans="1:529" s="31" customFormat="1" ht="36.75" customHeight="1" x14ac:dyDescent="0.2">
      <c r="A185" s="76" t="s">
        <v>249</v>
      </c>
      <c r="B185" s="74"/>
      <c r="C185" s="74"/>
      <c r="D185" s="30" t="s">
        <v>56</v>
      </c>
      <c r="E185" s="66">
        <f>E186</f>
        <v>4521518</v>
      </c>
      <c r="F185" s="66">
        <f t="shared" ref="F185:J186" si="109">F186</f>
        <v>4521518</v>
      </c>
      <c r="G185" s="66">
        <f t="shared" si="109"/>
        <v>3508625</v>
      </c>
      <c r="H185" s="66">
        <f t="shared" si="109"/>
        <v>52700</v>
      </c>
      <c r="I185" s="66">
        <f t="shared" si="109"/>
        <v>0</v>
      </c>
      <c r="J185" s="66">
        <f t="shared" si="109"/>
        <v>0</v>
      </c>
      <c r="K185" s="66">
        <f t="shared" ref="K185:K186" si="110">K186</f>
        <v>0</v>
      </c>
      <c r="L185" s="66">
        <f t="shared" ref="L185:L186" si="111">L186</f>
        <v>0</v>
      </c>
      <c r="M185" s="66">
        <f t="shared" ref="M185:M186" si="112">M186</f>
        <v>0</v>
      </c>
      <c r="N185" s="66">
        <f t="shared" ref="N185:N186" si="113">N186</f>
        <v>0</v>
      </c>
      <c r="O185" s="66">
        <f t="shared" ref="O185:P186" si="114">O186</f>
        <v>0</v>
      </c>
      <c r="P185" s="66">
        <f t="shared" si="114"/>
        <v>4521518</v>
      </c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  <c r="IV185" s="38"/>
      <c r="IW185" s="38"/>
      <c r="IX185" s="38"/>
      <c r="IY185" s="38"/>
      <c r="IZ185" s="38"/>
      <c r="JA185" s="38"/>
      <c r="JB185" s="38"/>
      <c r="JC185" s="38"/>
      <c r="JD185" s="38"/>
      <c r="JE185" s="38"/>
      <c r="JF185" s="38"/>
      <c r="JG185" s="38"/>
      <c r="JH185" s="38"/>
      <c r="JI185" s="38"/>
      <c r="JJ185" s="38"/>
      <c r="JK185" s="38"/>
      <c r="JL185" s="38"/>
      <c r="JM185" s="38"/>
      <c r="JN185" s="38"/>
      <c r="JO185" s="38"/>
      <c r="JP185" s="38"/>
      <c r="JQ185" s="38"/>
      <c r="JR185" s="38"/>
      <c r="JS185" s="38"/>
      <c r="JT185" s="38"/>
      <c r="JU185" s="38"/>
      <c r="JV185" s="38"/>
      <c r="JW185" s="38"/>
      <c r="JX185" s="38"/>
      <c r="JY185" s="38"/>
      <c r="JZ185" s="38"/>
      <c r="KA185" s="38"/>
      <c r="KB185" s="38"/>
      <c r="KC185" s="38"/>
      <c r="KD185" s="38"/>
      <c r="KE185" s="38"/>
      <c r="KF185" s="38"/>
      <c r="KG185" s="38"/>
      <c r="KH185" s="38"/>
      <c r="KI185" s="38"/>
      <c r="KJ185" s="38"/>
      <c r="KK185" s="38"/>
      <c r="KL185" s="38"/>
      <c r="KM185" s="38"/>
      <c r="KN185" s="38"/>
      <c r="KO185" s="38"/>
      <c r="KP185" s="38"/>
      <c r="KQ185" s="38"/>
      <c r="KR185" s="38"/>
      <c r="KS185" s="38"/>
      <c r="KT185" s="38"/>
      <c r="KU185" s="38"/>
      <c r="KV185" s="38"/>
      <c r="KW185" s="38"/>
      <c r="KX185" s="38"/>
      <c r="KY185" s="38"/>
      <c r="KZ185" s="38"/>
      <c r="LA185" s="38"/>
      <c r="LB185" s="38"/>
      <c r="LC185" s="38"/>
      <c r="LD185" s="38"/>
      <c r="LE185" s="38"/>
      <c r="LF185" s="38"/>
      <c r="LG185" s="38"/>
      <c r="LH185" s="38"/>
      <c r="LI185" s="38"/>
      <c r="LJ185" s="38"/>
      <c r="LK185" s="38"/>
      <c r="LL185" s="38"/>
      <c r="LM185" s="38"/>
      <c r="LN185" s="38"/>
      <c r="LO185" s="38"/>
      <c r="LP185" s="38"/>
      <c r="LQ185" s="38"/>
      <c r="LR185" s="38"/>
      <c r="LS185" s="38"/>
      <c r="LT185" s="38"/>
      <c r="LU185" s="38"/>
      <c r="LV185" s="38"/>
      <c r="LW185" s="38"/>
      <c r="LX185" s="38"/>
      <c r="LY185" s="38"/>
      <c r="LZ185" s="38"/>
      <c r="MA185" s="38"/>
      <c r="MB185" s="38"/>
      <c r="MC185" s="38"/>
      <c r="MD185" s="38"/>
      <c r="ME185" s="38"/>
      <c r="MF185" s="38"/>
      <c r="MG185" s="38"/>
      <c r="MH185" s="38"/>
      <c r="MI185" s="38"/>
      <c r="MJ185" s="38"/>
      <c r="MK185" s="38"/>
      <c r="ML185" s="38"/>
      <c r="MM185" s="38"/>
      <c r="MN185" s="38"/>
      <c r="MO185" s="38"/>
      <c r="MP185" s="38"/>
      <c r="MQ185" s="38"/>
      <c r="MR185" s="38"/>
      <c r="MS185" s="38"/>
      <c r="MT185" s="38"/>
      <c r="MU185" s="38"/>
      <c r="MV185" s="38"/>
      <c r="MW185" s="38"/>
      <c r="MX185" s="38"/>
      <c r="MY185" s="38"/>
      <c r="MZ185" s="38"/>
      <c r="NA185" s="38"/>
      <c r="NB185" s="38"/>
      <c r="NC185" s="38"/>
      <c r="ND185" s="38"/>
      <c r="NE185" s="38"/>
      <c r="NF185" s="38"/>
      <c r="NG185" s="38"/>
      <c r="NH185" s="38"/>
      <c r="NI185" s="38"/>
      <c r="NJ185" s="38"/>
      <c r="NK185" s="38"/>
      <c r="NL185" s="38"/>
      <c r="NM185" s="38"/>
      <c r="NN185" s="38"/>
      <c r="NO185" s="38"/>
      <c r="NP185" s="38"/>
      <c r="NQ185" s="38"/>
      <c r="NR185" s="38"/>
      <c r="NS185" s="38"/>
      <c r="NT185" s="38"/>
      <c r="NU185" s="38"/>
      <c r="NV185" s="38"/>
      <c r="NW185" s="38"/>
      <c r="NX185" s="38"/>
      <c r="NY185" s="38"/>
      <c r="NZ185" s="38"/>
      <c r="OA185" s="38"/>
      <c r="OB185" s="38"/>
      <c r="OC185" s="38"/>
      <c r="OD185" s="38"/>
      <c r="OE185" s="38"/>
      <c r="OF185" s="38"/>
      <c r="OG185" s="38"/>
      <c r="OH185" s="38"/>
      <c r="OI185" s="38"/>
      <c r="OJ185" s="38"/>
      <c r="OK185" s="38"/>
      <c r="OL185" s="38"/>
      <c r="OM185" s="38"/>
      <c r="ON185" s="38"/>
      <c r="OO185" s="38"/>
      <c r="OP185" s="38"/>
      <c r="OQ185" s="38"/>
      <c r="OR185" s="38"/>
      <c r="OS185" s="38"/>
      <c r="OT185" s="38"/>
      <c r="OU185" s="38"/>
      <c r="OV185" s="38"/>
      <c r="OW185" s="38"/>
      <c r="OX185" s="38"/>
      <c r="OY185" s="38"/>
      <c r="OZ185" s="38"/>
      <c r="PA185" s="38"/>
      <c r="PB185" s="38"/>
      <c r="PC185" s="38"/>
      <c r="PD185" s="38"/>
      <c r="PE185" s="38"/>
      <c r="PF185" s="38"/>
      <c r="PG185" s="38"/>
      <c r="PH185" s="38"/>
      <c r="PI185" s="38"/>
      <c r="PJ185" s="38"/>
      <c r="PK185" s="38"/>
      <c r="PL185" s="38"/>
      <c r="PM185" s="38"/>
      <c r="PN185" s="38"/>
      <c r="PO185" s="38"/>
      <c r="PP185" s="38"/>
      <c r="PQ185" s="38"/>
      <c r="PR185" s="38"/>
      <c r="PS185" s="38"/>
      <c r="PT185" s="38"/>
      <c r="PU185" s="38"/>
      <c r="PV185" s="38"/>
      <c r="PW185" s="38"/>
      <c r="PX185" s="38"/>
      <c r="PY185" s="38"/>
      <c r="PZ185" s="38"/>
      <c r="QA185" s="38"/>
      <c r="QB185" s="38"/>
      <c r="QC185" s="38"/>
      <c r="QD185" s="38"/>
      <c r="QE185" s="38"/>
      <c r="QF185" s="38"/>
      <c r="QG185" s="38"/>
      <c r="QH185" s="38"/>
      <c r="QI185" s="38"/>
      <c r="QJ185" s="38"/>
      <c r="QK185" s="38"/>
      <c r="QL185" s="38"/>
      <c r="QM185" s="38"/>
      <c r="QN185" s="38"/>
      <c r="QO185" s="38"/>
      <c r="QP185" s="38"/>
      <c r="QQ185" s="38"/>
      <c r="QR185" s="38"/>
      <c r="QS185" s="38"/>
      <c r="QT185" s="38"/>
      <c r="QU185" s="38"/>
      <c r="QV185" s="38"/>
      <c r="QW185" s="38"/>
      <c r="QX185" s="38"/>
      <c r="QY185" s="38"/>
      <c r="QZ185" s="38"/>
      <c r="RA185" s="38"/>
      <c r="RB185" s="38"/>
      <c r="RC185" s="38"/>
      <c r="RD185" s="38"/>
      <c r="RE185" s="38"/>
      <c r="RF185" s="38"/>
      <c r="RG185" s="38"/>
      <c r="RH185" s="38"/>
      <c r="RI185" s="38"/>
      <c r="RJ185" s="38"/>
      <c r="RK185" s="38"/>
      <c r="RL185" s="38"/>
      <c r="RM185" s="38"/>
      <c r="RN185" s="38"/>
      <c r="RO185" s="38"/>
      <c r="RP185" s="38"/>
      <c r="RQ185" s="38"/>
      <c r="RR185" s="38"/>
      <c r="RS185" s="38"/>
      <c r="RT185" s="38"/>
      <c r="RU185" s="38"/>
      <c r="RV185" s="38"/>
      <c r="RW185" s="38"/>
      <c r="RX185" s="38"/>
      <c r="RY185" s="38"/>
      <c r="RZ185" s="38"/>
      <c r="SA185" s="38"/>
      <c r="SB185" s="38"/>
      <c r="SC185" s="38"/>
      <c r="SD185" s="38"/>
      <c r="SE185" s="38"/>
      <c r="SF185" s="38"/>
      <c r="SG185" s="38"/>
      <c r="SH185" s="38"/>
      <c r="SI185" s="38"/>
      <c r="SJ185" s="38"/>
      <c r="SK185" s="38"/>
      <c r="SL185" s="38"/>
      <c r="SM185" s="38"/>
      <c r="SN185" s="38"/>
      <c r="SO185" s="38"/>
      <c r="SP185" s="38"/>
      <c r="SQ185" s="38"/>
      <c r="SR185" s="38"/>
      <c r="SS185" s="38"/>
      <c r="ST185" s="38"/>
      <c r="SU185" s="38"/>
      <c r="SV185" s="38"/>
      <c r="SW185" s="38"/>
      <c r="SX185" s="38"/>
      <c r="SY185" s="38"/>
      <c r="SZ185" s="38"/>
      <c r="TA185" s="38"/>
      <c r="TB185" s="38"/>
      <c r="TC185" s="38"/>
      <c r="TD185" s="38"/>
      <c r="TE185" s="38"/>
      <c r="TF185" s="38"/>
      <c r="TG185" s="38"/>
      <c r="TH185" s="38"/>
      <c r="TI185" s="38"/>
    </row>
    <row r="186" spans="1:529" s="40" customFormat="1" ht="35.25" customHeight="1" x14ac:dyDescent="0.25">
      <c r="A186" s="77" t="s">
        <v>247</v>
      </c>
      <c r="B186" s="75"/>
      <c r="C186" s="75"/>
      <c r="D186" s="33" t="s">
        <v>56</v>
      </c>
      <c r="E186" s="68">
        <f>E187</f>
        <v>4521518</v>
      </c>
      <c r="F186" s="68">
        <f t="shared" si="109"/>
        <v>4521518</v>
      </c>
      <c r="G186" s="68">
        <f t="shared" si="109"/>
        <v>3508625</v>
      </c>
      <c r="H186" s="68">
        <f t="shared" si="109"/>
        <v>52700</v>
      </c>
      <c r="I186" s="68">
        <f t="shared" si="109"/>
        <v>0</v>
      </c>
      <c r="J186" s="68">
        <f t="shared" si="109"/>
        <v>0</v>
      </c>
      <c r="K186" s="68">
        <f t="shared" si="110"/>
        <v>0</v>
      </c>
      <c r="L186" s="68">
        <f t="shared" si="111"/>
        <v>0</v>
      </c>
      <c r="M186" s="68">
        <f t="shared" si="112"/>
        <v>0</v>
      </c>
      <c r="N186" s="68">
        <f t="shared" si="113"/>
        <v>0</v>
      </c>
      <c r="O186" s="68">
        <f t="shared" si="114"/>
        <v>0</v>
      </c>
      <c r="P186" s="68">
        <f t="shared" si="114"/>
        <v>4521518</v>
      </c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  <c r="IV186" s="39"/>
      <c r="IW186" s="39"/>
      <c r="IX186" s="39"/>
      <c r="IY186" s="39"/>
      <c r="IZ186" s="39"/>
      <c r="JA186" s="39"/>
      <c r="JB186" s="39"/>
      <c r="JC186" s="39"/>
      <c r="JD186" s="39"/>
      <c r="JE186" s="39"/>
      <c r="JF186" s="39"/>
      <c r="JG186" s="39"/>
      <c r="JH186" s="39"/>
      <c r="JI186" s="39"/>
      <c r="JJ186" s="39"/>
      <c r="JK186" s="39"/>
      <c r="JL186" s="39"/>
      <c r="JM186" s="39"/>
      <c r="JN186" s="39"/>
      <c r="JO186" s="39"/>
      <c r="JP186" s="39"/>
      <c r="JQ186" s="39"/>
      <c r="JR186" s="39"/>
      <c r="JS186" s="39"/>
      <c r="JT186" s="39"/>
      <c r="JU186" s="39"/>
      <c r="JV186" s="39"/>
      <c r="JW186" s="39"/>
      <c r="JX186" s="39"/>
      <c r="JY186" s="39"/>
      <c r="JZ186" s="39"/>
      <c r="KA186" s="39"/>
      <c r="KB186" s="39"/>
      <c r="KC186" s="39"/>
      <c r="KD186" s="39"/>
      <c r="KE186" s="39"/>
      <c r="KF186" s="39"/>
      <c r="KG186" s="39"/>
      <c r="KH186" s="39"/>
      <c r="KI186" s="39"/>
      <c r="KJ186" s="39"/>
      <c r="KK186" s="39"/>
      <c r="KL186" s="39"/>
      <c r="KM186" s="39"/>
      <c r="KN186" s="39"/>
      <c r="KO186" s="39"/>
      <c r="KP186" s="39"/>
      <c r="KQ186" s="39"/>
      <c r="KR186" s="39"/>
      <c r="KS186" s="39"/>
      <c r="KT186" s="39"/>
      <c r="KU186" s="39"/>
      <c r="KV186" s="39"/>
      <c r="KW186" s="39"/>
      <c r="KX186" s="39"/>
      <c r="KY186" s="39"/>
      <c r="KZ186" s="39"/>
      <c r="LA186" s="39"/>
      <c r="LB186" s="39"/>
      <c r="LC186" s="39"/>
      <c r="LD186" s="39"/>
      <c r="LE186" s="39"/>
      <c r="LF186" s="39"/>
      <c r="LG186" s="39"/>
      <c r="LH186" s="39"/>
      <c r="LI186" s="39"/>
      <c r="LJ186" s="39"/>
      <c r="LK186" s="39"/>
      <c r="LL186" s="39"/>
      <c r="LM186" s="39"/>
      <c r="LN186" s="39"/>
      <c r="LO186" s="39"/>
      <c r="LP186" s="39"/>
      <c r="LQ186" s="39"/>
      <c r="LR186" s="39"/>
      <c r="LS186" s="39"/>
      <c r="LT186" s="39"/>
      <c r="LU186" s="39"/>
      <c r="LV186" s="39"/>
      <c r="LW186" s="39"/>
      <c r="LX186" s="39"/>
      <c r="LY186" s="39"/>
      <c r="LZ186" s="39"/>
      <c r="MA186" s="39"/>
      <c r="MB186" s="39"/>
      <c r="MC186" s="39"/>
      <c r="MD186" s="39"/>
      <c r="ME186" s="39"/>
      <c r="MF186" s="39"/>
      <c r="MG186" s="39"/>
      <c r="MH186" s="39"/>
      <c r="MI186" s="39"/>
      <c r="MJ186" s="39"/>
      <c r="MK186" s="39"/>
      <c r="ML186" s="39"/>
      <c r="MM186" s="39"/>
      <c r="MN186" s="39"/>
      <c r="MO186" s="39"/>
      <c r="MP186" s="39"/>
      <c r="MQ186" s="39"/>
      <c r="MR186" s="39"/>
      <c r="MS186" s="39"/>
      <c r="MT186" s="39"/>
      <c r="MU186" s="39"/>
      <c r="MV186" s="39"/>
      <c r="MW186" s="39"/>
      <c r="MX186" s="39"/>
      <c r="MY186" s="39"/>
      <c r="MZ186" s="39"/>
      <c r="NA186" s="39"/>
      <c r="NB186" s="39"/>
      <c r="NC186" s="39"/>
      <c r="ND186" s="39"/>
      <c r="NE186" s="39"/>
      <c r="NF186" s="39"/>
      <c r="NG186" s="39"/>
      <c r="NH186" s="39"/>
      <c r="NI186" s="39"/>
      <c r="NJ186" s="39"/>
      <c r="NK186" s="39"/>
      <c r="NL186" s="39"/>
      <c r="NM186" s="39"/>
      <c r="NN186" s="39"/>
      <c r="NO186" s="39"/>
      <c r="NP186" s="39"/>
      <c r="NQ186" s="39"/>
      <c r="NR186" s="39"/>
      <c r="NS186" s="39"/>
      <c r="NT186" s="39"/>
      <c r="NU186" s="39"/>
      <c r="NV186" s="39"/>
      <c r="NW186" s="39"/>
      <c r="NX186" s="39"/>
      <c r="NY186" s="39"/>
      <c r="NZ186" s="39"/>
      <c r="OA186" s="39"/>
      <c r="OB186" s="39"/>
      <c r="OC186" s="39"/>
      <c r="OD186" s="39"/>
      <c r="OE186" s="39"/>
      <c r="OF186" s="39"/>
      <c r="OG186" s="39"/>
      <c r="OH186" s="39"/>
      <c r="OI186" s="39"/>
      <c r="OJ186" s="39"/>
      <c r="OK186" s="39"/>
      <c r="OL186" s="39"/>
      <c r="OM186" s="39"/>
      <c r="ON186" s="39"/>
      <c r="OO186" s="39"/>
      <c r="OP186" s="39"/>
      <c r="OQ186" s="39"/>
      <c r="OR186" s="39"/>
      <c r="OS186" s="39"/>
      <c r="OT186" s="39"/>
      <c r="OU186" s="39"/>
      <c r="OV186" s="39"/>
      <c r="OW186" s="39"/>
      <c r="OX186" s="39"/>
      <c r="OY186" s="39"/>
      <c r="OZ186" s="39"/>
      <c r="PA186" s="39"/>
      <c r="PB186" s="39"/>
      <c r="PC186" s="39"/>
      <c r="PD186" s="39"/>
      <c r="PE186" s="39"/>
      <c r="PF186" s="39"/>
      <c r="PG186" s="39"/>
      <c r="PH186" s="39"/>
      <c r="PI186" s="39"/>
      <c r="PJ186" s="39"/>
      <c r="PK186" s="39"/>
      <c r="PL186" s="39"/>
      <c r="PM186" s="39"/>
      <c r="PN186" s="39"/>
      <c r="PO186" s="39"/>
      <c r="PP186" s="39"/>
      <c r="PQ186" s="39"/>
      <c r="PR186" s="39"/>
      <c r="PS186" s="39"/>
      <c r="PT186" s="39"/>
      <c r="PU186" s="39"/>
      <c r="PV186" s="39"/>
      <c r="PW186" s="39"/>
      <c r="PX186" s="39"/>
      <c r="PY186" s="39"/>
      <c r="PZ186" s="39"/>
      <c r="QA186" s="39"/>
      <c r="QB186" s="39"/>
      <c r="QC186" s="39"/>
      <c r="QD186" s="39"/>
      <c r="QE186" s="39"/>
      <c r="QF186" s="39"/>
      <c r="QG186" s="39"/>
      <c r="QH186" s="39"/>
      <c r="QI186" s="39"/>
      <c r="QJ186" s="39"/>
      <c r="QK186" s="39"/>
      <c r="QL186" s="39"/>
      <c r="QM186" s="39"/>
      <c r="QN186" s="39"/>
      <c r="QO186" s="39"/>
      <c r="QP186" s="39"/>
      <c r="QQ186" s="39"/>
      <c r="QR186" s="39"/>
      <c r="QS186" s="39"/>
      <c r="QT186" s="39"/>
      <c r="QU186" s="39"/>
      <c r="QV186" s="39"/>
      <c r="QW186" s="39"/>
      <c r="QX186" s="39"/>
      <c r="QY186" s="39"/>
      <c r="QZ186" s="39"/>
      <c r="RA186" s="39"/>
      <c r="RB186" s="39"/>
      <c r="RC186" s="39"/>
      <c r="RD186" s="39"/>
      <c r="RE186" s="39"/>
      <c r="RF186" s="39"/>
      <c r="RG186" s="39"/>
      <c r="RH186" s="39"/>
      <c r="RI186" s="39"/>
      <c r="RJ186" s="39"/>
      <c r="RK186" s="39"/>
      <c r="RL186" s="39"/>
      <c r="RM186" s="39"/>
      <c r="RN186" s="39"/>
      <c r="RO186" s="39"/>
      <c r="RP186" s="39"/>
      <c r="RQ186" s="39"/>
      <c r="RR186" s="39"/>
      <c r="RS186" s="39"/>
      <c r="RT186" s="39"/>
      <c r="RU186" s="39"/>
      <c r="RV186" s="39"/>
      <c r="RW186" s="39"/>
      <c r="RX186" s="39"/>
      <c r="RY186" s="39"/>
      <c r="RZ186" s="39"/>
      <c r="SA186" s="39"/>
      <c r="SB186" s="39"/>
      <c r="SC186" s="39"/>
      <c r="SD186" s="39"/>
      <c r="SE186" s="39"/>
      <c r="SF186" s="39"/>
      <c r="SG186" s="39"/>
      <c r="SH186" s="39"/>
      <c r="SI186" s="39"/>
      <c r="SJ186" s="39"/>
      <c r="SK186" s="39"/>
      <c r="SL186" s="39"/>
      <c r="SM186" s="39"/>
      <c r="SN186" s="39"/>
      <c r="SO186" s="39"/>
      <c r="SP186" s="39"/>
      <c r="SQ186" s="39"/>
      <c r="SR186" s="39"/>
      <c r="SS186" s="39"/>
      <c r="ST186" s="39"/>
      <c r="SU186" s="39"/>
      <c r="SV186" s="39"/>
      <c r="SW186" s="39"/>
      <c r="SX186" s="39"/>
      <c r="SY186" s="39"/>
      <c r="SZ186" s="39"/>
      <c r="TA186" s="39"/>
      <c r="TB186" s="39"/>
      <c r="TC186" s="39"/>
      <c r="TD186" s="39"/>
      <c r="TE186" s="39"/>
      <c r="TF186" s="39"/>
      <c r="TG186" s="39"/>
      <c r="TH186" s="39"/>
      <c r="TI186" s="39"/>
    </row>
    <row r="187" spans="1:529" s="23" customFormat="1" ht="43.5" customHeight="1" x14ac:dyDescent="0.25">
      <c r="A187" s="43" t="s">
        <v>248</v>
      </c>
      <c r="B187" s="44" t="str">
        <f>'дод 4'!A20</f>
        <v>0160</v>
      </c>
      <c r="C187" s="44" t="str">
        <f>'дод 4'!B20</f>
        <v>0111</v>
      </c>
      <c r="D187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87" s="69">
        <f>F187+I187</f>
        <v>4521518</v>
      </c>
      <c r="F187" s="69">
        <f>4985700+21800-233000-243482-9500</f>
        <v>4521518</v>
      </c>
      <c r="G187" s="69">
        <f>3907000-191000-199575-7800</f>
        <v>3508625</v>
      </c>
      <c r="H187" s="69">
        <v>52700</v>
      </c>
      <c r="I187" s="69"/>
      <c r="J187" s="69">
        <f>L187+O187</f>
        <v>0</v>
      </c>
      <c r="K187" s="69"/>
      <c r="L187" s="69"/>
      <c r="M187" s="69"/>
      <c r="N187" s="69"/>
      <c r="O187" s="69"/>
      <c r="P187" s="69">
        <f>E187+J187</f>
        <v>4521518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  <c r="IW187" s="26"/>
      <c r="IX187" s="26"/>
      <c r="IY187" s="26"/>
      <c r="IZ187" s="26"/>
      <c r="JA187" s="26"/>
      <c r="JB187" s="26"/>
      <c r="JC187" s="26"/>
      <c r="JD187" s="26"/>
      <c r="JE187" s="26"/>
      <c r="JF187" s="26"/>
      <c r="JG187" s="26"/>
      <c r="JH187" s="26"/>
      <c r="JI187" s="26"/>
      <c r="JJ187" s="26"/>
      <c r="JK187" s="26"/>
      <c r="JL187" s="26"/>
      <c r="JM187" s="26"/>
      <c r="JN187" s="26"/>
      <c r="JO187" s="26"/>
      <c r="JP187" s="26"/>
      <c r="JQ187" s="26"/>
      <c r="JR187" s="26"/>
      <c r="JS187" s="26"/>
      <c r="JT187" s="26"/>
      <c r="JU187" s="26"/>
      <c r="JV187" s="26"/>
      <c r="JW187" s="26"/>
      <c r="JX187" s="26"/>
      <c r="JY187" s="26"/>
      <c r="JZ187" s="26"/>
      <c r="KA187" s="26"/>
      <c r="KB187" s="26"/>
      <c r="KC187" s="26"/>
      <c r="KD187" s="26"/>
      <c r="KE187" s="26"/>
      <c r="KF187" s="26"/>
      <c r="KG187" s="26"/>
      <c r="KH187" s="26"/>
      <c r="KI187" s="26"/>
      <c r="KJ187" s="26"/>
      <c r="KK187" s="26"/>
      <c r="KL187" s="26"/>
      <c r="KM187" s="26"/>
      <c r="KN187" s="26"/>
      <c r="KO187" s="26"/>
      <c r="KP187" s="26"/>
      <c r="KQ187" s="26"/>
      <c r="KR187" s="26"/>
      <c r="KS187" s="26"/>
      <c r="KT187" s="26"/>
      <c r="KU187" s="26"/>
      <c r="KV187" s="26"/>
      <c r="KW187" s="26"/>
      <c r="KX187" s="26"/>
      <c r="KY187" s="26"/>
      <c r="KZ187" s="26"/>
      <c r="LA187" s="26"/>
      <c r="LB187" s="26"/>
      <c r="LC187" s="26"/>
      <c r="LD187" s="26"/>
      <c r="LE187" s="26"/>
      <c r="LF187" s="26"/>
      <c r="LG187" s="26"/>
      <c r="LH187" s="26"/>
      <c r="LI187" s="26"/>
      <c r="LJ187" s="26"/>
      <c r="LK187" s="26"/>
      <c r="LL187" s="26"/>
      <c r="LM187" s="26"/>
      <c r="LN187" s="26"/>
      <c r="LO187" s="26"/>
      <c r="LP187" s="26"/>
      <c r="LQ187" s="26"/>
      <c r="LR187" s="26"/>
      <c r="LS187" s="26"/>
      <c r="LT187" s="26"/>
      <c r="LU187" s="26"/>
      <c r="LV187" s="26"/>
      <c r="LW187" s="26"/>
      <c r="LX187" s="26"/>
      <c r="LY187" s="26"/>
      <c r="LZ187" s="26"/>
      <c r="MA187" s="26"/>
      <c r="MB187" s="26"/>
      <c r="MC187" s="26"/>
      <c r="MD187" s="26"/>
      <c r="ME187" s="26"/>
      <c r="MF187" s="26"/>
      <c r="MG187" s="26"/>
      <c r="MH187" s="26"/>
      <c r="MI187" s="26"/>
      <c r="MJ187" s="26"/>
      <c r="MK187" s="26"/>
      <c r="ML187" s="26"/>
      <c r="MM187" s="26"/>
      <c r="MN187" s="26"/>
      <c r="MO187" s="26"/>
      <c r="MP187" s="26"/>
      <c r="MQ187" s="26"/>
      <c r="MR187" s="26"/>
      <c r="MS187" s="26"/>
      <c r="MT187" s="26"/>
      <c r="MU187" s="26"/>
      <c r="MV187" s="26"/>
      <c r="MW187" s="26"/>
      <c r="MX187" s="26"/>
      <c r="MY187" s="26"/>
      <c r="MZ187" s="26"/>
      <c r="NA187" s="26"/>
      <c r="NB187" s="26"/>
      <c r="NC187" s="26"/>
      <c r="ND187" s="26"/>
      <c r="NE187" s="26"/>
      <c r="NF187" s="26"/>
      <c r="NG187" s="26"/>
      <c r="NH187" s="26"/>
      <c r="NI187" s="26"/>
      <c r="NJ187" s="26"/>
      <c r="NK187" s="26"/>
      <c r="NL187" s="26"/>
      <c r="NM187" s="26"/>
      <c r="NN187" s="26"/>
      <c r="NO187" s="26"/>
      <c r="NP187" s="26"/>
      <c r="NQ187" s="26"/>
      <c r="NR187" s="26"/>
      <c r="NS187" s="26"/>
      <c r="NT187" s="26"/>
      <c r="NU187" s="26"/>
      <c r="NV187" s="26"/>
      <c r="NW187" s="26"/>
      <c r="NX187" s="26"/>
      <c r="NY187" s="26"/>
      <c r="NZ187" s="26"/>
      <c r="OA187" s="26"/>
      <c r="OB187" s="26"/>
      <c r="OC187" s="26"/>
      <c r="OD187" s="26"/>
      <c r="OE187" s="26"/>
      <c r="OF187" s="26"/>
      <c r="OG187" s="26"/>
      <c r="OH187" s="26"/>
      <c r="OI187" s="26"/>
      <c r="OJ187" s="26"/>
      <c r="OK187" s="26"/>
      <c r="OL187" s="26"/>
      <c r="OM187" s="26"/>
      <c r="ON187" s="26"/>
      <c r="OO187" s="26"/>
      <c r="OP187" s="26"/>
      <c r="OQ187" s="26"/>
      <c r="OR187" s="26"/>
      <c r="OS187" s="26"/>
      <c r="OT187" s="26"/>
      <c r="OU187" s="26"/>
      <c r="OV187" s="26"/>
      <c r="OW187" s="26"/>
      <c r="OX187" s="26"/>
      <c r="OY187" s="26"/>
      <c r="OZ187" s="26"/>
      <c r="PA187" s="26"/>
      <c r="PB187" s="26"/>
      <c r="PC187" s="26"/>
      <c r="PD187" s="26"/>
      <c r="PE187" s="26"/>
      <c r="PF187" s="26"/>
      <c r="PG187" s="26"/>
      <c r="PH187" s="26"/>
      <c r="PI187" s="26"/>
      <c r="PJ187" s="26"/>
      <c r="PK187" s="26"/>
      <c r="PL187" s="26"/>
      <c r="PM187" s="26"/>
      <c r="PN187" s="26"/>
      <c r="PO187" s="26"/>
      <c r="PP187" s="26"/>
      <c r="PQ187" s="26"/>
      <c r="PR187" s="26"/>
      <c r="PS187" s="26"/>
      <c r="PT187" s="26"/>
      <c r="PU187" s="26"/>
      <c r="PV187" s="26"/>
      <c r="PW187" s="26"/>
      <c r="PX187" s="26"/>
      <c r="PY187" s="26"/>
      <c r="PZ187" s="26"/>
      <c r="QA187" s="26"/>
      <c r="QB187" s="26"/>
      <c r="QC187" s="26"/>
      <c r="QD187" s="26"/>
      <c r="QE187" s="26"/>
      <c r="QF187" s="26"/>
      <c r="QG187" s="26"/>
      <c r="QH187" s="26"/>
      <c r="QI187" s="26"/>
      <c r="QJ187" s="26"/>
      <c r="QK187" s="26"/>
      <c r="QL187" s="26"/>
      <c r="QM187" s="26"/>
      <c r="QN187" s="26"/>
      <c r="QO187" s="26"/>
      <c r="QP187" s="26"/>
      <c r="QQ187" s="26"/>
      <c r="QR187" s="26"/>
      <c r="QS187" s="26"/>
      <c r="QT187" s="26"/>
      <c r="QU187" s="26"/>
      <c r="QV187" s="26"/>
      <c r="QW187" s="26"/>
      <c r="QX187" s="26"/>
      <c r="QY187" s="26"/>
      <c r="QZ187" s="26"/>
      <c r="RA187" s="26"/>
      <c r="RB187" s="26"/>
      <c r="RC187" s="26"/>
      <c r="RD187" s="26"/>
      <c r="RE187" s="26"/>
      <c r="RF187" s="26"/>
      <c r="RG187" s="26"/>
      <c r="RH187" s="26"/>
      <c r="RI187" s="26"/>
      <c r="RJ187" s="26"/>
      <c r="RK187" s="26"/>
      <c r="RL187" s="26"/>
      <c r="RM187" s="26"/>
      <c r="RN187" s="26"/>
      <c r="RO187" s="26"/>
      <c r="RP187" s="26"/>
      <c r="RQ187" s="26"/>
      <c r="RR187" s="26"/>
      <c r="RS187" s="26"/>
      <c r="RT187" s="26"/>
      <c r="RU187" s="26"/>
      <c r="RV187" s="26"/>
      <c r="RW187" s="26"/>
      <c r="RX187" s="26"/>
      <c r="RY187" s="26"/>
      <c r="RZ187" s="26"/>
      <c r="SA187" s="26"/>
      <c r="SB187" s="26"/>
      <c r="SC187" s="26"/>
      <c r="SD187" s="26"/>
      <c r="SE187" s="26"/>
      <c r="SF187" s="26"/>
      <c r="SG187" s="26"/>
      <c r="SH187" s="26"/>
      <c r="SI187" s="26"/>
      <c r="SJ187" s="26"/>
      <c r="SK187" s="26"/>
      <c r="SL187" s="26"/>
      <c r="SM187" s="26"/>
      <c r="SN187" s="26"/>
      <c r="SO187" s="26"/>
      <c r="SP187" s="26"/>
      <c r="SQ187" s="26"/>
      <c r="SR187" s="26"/>
      <c r="SS187" s="26"/>
      <c r="ST187" s="26"/>
      <c r="SU187" s="26"/>
      <c r="SV187" s="26"/>
      <c r="SW187" s="26"/>
      <c r="SX187" s="26"/>
      <c r="SY187" s="26"/>
      <c r="SZ187" s="26"/>
      <c r="TA187" s="26"/>
      <c r="TB187" s="26"/>
      <c r="TC187" s="26"/>
      <c r="TD187" s="26"/>
      <c r="TE187" s="26"/>
      <c r="TF187" s="26"/>
      <c r="TG187" s="26"/>
      <c r="TH187" s="26"/>
      <c r="TI187" s="26"/>
    </row>
    <row r="188" spans="1:529" s="31" customFormat="1" ht="37.5" customHeight="1" x14ac:dyDescent="0.2">
      <c r="A188" s="76" t="s">
        <v>250</v>
      </c>
      <c r="B188" s="74"/>
      <c r="C188" s="74"/>
      <c r="D188" s="30" t="s">
        <v>52</v>
      </c>
      <c r="E188" s="66">
        <f>E189</f>
        <v>20352000</v>
      </c>
      <c r="F188" s="66">
        <f t="shared" ref="F188:J188" si="115">F189</f>
        <v>19734000</v>
      </c>
      <c r="G188" s="66">
        <f t="shared" si="115"/>
        <v>13897700</v>
      </c>
      <c r="H188" s="66">
        <f t="shared" si="115"/>
        <v>314600</v>
      </c>
      <c r="I188" s="66">
        <f t="shared" si="115"/>
        <v>618000</v>
      </c>
      <c r="J188" s="66">
        <f t="shared" si="115"/>
        <v>100000</v>
      </c>
      <c r="K188" s="66">
        <f t="shared" ref="K188" si="116">K189</f>
        <v>100000</v>
      </c>
      <c r="L188" s="66">
        <f t="shared" ref="L188" si="117">L189</f>
        <v>0</v>
      </c>
      <c r="M188" s="66">
        <f t="shared" ref="M188" si="118">M189</f>
        <v>0</v>
      </c>
      <c r="N188" s="66">
        <f t="shared" ref="N188" si="119">N189</f>
        <v>0</v>
      </c>
      <c r="O188" s="66">
        <f t="shared" ref="O188" si="120">O189</f>
        <v>100000</v>
      </c>
      <c r="P188" s="66">
        <f>P189</f>
        <v>20452000</v>
      </c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  <c r="IO188" s="38"/>
      <c r="IP188" s="38"/>
      <c r="IQ188" s="38"/>
      <c r="IR188" s="38"/>
      <c r="IS188" s="38"/>
      <c r="IT188" s="38"/>
      <c r="IU188" s="38"/>
      <c r="IV188" s="38"/>
      <c r="IW188" s="38"/>
      <c r="IX188" s="38"/>
      <c r="IY188" s="38"/>
      <c r="IZ188" s="38"/>
      <c r="JA188" s="38"/>
      <c r="JB188" s="38"/>
      <c r="JC188" s="38"/>
      <c r="JD188" s="38"/>
      <c r="JE188" s="38"/>
      <c r="JF188" s="38"/>
      <c r="JG188" s="38"/>
      <c r="JH188" s="38"/>
      <c r="JI188" s="38"/>
      <c r="JJ188" s="38"/>
      <c r="JK188" s="38"/>
      <c r="JL188" s="38"/>
      <c r="JM188" s="38"/>
      <c r="JN188" s="38"/>
      <c r="JO188" s="38"/>
      <c r="JP188" s="38"/>
      <c r="JQ188" s="38"/>
      <c r="JR188" s="38"/>
      <c r="JS188" s="38"/>
      <c r="JT188" s="38"/>
      <c r="JU188" s="38"/>
      <c r="JV188" s="38"/>
      <c r="JW188" s="38"/>
      <c r="JX188" s="38"/>
      <c r="JY188" s="38"/>
      <c r="JZ188" s="38"/>
      <c r="KA188" s="38"/>
      <c r="KB188" s="38"/>
      <c r="KC188" s="38"/>
      <c r="KD188" s="38"/>
      <c r="KE188" s="38"/>
      <c r="KF188" s="38"/>
      <c r="KG188" s="38"/>
      <c r="KH188" s="38"/>
      <c r="KI188" s="38"/>
      <c r="KJ188" s="38"/>
      <c r="KK188" s="38"/>
      <c r="KL188" s="38"/>
      <c r="KM188" s="38"/>
      <c r="KN188" s="38"/>
      <c r="KO188" s="38"/>
      <c r="KP188" s="38"/>
      <c r="KQ188" s="38"/>
      <c r="KR188" s="38"/>
      <c r="KS188" s="38"/>
      <c r="KT188" s="38"/>
      <c r="KU188" s="38"/>
      <c r="KV188" s="38"/>
      <c r="KW188" s="38"/>
      <c r="KX188" s="38"/>
      <c r="KY188" s="38"/>
      <c r="KZ188" s="38"/>
      <c r="LA188" s="38"/>
      <c r="LB188" s="38"/>
      <c r="LC188" s="38"/>
      <c r="LD188" s="38"/>
      <c r="LE188" s="38"/>
      <c r="LF188" s="38"/>
      <c r="LG188" s="38"/>
      <c r="LH188" s="38"/>
      <c r="LI188" s="38"/>
      <c r="LJ188" s="38"/>
      <c r="LK188" s="38"/>
      <c r="LL188" s="38"/>
      <c r="LM188" s="38"/>
      <c r="LN188" s="38"/>
      <c r="LO188" s="38"/>
      <c r="LP188" s="38"/>
      <c r="LQ188" s="38"/>
      <c r="LR188" s="38"/>
      <c r="LS188" s="38"/>
      <c r="LT188" s="38"/>
      <c r="LU188" s="38"/>
      <c r="LV188" s="38"/>
      <c r="LW188" s="38"/>
      <c r="LX188" s="38"/>
      <c r="LY188" s="38"/>
      <c r="LZ188" s="38"/>
      <c r="MA188" s="38"/>
      <c r="MB188" s="38"/>
      <c r="MC188" s="38"/>
      <c r="MD188" s="38"/>
      <c r="ME188" s="38"/>
      <c r="MF188" s="38"/>
      <c r="MG188" s="38"/>
      <c r="MH188" s="38"/>
      <c r="MI188" s="38"/>
      <c r="MJ188" s="38"/>
      <c r="MK188" s="38"/>
      <c r="ML188" s="38"/>
      <c r="MM188" s="38"/>
      <c r="MN188" s="38"/>
      <c r="MO188" s="38"/>
      <c r="MP188" s="38"/>
      <c r="MQ188" s="38"/>
      <c r="MR188" s="38"/>
      <c r="MS188" s="38"/>
      <c r="MT188" s="38"/>
      <c r="MU188" s="38"/>
      <c r="MV188" s="38"/>
      <c r="MW188" s="38"/>
      <c r="MX188" s="38"/>
      <c r="MY188" s="38"/>
      <c r="MZ188" s="38"/>
      <c r="NA188" s="38"/>
      <c r="NB188" s="38"/>
      <c r="NC188" s="38"/>
      <c r="ND188" s="38"/>
      <c r="NE188" s="38"/>
      <c r="NF188" s="38"/>
      <c r="NG188" s="38"/>
      <c r="NH188" s="38"/>
      <c r="NI188" s="38"/>
      <c r="NJ188" s="38"/>
      <c r="NK188" s="38"/>
      <c r="NL188" s="38"/>
      <c r="NM188" s="38"/>
      <c r="NN188" s="38"/>
      <c r="NO188" s="38"/>
      <c r="NP188" s="38"/>
      <c r="NQ188" s="38"/>
      <c r="NR188" s="38"/>
      <c r="NS188" s="38"/>
      <c r="NT188" s="38"/>
      <c r="NU188" s="38"/>
      <c r="NV188" s="38"/>
      <c r="NW188" s="38"/>
      <c r="NX188" s="38"/>
      <c r="NY188" s="38"/>
      <c r="NZ188" s="38"/>
      <c r="OA188" s="38"/>
      <c r="OB188" s="38"/>
      <c r="OC188" s="38"/>
      <c r="OD188" s="38"/>
      <c r="OE188" s="38"/>
      <c r="OF188" s="38"/>
      <c r="OG188" s="38"/>
      <c r="OH188" s="38"/>
      <c r="OI188" s="38"/>
      <c r="OJ188" s="38"/>
      <c r="OK188" s="38"/>
      <c r="OL188" s="38"/>
      <c r="OM188" s="38"/>
      <c r="ON188" s="38"/>
      <c r="OO188" s="38"/>
      <c r="OP188" s="38"/>
      <c r="OQ188" s="38"/>
      <c r="OR188" s="38"/>
      <c r="OS188" s="38"/>
      <c r="OT188" s="38"/>
      <c r="OU188" s="38"/>
      <c r="OV188" s="38"/>
      <c r="OW188" s="38"/>
      <c r="OX188" s="38"/>
      <c r="OY188" s="38"/>
      <c r="OZ188" s="38"/>
      <c r="PA188" s="38"/>
      <c r="PB188" s="38"/>
      <c r="PC188" s="38"/>
      <c r="PD188" s="38"/>
      <c r="PE188" s="38"/>
      <c r="PF188" s="38"/>
      <c r="PG188" s="38"/>
      <c r="PH188" s="38"/>
      <c r="PI188" s="38"/>
      <c r="PJ188" s="38"/>
      <c r="PK188" s="38"/>
      <c r="PL188" s="38"/>
      <c r="PM188" s="38"/>
      <c r="PN188" s="38"/>
      <c r="PO188" s="38"/>
      <c r="PP188" s="38"/>
      <c r="PQ188" s="38"/>
      <c r="PR188" s="38"/>
      <c r="PS188" s="38"/>
      <c r="PT188" s="38"/>
      <c r="PU188" s="38"/>
      <c r="PV188" s="38"/>
      <c r="PW188" s="38"/>
      <c r="PX188" s="38"/>
      <c r="PY188" s="38"/>
      <c r="PZ188" s="38"/>
      <c r="QA188" s="38"/>
      <c r="QB188" s="38"/>
      <c r="QC188" s="38"/>
      <c r="QD188" s="38"/>
      <c r="QE188" s="38"/>
      <c r="QF188" s="38"/>
      <c r="QG188" s="38"/>
      <c r="QH188" s="38"/>
      <c r="QI188" s="38"/>
      <c r="QJ188" s="38"/>
      <c r="QK188" s="38"/>
      <c r="QL188" s="38"/>
      <c r="QM188" s="38"/>
      <c r="QN188" s="38"/>
      <c r="QO188" s="38"/>
      <c r="QP188" s="38"/>
      <c r="QQ188" s="38"/>
      <c r="QR188" s="38"/>
      <c r="QS188" s="38"/>
      <c r="QT188" s="38"/>
      <c r="QU188" s="38"/>
      <c r="QV188" s="38"/>
      <c r="QW188" s="38"/>
      <c r="QX188" s="38"/>
      <c r="QY188" s="38"/>
      <c r="QZ188" s="38"/>
      <c r="RA188" s="38"/>
      <c r="RB188" s="38"/>
      <c r="RC188" s="38"/>
      <c r="RD188" s="38"/>
      <c r="RE188" s="38"/>
      <c r="RF188" s="38"/>
      <c r="RG188" s="38"/>
      <c r="RH188" s="38"/>
      <c r="RI188" s="38"/>
      <c r="RJ188" s="38"/>
      <c r="RK188" s="38"/>
      <c r="RL188" s="38"/>
      <c r="RM188" s="38"/>
      <c r="RN188" s="38"/>
      <c r="RO188" s="38"/>
      <c r="RP188" s="38"/>
      <c r="RQ188" s="38"/>
      <c r="RR188" s="38"/>
      <c r="RS188" s="38"/>
      <c r="RT188" s="38"/>
      <c r="RU188" s="38"/>
      <c r="RV188" s="38"/>
      <c r="RW188" s="38"/>
      <c r="RX188" s="38"/>
      <c r="RY188" s="38"/>
      <c r="RZ188" s="38"/>
      <c r="SA188" s="38"/>
      <c r="SB188" s="38"/>
      <c r="SC188" s="38"/>
      <c r="SD188" s="38"/>
      <c r="SE188" s="38"/>
      <c r="SF188" s="38"/>
      <c r="SG188" s="38"/>
      <c r="SH188" s="38"/>
      <c r="SI188" s="38"/>
      <c r="SJ188" s="38"/>
      <c r="SK188" s="38"/>
      <c r="SL188" s="38"/>
      <c r="SM188" s="38"/>
      <c r="SN188" s="38"/>
      <c r="SO188" s="38"/>
      <c r="SP188" s="38"/>
      <c r="SQ188" s="38"/>
      <c r="SR188" s="38"/>
      <c r="SS188" s="38"/>
      <c r="ST188" s="38"/>
      <c r="SU188" s="38"/>
      <c r="SV188" s="38"/>
      <c r="SW188" s="38"/>
      <c r="SX188" s="38"/>
      <c r="SY188" s="38"/>
      <c r="SZ188" s="38"/>
      <c r="TA188" s="38"/>
      <c r="TB188" s="38"/>
      <c r="TC188" s="38"/>
      <c r="TD188" s="38"/>
      <c r="TE188" s="38"/>
      <c r="TF188" s="38"/>
      <c r="TG188" s="38"/>
      <c r="TH188" s="38"/>
      <c r="TI188" s="38"/>
    </row>
    <row r="189" spans="1:529" s="40" customFormat="1" ht="37.5" customHeight="1" x14ac:dyDescent="0.25">
      <c r="A189" s="77" t="s">
        <v>251</v>
      </c>
      <c r="B189" s="75"/>
      <c r="C189" s="75"/>
      <c r="D189" s="33" t="s">
        <v>52</v>
      </c>
      <c r="E189" s="68">
        <f>E190+E191++E192+E193+E194+E195</f>
        <v>20352000</v>
      </c>
      <c r="F189" s="68">
        <f t="shared" ref="F189:P189" si="121">F190+F191++F192+F193+F194+F195</f>
        <v>19734000</v>
      </c>
      <c r="G189" s="68">
        <f t="shared" si="121"/>
        <v>13897700</v>
      </c>
      <c r="H189" s="68">
        <f t="shared" si="121"/>
        <v>314600</v>
      </c>
      <c r="I189" s="68">
        <f t="shared" si="121"/>
        <v>618000</v>
      </c>
      <c r="J189" s="68">
        <f t="shared" si="121"/>
        <v>100000</v>
      </c>
      <c r="K189" s="68">
        <f>K190+K191++K192+K193+K194+K195</f>
        <v>100000</v>
      </c>
      <c r="L189" s="68">
        <f t="shared" si="121"/>
        <v>0</v>
      </c>
      <c r="M189" s="68">
        <f t="shared" si="121"/>
        <v>0</v>
      </c>
      <c r="N189" s="68">
        <f t="shared" si="121"/>
        <v>0</v>
      </c>
      <c r="O189" s="68">
        <f t="shared" si="121"/>
        <v>100000</v>
      </c>
      <c r="P189" s="68">
        <f t="shared" si="121"/>
        <v>20452000</v>
      </c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  <c r="IV189" s="39"/>
      <c r="IW189" s="39"/>
      <c r="IX189" s="39"/>
      <c r="IY189" s="39"/>
      <c r="IZ189" s="39"/>
      <c r="JA189" s="39"/>
      <c r="JB189" s="39"/>
      <c r="JC189" s="39"/>
      <c r="JD189" s="39"/>
      <c r="JE189" s="39"/>
      <c r="JF189" s="39"/>
      <c r="JG189" s="39"/>
      <c r="JH189" s="39"/>
      <c r="JI189" s="39"/>
      <c r="JJ189" s="39"/>
      <c r="JK189" s="39"/>
      <c r="JL189" s="39"/>
      <c r="JM189" s="39"/>
      <c r="JN189" s="39"/>
      <c r="JO189" s="39"/>
      <c r="JP189" s="39"/>
      <c r="JQ189" s="39"/>
      <c r="JR189" s="39"/>
      <c r="JS189" s="39"/>
      <c r="JT189" s="39"/>
      <c r="JU189" s="39"/>
      <c r="JV189" s="39"/>
      <c r="JW189" s="39"/>
      <c r="JX189" s="39"/>
      <c r="JY189" s="39"/>
      <c r="JZ189" s="39"/>
      <c r="KA189" s="39"/>
      <c r="KB189" s="39"/>
      <c r="KC189" s="39"/>
      <c r="KD189" s="39"/>
      <c r="KE189" s="39"/>
      <c r="KF189" s="39"/>
      <c r="KG189" s="39"/>
      <c r="KH189" s="39"/>
      <c r="KI189" s="39"/>
      <c r="KJ189" s="39"/>
      <c r="KK189" s="39"/>
      <c r="KL189" s="39"/>
      <c r="KM189" s="39"/>
      <c r="KN189" s="39"/>
      <c r="KO189" s="39"/>
      <c r="KP189" s="39"/>
      <c r="KQ189" s="39"/>
      <c r="KR189" s="39"/>
      <c r="KS189" s="39"/>
      <c r="KT189" s="39"/>
      <c r="KU189" s="39"/>
      <c r="KV189" s="39"/>
      <c r="KW189" s="39"/>
      <c r="KX189" s="39"/>
      <c r="KY189" s="39"/>
      <c r="KZ189" s="39"/>
      <c r="LA189" s="39"/>
      <c r="LB189" s="39"/>
      <c r="LC189" s="39"/>
      <c r="LD189" s="39"/>
      <c r="LE189" s="39"/>
      <c r="LF189" s="39"/>
      <c r="LG189" s="39"/>
      <c r="LH189" s="39"/>
      <c r="LI189" s="39"/>
      <c r="LJ189" s="39"/>
      <c r="LK189" s="39"/>
      <c r="LL189" s="39"/>
      <c r="LM189" s="39"/>
      <c r="LN189" s="39"/>
      <c r="LO189" s="39"/>
      <c r="LP189" s="39"/>
      <c r="LQ189" s="39"/>
      <c r="LR189" s="39"/>
      <c r="LS189" s="39"/>
      <c r="LT189" s="39"/>
      <c r="LU189" s="39"/>
      <c r="LV189" s="39"/>
      <c r="LW189" s="39"/>
      <c r="LX189" s="39"/>
      <c r="LY189" s="39"/>
      <c r="LZ189" s="39"/>
      <c r="MA189" s="39"/>
      <c r="MB189" s="39"/>
      <c r="MC189" s="39"/>
      <c r="MD189" s="39"/>
      <c r="ME189" s="39"/>
      <c r="MF189" s="39"/>
      <c r="MG189" s="39"/>
      <c r="MH189" s="39"/>
      <c r="MI189" s="39"/>
      <c r="MJ189" s="39"/>
      <c r="MK189" s="39"/>
      <c r="ML189" s="39"/>
      <c r="MM189" s="39"/>
      <c r="MN189" s="39"/>
      <c r="MO189" s="39"/>
      <c r="MP189" s="39"/>
      <c r="MQ189" s="39"/>
      <c r="MR189" s="39"/>
      <c r="MS189" s="39"/>
      <c r="MT189" s="39"/>
      <c r="MU189" s="39"/>
      <c r="MV189" s="39"/>
      <c r="MW189" s="39"/>
      <c r="MX189" s="39"/>
      <c r="MY189" s="39"/>
      <c r="MZ189" s="39"/>
      <c r="NA189" s="39"/>
      <c r="NB189" s="39"/>
      <c r="NC189" s="39"/>
      <c r="ND189" s="39"/>
      <c r="NE189" s="39"/>
      <c r="NF189" s="39"/>
      <c r="NG189" s="39"/>
      <c r="NH189" s="39"/>
      <c r="NI189" s="39"/>
      <c r="NJ189" s="39"/>
      <c r="NK189" s="39"/>
      <c r="NL189" s="39"/>
      <c r="NM189" s="39"/>
      <c r="NN189" s="39"/>
      <c r="NO189" s="39"/>
      <c r="NP189" s="39"/>
      <c r="NQ189" s="39"/>
      <c r="NR189" s="39"/>
      <c r="NS189" s="39"/>
      <c r="NT189" s="39"/>
      <c r="NU189" s="39"/>
      <c r="NV189" s="39"/>
      <c r="NW189" s="39"/>
      <c r="NX189" s="39"/>
      <c r="NY189" s="39"/>
      <c r="NZ189" s="39"/>
      <c r="OA189" s="39"/>
      <c r="OB189" s="39"/>
      <c r="OC189" s="39"/>
      <c r="OD189" s="39"/>
      <c r="OE189" s="39"/>
      <c r="OF189" s="39"/>
      <c r="OG189" s="39"/>
      <c r="OH189" s="39"/>
      <c r="OI189" s="39"/>
      <c r="OJ189" s="39"/>
      <c r="OK189" s="39"/>
      <c r="OL189" s="39"/>
      <c r="OM189" s="39"/>
      <c r="ON189" s="39"/>
      <c r="OO189" s="39"/>
      <c r="OP189" s="39"/>
      <c r="OQ189" s="39"/>
      <c r="OR189" s="39"/>
      <c r="OS189" s="39"/>
      <c r="OT189" s="39"/>
      <c r="OU189" s="39"/>
      <c r="OV189" s="39"/>
      <c r="OW189" s="39"/>
      <c r="OX189" s="39"/>
      <c r="OY189" s="39"/>
      <c r="OZ189" s="39"/>
      <c r="PA189" s="39"/>
      <c r="PB189" s="39"/>
      <c r="PC189" s="39"/>
      <c r="PD189" s="39"/>
      <c r="PE189" s="39"/>
      <c r="PF189" s="39"/>
      <c r="PG189" s="39"/>
      <c r="PH189" s="39"/>
      <c r="PI189" s="39"/>
      <c r="PJ189" s="39"/>
      <c r="PK189" s="39"/>
      <c r="PL189" s="39"/>
      <c r="PM189" s="39"/>
      <c r="PN189" s="39"/>
      <c r="PO189" s="39"/>
      <c r="PP189" s="39"/>
      <c r="PQ189" s="39"/>
      <c r="PR189" s="39"/>
      <c r="PS189" s="39"/>
      <c r="PT189" s="39"/>
      <c r="PU189" s="39"/>
      <c r="PV189" s="39"/>
      <c r="PW189" s="39"/>
      <c r="PX189" s="39"/>
      <c r="PY189" s="39"/>
      <c r="PZ189" s="39"/>
      <c r="QA189" s="39"/>
      <c r="QB189" s="39"/>
      <c r="QC189" s="39"/>
      <c r="QD189" s="39"/>
      <c r="QE189" s="39"/>
      <c r="QF189" s="39"/>
      <c r="QG189" s="39"/>
      <c r="QH189" s="39"/>
      <c r="QI189" s="39"/>
      <c r="QJ189" s="39"/>
      <c r="QK189" s="39"/>
      <c r="QL189" s="39"/>
      <c r="QM189" s="39"/>
      <c r="QN189" s="39"/>
      <c r="QO189" s="39"/>
      <c r="QP189" s="39"/>
      <c r="QQ189" s="39"/>
      <c r="QR189" s="39"/>
      <c r="QS189" s="39"/>
      <c r="QT189" s="39"/>
      <c r="QU189" s="39"/>
      <c r="QV189" s="39"/>
      <c r="QW189" s="39"/>
      <c r="QX189" s="39"/>
      <c r="QY189" s="39"/>
      <c r="QZ189" s="39"/>
      <c r="RA189" s="39"/>
      <c r="RB189" s="39"/>
      <c r="RC189" s="39"/>
      <c r="RD189" s="39"/>
      <c r="RE189" s="39"/>
      <c r="RF189" s="39"/>
      <c r="RG189" s="39"/>
      <c r="RH189" s="39"/>
      <c r="RI189" s="39"/>
      <c r="RJ189" s="39"/>
      <c r="RK189" s="39"/>
      <c r="RL189" s="39"/>
      <c r="RM189" s="39"/>
      <c r="RN189" s="39"/>
      <c r="RO189" s="39"/>
      <c r="RP189" s="39"/>
      <c r="RQ189" s="39"/>
      <c r="RR189" s="39"/>
      <c r="RS189" s="39"/>
      <c r="RT189" s="39"/>
      <c r="RU189" s="39"/>
      <c r="RV189" s="39"/>
      <c r="RW189" s="39"/>
      <c r="RX189" s="39"/>
      <c r="RY189" s="39"/>
      <c r="RZ189" s="39"/>
      <c r="SA189" s="39"/>
      <c r="SB189" s="39"/>
      <c r="SC189" s="39"/>
      <c r="SD189" s="39"/>
      <c r="SE189" s="39"/>
      <c r="SF189" s="39"/>
      <c r="SG189" s="39"/>
      <c r="SH189" s="39"/>
      <c r="SI189" s="39"/>
      <c r="SJ189" s="39"/>
      <c r="SK189" s="39"/>
      <c r="SL189" s="39"/>
      <c r="SM189" s="39"/>
      <c r="SN189" s="39"/>
      <c r="SO189" s="39"/>
      <c r="SP189" s="39"/>
      <c r="SQ189" s="39"/>
      <c r="SR189" s="39"/>
      <c r="SS189" s="39"/>
      <c r="ST189" s="39"/>
      <c r="SU189" s="39"/>
      <c r="SV189" s="39"/>
      <c r="SW189" s="39"/>
      <c r="SX189" s="39"/>
      <c r="SY189" s="39"/>
      <c r="SZ189" s="39"/>
      <c r="TA189" s="39"/>
      <c r="TB189" s="39"/>
      <c r="TC189" s="39"/>
      <c r="TD189" s="39"/>
      <c r="TE189" s="39"/>
      <c r="TF189" s="39"/>
      <c r="TG189" s="39"/>
      <c r="TH189" s="39"/>
      <c r="TI189" s="39"/>
    </row>
    <row r="190" spans="1:529" s="23" customFormat="1" ht="47.25" customHeight="1" x14ac:dyDescent="0.25">
      <c r="A190" s="43" t="s">
        <v>252</v>
      </c>
      <c r="B190" s="44" t="str">
        <f>'дод 4'!A20</f>
        <v>0160</v>
      </c>
      <c r="C190" s="44" t="str">
        <f>'дод 4'!B20</f>
        <v>0111</v>
      </c>
      <c r="D190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90" s="69">
        <f t="shared" ref="E190:E195" si="122">F190+I190</f>
        <v>17942000</v>
      </c>
      <c r="F190" s="69">
        <f>18803900+108500-929400-41000</f>
        <v>17942000</v>
      </c>
      <c r="G190" s="69">
        <f>14693100-761800-33600</f>
        <v>13897700</v>
      </c>
      <c r="H190" s="69">
        <v>314600</v>
      </c>
      <c r="I190" s="69"/>
      <c r="J190" s="69">
        <f>L190+O190</f>
        <v>25000</v>
      </c>
      <c r="K190" s="69">
        <v>25000</v>
      </c>
      <c r="L190" s="69"/>
      <c r="M190" s="69"/>
      <c r="N190" s="69"/>
      <c r="O190" s="69">
        <v>25000</v>
      </c>
      <c r="P190" s="69">
        <f t="shared" ref="P190:P195" si="123">E190+J190</f>
        <v>17967000</v>
      </c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  <c r="IW190" s="26"/>
      <c r="IX190" s="26"/>
      <c r="IY190" s="26"/>
      <c r="IZ190" s="26"/>
      <c r="JA190" s="26"/>
      <c r="JB190" s="26"/>
      <c r="JC190" s="26"/>
      <c r="JD190" s="26"/>
      <c r="JE190" s="26"/>
      <c r="JF190" s="26"/>
      <c r="JG190" s="26"/>
      <c r="JH190" s="26"/>
      <c r="JI190" s="26"/>
      <c r="JJ190" s="26"/>
      <c r="JK190" s="26"/>
      <c r="JL190" s="26"/>
      <c r="JM190" s="26"/>
      <c r="JN190" s="26"/>
      <c r="JO190" s="26"/>
      <c r="JP190" s="26"/>
      <c r="JQ190" s="26"/>
      <c r="JR190" s="26"/>
      <c r="JS190" s="26"/>
      <c r="JT190" s="26"/>
      <c r="JU190" s="26"/>
      <c r="JV190" s="26"/>
      <c r="JW190" s="26"/>
      <c r="JX190" s="26"/>
      <c r="JY190" s="26"/>
      <c r="JZ190" s="26"/>
      <c r="KA190" s="26"/>
      <c r="KB190" s="26"/>
      <c r="KC190" s="26"/>
      <c r="KD190" s="26"/>
      <c r="KE190" s="26"/>
      <c r="KF190" s="26"/>
      <c r="KG190" s="26"/>
      <c r="KH190" s="26"/>
      <c r="KI190" s="26"/>
      <c r="KJ190" s="26"/>
      <c r="KK190" s="26"/>
      <c r="KL190" s="26"/>
      <c r="KM190" s="26"/>
      <c r="KN190" s="26"/>
      <c r="KO190" s="26"/>
      <c r="KP190" s="26"/>
      <c r="KQ190" s="26"/>
      <c r="KR190" s="26"/>
      <c r="KS190" s="26"/>
      <c r="KT190" s="26"/>
      <c r="KU190" s="26"/>
      <c r="KV190" s="26"/>
      <c r="KW190" s="26"/>
      <c r="KX190" s="26"/>
      <c r="KY190" s="26"/>
      <c r="KZ190" s="26"/>
      <c r="LA190" s="26"/>
      <c r="LB190" s="26"/>
      <c r="LC190" s="26"/>
      <c r="LD190" s="26"/>
      <c r="LE190" s="26"/>
      <c r="LF190" s="26"/>
      <c r="LG190" s="26"/>
      <c r="LH190" s="26"/>
      <c r="LI190" s="26"/>
      <c r="LJ190" s="26"/>
      <c r="LK190" s="26"/>
      <c r="LL190" s="26"/>
      <c r="LM190" s="26"/>
      <c r="LN190" s="26"/>
      <c r="LO190" s="26"/>
      <c r="LP190" s="26"/>
      <c r="LQ190" s="26"/>
      <c r="LR190" s="26"/>
      <c r="LS190" s="26"/>
      <c r="LT190" s="26"/>
      <c r="LU190" s="26"/>
      <c r="LV190" s="26"/>
      <c r="LW190" s="26"/>
      <c r="LX190" s="26"/>
      <c r="LY190" s="26"/>
      <c r="LZ190" s="26"/>
      <c r="MA190" s="26"/>
      <c r="MB190" s="26"/>
      <c r="MC190" s="26"/>
      <c r="MD190" s="26"/>
      <c r="ME190" s="26"/>
      <c r="MF190" s="26"/>
      <c r="MG190" s="26"/>
      <c r="MH190" s="26"/>
      <c r="MI190" s="26"/>
      <c r="MJ190" s="26"/>
      <c r="MK190" s="26"/>
      <c r="ML190" s="26"/>
      <c r="MM190" s="26"/>
      <c r="MN190" s="26"/>
      <c r="MO190" s="26"/>
      <c r="MP190" s="26"/>
      <c r="MQ190" s="26"/>
      <c r="MR190" s="26"/>
      <c r="MS190" s="26"/>
      <c r="MT190" s="26"/>
      <c r="MU190" s="26"/>
      <c r="MV190" s="26"/>
      <c r="MW190" s="26"/>
      <c r="MX190" s="26"/>
      <c r="MY190" s="26"/>
      <c r="MZ190" s="26"/>
      <c r="NA190" s="26"/>
      <c r="NB190" s="26"/>
      <c r="NC190" s="26"/>
      <c r="ND190" s="26"/>
      <c r="NE190" s="26"/>
      <c r="NF190" s="26"/>
      <c r="NG190" s="26"/>
      <c r="NH190" s="26"/>
      <c r="NI190" s="26"/>
      <c r="NJ190" s="26"/>
      <c r="NK190" s="26"/>
      <c r="NL190" s="26"/>
      <c r="NM190" s="26"/>
      <c r="NN190" s="26"/>
      <c r="NO190" s="26"/>
      <c r="NP190" s="26"/>
      <c r="NQ190" s="26"/>
      <c r="NR190" s="26"/>
      <c r="NS190" s="26"/>
      <c r="NT190" s="26"/>
      <c r="NU190" s="26"/>
      <c r="NV190" s="26"/>
      <c r="NW190" s="26"/>
      <c r="NX190" s="26"/>
      <c r="NY190" s="26"/>
      <c r="NZ190" s="26"/>
      <c r="OA190" s="26"/>
      <c r="OB190" s="26"/>
      <c r="OC190" s="26"/>
      <c r="OD190" s="26"/>
      <c r="OE190" s="26"/>
      <c r="OF190" s="26"/>
      <c r="OG190" s="26"/>
      <c r="OH190" s="26"/>
      <c r="OI190" s="26"/>
      <c r="OJ190" s="26"/>
      <c r="OK190" s="26"/>
      <c r="OL190" s="26"/>
      <c r="OM190" s="26"/>
      <c r="ON190" s="26"/>
      <c r="OO190" s="26"/>
      <c r="OP190" s="26"/>
      <c r="OQ190" s="26"/>
      <c r="OR190" s="26"/>
      <c r="OS190" s="26"/>
      <c r="OT190" s="26"/>
      <c r="OU190" s="26"/>
      <c r="OV190" s="26"/>
      <c r="OW190" s="26"/>
      <c r="OX190" s="26"/>
      <c r="OY190" s="26"/>
      <c r="OZ190" s="26"/>
      <c r="PA190" s="26"/>
      <c r="PB190" s="26"/>
      <c r="PC190" s="26"/>
      <c r="PD190" s="26"/>
      <c r="PE190" s="26"/>
      <c r="PF190" s="26"/>
      <c r="PG190" s="26"/>
      <c r="PH190" s="26"/>
      <c r="PI190" s="26"/>
      <c r="PJ190" s="26"/>
      <c r="PK190" s="26"/>
      <c r="PL190" s="26"/>
      <c r="PM190" s="26"/>
      <c r="PN190" s="26"/>
      <c r="PO190" s="26"/>
      <c r="PP190" s="26"/>
      <c r="PQ190" s="26"/>
      <c r="PR190" s="26"/>
      <c r="PS190" s="26"/>
      <c r="PT190" s="26"/>
      <c r="PU190" s="26"/>
      <c r="PV190" s="26"/>
      <c r="PW190" s="26"/>
      <c r="PX190" s="26"/>
      <c r="PY190" s="26"/>
      <c r="PZ190" s="26"/>
      <c r="QA190" s="26"/>
      <c r="QB190" s="26"/>
      <c r="QC190" s="26"/>
      <c r="QD190" s="26"/>
      <c r="QE190" s="26"/>
      <c r="QF190" s="26"/>
      <c r="QG190" s="26"/>
      <c r="QH190" s="26"/>
      <c r="QI190" s="26"/>
      <c r="QJ190" s="26"/>
      <c r="QK190" s="26"/>
      <c r="QL190" s="26"/>
      <c r="QM190" s="26"/>
      <c r="QN190" s="26"/>
      <c r="QO190" s="26"/>
      <c r="QP190" s="26"/>
      <c r="QQ190" s="26"/>
      <c r="QR190" s="26"/>
      <c r="QS190" s="26"/>
      <c r="QT190" s="26"/>
      <c r="QU190" s="26"/>
      <c r="QV190" s="26"/>
      <c r="QW190" s="26"/>
      <c r="QX190" s="26"/>
      <c r="QY190" s="26"/>
      <c r="QZ190" s="26"/>
      <c r="RA190" s="26"/>
      <c r="RB190" s="26"/>
      <c r="RC190" s="26"/>
      <c r="RD190" s="26"/>
      <c r="RE190" s="26"/>
      <c r="RF190" s="26"/>
      <c r="RG190" s="26"/>
      <c r="RH190" s="26"/>
      <c r="RI190" s="26"/>
      <c r="RJ190" s="26"/>
      <c r="RK190" s="26"/>
      <c r="RL190" s="26"/>
      <c r="RM190" s="26"/>
      <c r="RN190" s="26"/>
      <c r="RO190" s="26"/>
      <c r="RP190" s="26"/>
      <c r="RQ190" s="26"/>
      <c r="RR190" s="26"/>
      <c r="RS190" s="26"/>
      <c r="RT190" s="26"/>
      <c r="RU190" s="26"/>
      <c r="RV190" s="26"/>
      <c r="RW190" s="26"/>
      <c r="RX190" s="26"/>
      <c r="RY190" s="26"/>
      <c r="RZ190" s="26"/>
      <c r="SA190" s="26"/>
      <c r="SB190" s="26"/>
      <c r="SC190" s="26"/>
      <c r="SD190" s="26"/>
      <c r="SE190" s="26"/>
      <c r="SF190" s="26"/>
      <c r="SG190" s="26"/>
      <c r="SH190" s="26"/>
      <c r="SI190" s="26"/>
      <c r="SJ190" s="26"/>
      <c r="SK190" s="26"/>
      <c r="SL190" s="26"/>
      <c r="SM190" s="26"/>
      <c r="SN190" s="26"/>
      <c r="SO190" s="26"/>
      <c r="SP190" s="26"/>
      <c r="SQ190" s="26"/>
      <c r="SR190" s="26"/>
      <c r="SS190" s="26"/>
      <c r="ST190" s="26"/>
      <c r="SU190" s="26"/>
      <c r="SV190" s="26"/>
      <c r="SW190" s="26"/>
      <c r="SX190" s="26"/>
      <c r="SY190" s="26"/>
      <c r="SZ190" s="26"/>
      <c r="TA190" s="26"/>
      <c r="TB190" s="26"/>
      <c r="TC190" s="26"/>
      <c r="TD190" s="26"/>
      <c r="TE190" s="26"/>
      <c r="TF190" s="26"/>
      <c r="TG190" s="26"/>
      <c r="TH190" s="26"/>
      <c r="TI190" s="26"/>
    </row>
    <row r="191" spans="1:529" s="28" customFormat="1" ht="29.25" customHeight="1" x14ac:dyDescent="0.25">
      <c r="A191" s="43" t="s">
        <v>253</v>
      </c>
      <c r="B191" s="44" t="str">
        <f>'дод 4'!A101</f>
        <v>7130</v>
      </c>
      <c r="C191" s="44" t="str">
        <f>'дод 4'!B101</f>
        <v>0421</v>
      </c>
      <c r="D191" s="24" t="str">
        <f>'дод 4'!C101</f>
        <v>Здійснення заходів із землеустрою</v>
      </c>
      <c r="E191" s="69">
        <f t="shared" si="122"/>
        <v>700000</v>
      </c>
      <c r="F191" s="69">
        <v>700000</v>
      </c>
      <c r="G191" s="69"/>
      <c r="H191" s="69"/>
      <c r="I191" s="69"/>
      <c r="J191" s="69">
        <f t="shared" ref="J191:J195" si="124">L191+O191</f>
        <v>0</v>
      </c>
      <c r="K191" s="69"/>
      <c r="L191" s="69"/>
      <c r="M191" s="69"/>
      <c r="N191" s="69"/>
      <c r="O191" s="69"/>
      <c r="P191" s="69">
        <f t="shared" si="123"/>
        <v>700000</v>
      </c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  <c r="IT191" s="37"/>
      <c r="IU191" s="37"/>
      <c r="IV191" s="37"/>
      <c r="IW191" s="37"/>
      <c r="IX191" s="37"/>
      <c r="IY191" s="37"/>
      <c r="IZ191" s="37"/>
      <c r="JA191" s="37"/>
      <c r="JB191" s="37"/>
      <c r="JC191" s="37"/>
      <c r="JD191" s="37"/>
      <c r="JE191" s="37"/>
      <c r="JF191" s="37"/>
      <c r="JG191" s="37"/>
      <c r="JH191" s="37"/>
      <c r="JI191" s="37"/>
      <c r="JJ191" s="37"/>
      <c r="JK191" s="37"/>
      <c r="JL191" s="37"/>
      <c r="JM191" s="37"/>
      <c r="JN191" s="37"/>
      <c r="JO191" s="37"/>
      <c r="JP191" s="37"/>
      <c r="JQ191" s="37"/>
      <c r="JR191" s="37"/>
      <c r="JS191" s="37"/>
      <c r="JT191" s="37"/>
      <c r="JU191" s="37"/>
      <c r="JV191" s="37"/>
      <c r="JW191" s="37"/>
      <c r="JX191" s="37"/>
      <c r="JY191" s="37"/>
      <c r="JZ191" s="37"/>
      <c r="KA191" s="37"/>
      <c r="KB191" s="37"/>
      <c r="KC191" s="37"/>
      <c r="KD191" s="37"/>
      <c r="KE191" s="37"/>
      <c r="KF191" s="37"/>
      <c r="KG191" s="37"/>
      <c r="KH191" s="37"/>
      <c r="KI191" s="37"/>
      <c r="KJ191" s="37"/>
      <c r="KK191" s="37"/>
      <c r="KL191" s="37"/>
      <c r="KM191" s="37"/>
      <c r="KN191" s="37"/>
      <c r="KO191" s="37"/>
      <c r="KP191" s="37"/>
      <c r="KQ191" s="37"/>
      <c r="KR191" s="37"/>
      <c r="KS191" s="37"/>
      <c r="KT191" s="37"/>
      <c r="KU191" s="37"/>
      <c r="KV191" s="37"/>
      <c r="KW191" s="37"/>
      <c r="KX191" s="37"/>
      <c r="KY191" s="37"/>
      <c r="KZ191" s="37"/>
      <c r="LA191" s="37"/>
      <c r="LB191" s="37"/>
      <c r="LC191" s="37"/>
      <c r="LD191" s="37"/>
      <c r="LE191" s="37"/>
      <c r="LF191" s="37"/>
      <c r="LG191" s="37"/>
      <c r="LH191" s="37"/>
      <c r="LI191" s="37"/>
      <c r="LJ191" s="37"/>
      <c r="LK191" s="37"/>
      <c r="LL191" s="37"/>
      <c r="LM191" s="37"/>
      <c r="LN191" s="37"/>
      <c r="LO191" s="37"/>
      <c r="LP191" s="37"/>
      <c r="LQ191" s="37"/>
      <c r="LR191" s="37"/>
      <c r="LS191" s="37"/>
      <c r="LT191" s="37"/>
      <c r="LU191" s="37"/>
      <c r="LV191" s="37"/>
      <c r="LW191" s="37"/>
      <c r="LX191" s="37"/>
      <c r="LY191" s="37"/>
      <c r="LZ191" s="37"/>
      <c r="MA191" s="37"/>
      <c r="MB191" s="37"/>
      <c r="MC191" s="37"/>
      <c r="MD191" s="37"/>
      <c r="ME191" s="37"/>
      <c r="MF191" s="37"/>
      <c r="MG191" s="37"/>
      <c r="MH191" s="37"/>
      <c r="MI191" s="37"/>
      <c r="MJ191" s="37"/>
      <c r="MK191" s="37"/>
      <c r="ML191" s="37"/>
      <c r="MM191" s="37"/>
      <c r="MN191" s="37"/>
      <c r="MO191" s="37"/>
      <c r="MP191" s="37"/>
      <c r="MQ191" s="37"/>
      <c r="MR191" s="37"/>
      <c r="MS191" s="37"/>
      <c r="MT191" s="37"/>
      <c r="MU191" s="37"/>
      <c r="MV191" s="37"/>
      <c r="MW191" s="37"/>
      <c r="MX191" s="37"/>
      <c r="MY191" s="37"/>
      <c r="MZ191" s="37"/>
      <c r="NA191" s="37"/>
      <c r="NB191" s="37"/>
      <c r="NC191" s="37"/>
      <c r="ND191" s="37"/>
      <c r="NE191" s="37"/>
      <c r="NF191" s="37"/>
      <c r="NG191" s="37"/>
      <c r="NH191" s="37"/>
      <c r="NI191" s="37"/>
      <c r="NJ191" s="37"/>
      <c r="NK191" s="37"/>
      <c r="NL191" s="37"/>
      <c r="NM191" s="37"/>
      <c r="NN191" s="37"/>
      <c r="NO191" s="37"/>
      <c r="NP191" s="37"/>
      <c r="NQ191" s="37"/>
      <c r="NR191" s="37"/>
      <c r="NS191" s="37"/>
      <c r="NT191" s="37"/>
      <c r="NU191" s="37"/>
      <c r="NV191" s="37"/>
      <c r="NW191" s="37"/>
      <c r="NX191" s="37"/>
      <c r="NY191" s="37"/>
      <c r="NZ191" s="37"/>
      <c r="OA191" s="37"/>
      <c r="OB191" s="37"/>
      <c r="OC191" s="37"/>
      <c r="OD191" s="37"/>
      <c r="OE191" s="37"/>
      <c r="OF191" s="37"/>
      <c r="OG191" s="37"/>
      <c r="OH191" s="37"/>
      <c r="OI191" s="37"/>
      <c r="OJ191" s="37"/>
      <c r="OK191" s="37"/>
      <c r="OL191" s="37"/>
      <c r="OM191" s="37"/>
      <c r="ON191" s="37"/>
      <c r="OO191" s="37"/>
      <c r="OP191" s="37"/>
      <c r="OQ191" s="37"/>
      <c r="OR191" s="37"/>
      <c r="OS191" s="37"/>
      <c r="OT191" s="37"/>
      <c r="OU191" s="37"/>
      <c r="OV191" s="37"/>
      <c r="OW191" s="37"/>
      <c r="OX191" s="37"/>
      <c r="OY191" s="37"/>
      <c r="OZ191" s="37"/>
      <c r="PA191" s="37"/>
      <c r="PB191" s="37"/>
      <c r="PC191" s="37"/>
      <c r="PD191" s="37"/>
      <c r="PE191" s="37"/>
      <c r="PF191" s="37"/>
      <c r="PG191" s="37"/>
      <c r="PH191" s="37"/>
      <c r="PI191" s="37"/>
      <c r="PJ191" s="37"/>
      <c r="PK191" s="37"/>
      <c r="PL191" s="37"/>
      <c r="PM191" s="37"/>
      <c r="PN191" s="37"/>
      <c r="PO191" s="37"/>
      <c r="PP191" s="37"/>
      <c r="PQ191" s="37"/>
      <c r="PR191" s="37"/>
      <c r="PS191" s="37"/>
      <c r="PT191" s="37"/>
      <c r="PU191" s="37"/>
      <c r="PV191" s="37"/>
      <c r="PW191" s="37"/>
      <c r="PX191" s="37"/>
      <c r="PY191" s="37"/>
      <c r="PZ191" s="37"/>
      <c r="QA191" s="37"/>
      <c r="QB191" s="37"/>
      <c r="QC191" s="37"/>
      <c r="QD191" s="37"/>
      <c r="QE191" s="37"/>
      <c r="QF191" s="37"/>
      <c r="QG191" s="37"/>
      <c r="QH191" s="37"/>
      <c r="QI191" s="37"/>
      <c r="QJ191" s="37"/>
      <c r="QK191" s="37"/>
      <c r="QL191" s="37"/>
      <c r="QM191" s="37"/>
      <c r="QN191" s="37"/>
      <c r="QO191" s="37"/>
      <c r="QP191" s="37"/>
      <c r="QQ191" s="37"/>
      <c r="QR191" s="37"/>
      <c r="QS191" s="37"/>
      <c r="QT191" s="37"/>
      <c r="QU191" s="37"/>
      <c r="QV191" s="37"/>
      <c r="QW191" s="37"/>
      <c r="QX191" s="37"/>
      <c r="QY191" s="37"/>
      <c r="QZ191" s="37"/>
      <c r="RA191" s="37"/>
      <c r="RB191" s="37"/>
      <c r="RC191" s="37"/>
      <c r="RD191" s="37"/>
      <c r="RE191" s="37"/>
      <c r="RF191" s="37"/>
      <c r="RG191" s="37"/>
      <c r="RH191" s="37"/>
      <c r="RI191" s="37"/>
      <c r="RJ191" s="37"/>
      <c r="RK191" s="37"/>
      <c r="RL191" s="37"/>
      <c r="RM191" s="37"/>
      <c r="RN191" s="37"/>
      <c r="RO191" s="37"/>
      <c r="RP191" s="37"/>
      <c r="RQ191" s="37"/>
      <c r="RR191" s="37"/>
      <c r="RS191" s="37"/>
      <c r="RT191" s="37"/>
      <c r="RU191" s="37"/>
      <c r="RV191" s="37"/>
      <c r="RW191" s="37"/>
      <c r="RX191" s="37"/>
      <c r="RY191" s="37"/>
      <c r="RZ191" s="37"/>
      <c r="SA191" s="37"/>
      <c r="SB191" s="37"/>
      <c r="SC191" s="37"/>
      <c r="SD191" s="37"/>
      <c r="SE191" s="37"/>
      <c r="SF191" s="37"/>
      <c r="SG191" s="37"/>
      <c r="SH191" s="37"/>
      <c r="SI191" s="37"/>
      <c r="SJ191" s="37"/>
      <c r="SK191" s="37"/>
      <c r="SL191" s="37"/>
      <c r="SM191" s="37"/>
      <c r="SN191" s="37"/>
      <c r="SO191" s="37"/>
      <c r="SP191" s="37"/>
      <c r="SQ191" s="37"/>
      <c r="SR191" s="37"/>
      <c r="SS191" s="37"/>
      <c r="ST191" s="37"/>
      <c r="SU191" s="37"/>
      <c r="SV191" s="37"/>
      <c r="SW191" s="37"/>
      <c r="SX191" s="37"/>
      <c r="SY191" s="37"/>
      <c r="SZ191" s="37"/>
      <c r="TA191" s="37"/>
      <c r="TB191" s="37"/>
      <c r="TC191" s="37"/>
      <c r="TD191" s="37"/>
      <c r="TE191" s="37"/>
      <c r="TF191" s="37"/>
      <c r="TG191" s="37"/>
      <c r="TH191" s="37"/>
      <c r="TI191" s="37"/>
    </row>
    <row r="192" spans="1:529" s="23" customFormat="1" ht="27" customHeight="1" x14ac:dyDescent="0.25">
      <c r="A192" s="52" t="s">
        <v>254</v>
      </c>
      <c r="B192" s="45" t="str">
        <f>'дод 4'!A124</f>
        <v>7610</v>
      </c>
      <c r="C192" s="45" t="str">
        <f>'дод 4'!B124</f>
        <v>0411</v>
      </c>
      <c r="D192" s="22" t="str">
        <f>'дод 4'!C124</f>
        <v>Сприяння розвитку малого та середнього підприємництва</v>
      </c>
      <c r="E192" s="69">
        <f t="shared" si="122"/>
        <v>1020000</v>
      </c>
      <c r="F192" s="69">
        <f>220000+182000</f>
        <v>402000</v>
      </c>
      <c r="G192" s="69"/>
      <c r="H192" s="69"/>
      <c r="I192" s="69">
        <f>1000000-200000-182000</f>
        <v>618000</v>
      </c>
      <c r="J192" s="69">
        <f t="shared" si="124"/>
        <v>0</v>
      </c>
      <c r="K192" s="69"/>
      <c r="L192" s="69"/>
      <c r="M192" s="69"/>
      <c r="N192" s="69"/>
      <c r="O192" s="69"/>
      <c r="P192" s="69">
        <f t="shared" si="123"/>
        <v>1020000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6"/>
      <c r="OQ192" s="26"/>
      <c r="OR192" s="26"/>
      <c r="OS192" s="26"/>
      <c r="OT192" s="26"/>
      <c r="OU192" s="26"/>
      <c r="OV192" s="26"/>
      <c r="OW192" s="26"/>
      <c r="OX192" s="26"/>
      <c r="OY192" s="26"/>
      <c r="OZ192" s="26"/>
      <c r="PA192" s="26"/>
      <c r="PB192" s="26"/>
      <c r="PC192" s="26"/>
      <c r="PD192" s="26"/>
      <c r="PE192" s="26"/>
      <c r="PF192" s="26"/>
      <c r="PG192" s="26"/>
      <c r="PH192" s="26"/>
      <c r="PI192" s="26"/>
      <c r="PJ192" s="26"/>
      <c r="PK192" s="26"/>
      <c r="PL192" s="26"/>
      <c r="PM192" s="26"/>
      <c r="PN192" s="26"/>
      <c r="PO192" s="26"/>
      <c r="PP192" s="26"/>
      <c r="PQ192" s="26"/>
      <c r="PR192" s="26"/>
      <c r="PS192" s="26"/>
      <c r="PT192" s="26"/>
      <c r="PU192" s="26"/>
      <c r="PV192" s="26"/>
      <c r="PW192" s="26"/>
      <c r="PX192" s="26"/>
      <c r="PY192" s="26"/>
      <c r="PZ192" s="26"/>
      <c r="QA192" s="26"/>
      <c r="QB192" s="26"/>
      <c r="QC192" s="26"/>
      <c r="QD192" s="26"/>
      <c r="QE192" s="26"/>
      <c r="QF192" s="26"/>
      <c r="QG192" s="26"/>
      <c r="QH192" s="26"/>
      <c r="QI192" s="26"/>
      <c r="QJ192" s="26"/>
      <c r="QK192" s="26"/>
      <c r="QL192" s="26"/>
      <c r="QM192" s="26"/>
      <c r="QN192" s="26"/>
      <c r="QO192" s="26"/>
      <c r="QP192" s="26"/>
      <c r="QQ192" s="26"/>
      <c r="QR192" s="26"/>
      <c r="QS192" s="26"/>
      <c r="QT192" s="26"/>
      <c r="QU192" s="26"/>
      <c r="QV192" s="26"/>
      <c r="QW192" s="26"/>
      <c r="QX192" s="26"/>
      <c r="QY192" s="26"/>
      <c r="QZ192" s="26"/>
      <c r="RA192" s="26"/>
      <c r="RB192" s="26"/>
      <c r="RC192" s="26"/>
      <c r="RD192" s="26"/>
      <c r="RE192" s="26"/>
      <c r="RF192" s="26"/>
      <c r="RG192" s="26"/>
      <c r="RH192" s="26"/>
      <c r="RI192" s="26"/>
      <c r="RJ192" s="26"/>
      <c r="RK192" s="26"/>
      <c r="RL192" s="26"/>
      <c r="RM192" s="26"/>
      <c r="RN192" s="26"/>
      <c r="RO192" s="26"/>
      <c r="RP192" s="26"/>
      <c r="RQ192" s="26"/>
      <c r="RR192" s="26"/>
      <c r="RS192" s="26"/>
      <c r="RT192" s="26"/>
      <c r="RU192" s="26"/>
      <c r="RV192" s="26"/>
      <c r="RW192" s="26"/>
      <c r="RX192" s="26"/>
      <c r="RY192" s="26"/>
      <c r="RZ192" s="26"/>
      <c r="SA192" s="26"/>
      <c r="SB192" s="26"/>
      <c r="SC192" s="26"/>
      <c r="SD192" s="26"/>
      <c r="SE192" s="26"/>
      <c r="SF192" s="26"/>
      <c r="SG192" s="26"/>
      <c r="SH192" s="26"/>
      <c r="SI192" s="26"/>
      <c r="SJ192" s="26"/>
      <c r="SK192" s="26"/>
      <c r="SL192" s="26"/>
      <c r="SM192" s="26"/>
      <c r="SN192" s="26"/>
      <c r="SO192" s="26"/>
      <c r="SP192" s="26"/>
      <c r="SQ192" s="26"/>
      <c r="SR192" s="26"/>
      <c r="SS192" s="26"/>
      <c r="ST192" s="26"/>
      <c r="SU192" s="26"/>
      <c r="SV192" s="26"/>
      <c r="SW192" s="26"/>
      <c r="SX192" s="26"/>
      <c r="SY192" s="26"/>
      <c r="SZ192" s="26"/>
      <c r="TA192" s="26"/>
      <c r="TB192" s="26"/>
      <c r="TC192" s="26"/>
      <c r="TD192" s="26"/>
      <c r="TE192" s="26"/>
      <c r="TF192" s="26"/>
      <c r="TG192" s="26"/>
      <c r="TH192" s="26"/>
      <c r="TI192" s="26"/>
    </row>
    <row r="193" spans="1:529" s="23" customFormat="1" ht="37.5" customHeight="1" x14ac:dyDescent="0.25">
      <c r="A193" s="52" t="s">
        <v>309</v>
      </c>
      <c r="B193" s="45" t="str">
        <f>'дод 4'!A126</f>
        <v>7650</v>
      </c>
      <c r="C193" s="45" t="str">
        <f>'дод 4'!B126</f>
        <v>0490</v>
      </c>
      <c r="D193" s="22" t="str">
        <f>'дод 4'!C126</f>
        <v>Проведення експертної грошової оцінки земельної ділянки чи права на неї</v>
      </c>
      <c r="E193" s="69">
        <f t="shared" si="122"/>
        <v>0</v>
      </c>
      <c r="F193" s="69"/>
      <c r="G193" s="69"/>
      <c r="H193" s="69"/>
      <c r="I193" s="69"/>
      <c r="J193" s="69">
        <f t="shared" si="124"/>
        <v>30000</v>
      </c>
      <c r="K193" s="69">
        <v>30000</v>
      </c>
      <c r="L193" s="69"/>
      <c r="M193" s="69"/>
      <c r="N193" s="69"/>
      <c r="O193" s="69">
        <v>30000</v>
      </c>
      <c r="P193" s="69">
        <f t="shared" si="123"/>
        <v>30000</v>
      </c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  <c r="IW193" s="26"/>
      <c r="IX193" s="26"/>
      <c r="IY193" s="26"/>
      <c r="IZ193" s="26"/>
      <c r="JA193" s="26"/>
      <c r="JB193" s="26"/>
      <c r="JC193" s="26"/>
      <c r="JD193" s="26"/>
      <c r="JE193" s="26"/>
      <c r="JF193" s="26"/>
      <c r="JG193" s="26"/>
      <c r="JH193" s="26"/>
      <c r="JI193" s="26"/>
      <c r="JJ193" s="26"/>
      <c r="JK193" s="26"/>
      <c r="JL193" s="26"/>
      <c r="JM193" s="26"/>
      <c r="JN193" s="26"/>
      <c r="JO193" s="26"/>
      <c r="JP193" s="26"/>
      <c r="JQ193" s="26"/>
      <c r="JR193" s="26"/>
      <c r="JS193" s="26"/>
      <c r="JT193" s="26"/>
      <c r="JU193" s="26"/>
      <c r="JV193" s="26"/>
      <c r="JW193" s="26"/>
      <c r="JX193" s="26"/>
      <c r="JY193" s="26"/>
      <c r="JZ193" s="26"/>
      <c r="KA193" s="26"/>
      <c r="KB193" s="26"/>
      <c r="KC193" s="26"/>
      <c r="KD193" s="26"/>
      <c r="KE193" s="26"/>
      <c r="KF193" s="26"/>
      <c r="KG193" s="26"/>
      <c r="KH193" s="26"/>
      <c r="KI193" s="26"/>
      <c r="KJ193" s="26"/>
      <c r="KK193" s="26"/>
      <c r="KL193" s="26"/>
      <c r="KM193" s="26"/>
      <c r="KN193" s="26"/>
      <c r="KO193" s="26"/>
      <c r="KP193" s="26"/>
      <c r="KQ193" s="26"/>
      <c r="KR193" s="26"/>
      <c r="KS193" s="26"/>
      <c r="KT193" s="26"/>
      <c r="KU193" s="26"/>
      <c r="KV193" s="26"/>
      <c r="KW193" s="26"/>
      <c r="KX193" s="26"/>
      <c r="KY193" s="26"/>
      <c r="KZ193" s="26"/>
      <c r="LA193" s="26"/>
      <c r="LB193" s="26"/>
      <c r="LC193" s="26"/>
      <c r="LD193" s="26"/>
      <c r="LE193" s="26"/>
      <c r="LF193" s="26"/>
      <c r="LG193" s="26"/>
      <c r="LH193" s="26"/>
      <c r="LI193" s="26"/>
      <c r="LJ193" s="26"/>
      <c r="LK193" s="26"/>
      <c r="LL193" s="26"/>
      <c r="LM193" s="26"/>
      <c r="LN193" s="26"/>
      <c r="LO193" s="26"/>
      <c r="LP193" s="26"/>
      <c r="LQ193" s="26"/>
      <c r="LR193" s="26"/>
      <c r="LS193" s="26"/>
      <c r="LT193" s="26"/>
      <c r="LU193" s="26"/>
      <c r="LV193" s="26"/>
      <c r="LW193" s="26"/>
      <c r="LX193" s="26"/>
      <c r="LY193" s="26"/>
      <c r="LZ193" s="26"/>
      <c r="MA193" s="26"/>
      <c r="MB193" s="26"/>
      <c r="MC193" s="26"/>
      <c r="MD193" s="26"/>
      <c r="ME193" s="26"/>
      <c r="MF193" s="26"/>
      <c r="MG193" s="26"/>
      <c r="MH193" s="26"/>
      <c r="MI193" s="26"/>
      <c r="MJ193" s="26"/>
      <c r="MK193" s="26"/>
      <c r="ML193" s="26"/>
      <c r="MM193" s="26"/>
      <c r="MN193" s="26"/>
      <c r="MO193" s="26"/>
      <c r="MP193" s="26"/>
      <c r="MQ193" s="26"/>
      <c r="MR193" s="26"/>
      <c r="MS193" s="26"/>
      <c r="MT193" s="26"/>
      <c r="MU193" s="26"/>
      <c r="MV193" s="26"/>
      <c r="MW193" s="26"/>
      <c r="MX193" s="26"/>
      <c r="MY193" s="26"/>
      <c r="MZ193" s="26"/>
      <c r="NA193" s="26"/>
      <c r="NB193" s="26"/>
      <c r="NC193" s="26"/>
      <c r="ND193" s="26"/>
      <c r="NE193" s="26"/>
      <c r="NF193" s="26"/>
      <c r="NG193" s="26"/>
      <c r="NH193" s="26"/>
      <c r="NI193" s="26"/>
      <c r="NJ193" s="26"/>
      <c r="NK193" s="26"/>
      <c r="NL193" s="26"/>
      <c r="NM193" s="26"/>
      <c r="NN193" s="26"/>
      <c r="NO193" s="26"/>
      <c r="NP193" s="26"/>
      <c r="NQ193" s="26"/>
      <c r="NR193" s="26"/>
      <c r="NS193" s="26"/>
      <c r="NT193" s="26"/>
      <c r="NU193" s="26"/>
      <c r="NV193" s="26"/>
      <c r="NW193" s="26"/>
      <c r="NX193" s="26"/>
      <c r="NY193" s="26"/>
      <c r="NZ193" s="26"/>
      <c r="OA193" s="26"/>
      <c r="OB193" s="26"/>
      <c r="OC193" s="26"/>
      <c r="OD193" s="26"/>
      <c r="OE193" s="26"/>
      <c r="OF193" s="26"/>
      <c r="OG193" s="26"/>
      <c r="OH193" s="26"/>
      <c r="OI193" s="26"/>
      <c r="OJ193" s="26"/>
      <c r="OK193" s="26"/>
      <c r="OL193" s="26"/>
      <c r="OM193" s="26"/>
      <c r="ON193" s="26"/>
      <c r="OO193" s="26"/>
      <c r="OP193" s="26"/>
      <c r="OQ193" s="26"/>
      <c r="OR193" s="26"/>
      <c r="OS193" s="26"/>
      <c r="OT193" s="26"/>
      <c r="OU193" s="26"/>
      <c r="OV193" s="26"/>
      <c r="OW193" s="26"/>
      <c r="OX193" s="26"/>
      <c r="OY193" s="26"/>
      <c r="OZ193" s="26"/>
      <c r="PA193" s="26"/>
      <c r="PB193" s="26"/>
      <c r="PC193" s="26"/>
      <c r="PD193" s="26"/>
      <c r="PE193" s="26"/>
      <c r="PF193" s="26"/>
      <c r="PG193" s="26"/>
      <c r="PH193" s="26"/>
      <c r="PI193" s="26"/>
      <c r="PJ193" s="26"/>
      <c r="PK193" s="26"/>
      <c r="PL193" s="26"/>
      <c r="PM193" s="26"/>
      <c r="PN193" s="26"/>
      <c r="PO193" s="26"/>
      <c r="PP193" s="26"/>
      <c r="PQ193" s="26"/>
      <c r="PR193" s="26"/>
      <c r="PS193" s="26"/>
      <c r="PT193" s="26"/>
      <c r="PU193" s="26"/>
      <c r="PV193" s="26"/>
      <c r="PW193" s="26"/>
      <c r="PX193" s="26"/>
      <c r="PY193" s="26"/>
      <c r="PZ193" s="26"/>
      <c r="QA193" s="26"/>
      <c r="QB193" s="26"/>
      <c r="QC193" s="26"/>
      <c r="QD193" s="26"/>
      <c r="QE193" s="26"/>
      <c r="QF193" s="26"/>
      <c r="QG193" s="26"/>
      <c r="QH193" s="26"/>
      <c r="QI193" s="26"/>
      <c r="QJ193" s="26"/>
      <c r="QK193" s="26"/>
      <c r="QL193" s="26"/>
      <c r="QM193" s="26"/>
      <c r="QN193" s="26"/>
      <c r="QO193" s="26"/>
      <c r="QP193" s="26"/>
      <c r="QQ193" s="26"/>
      <c r="QR193" s="26"/>
      <c r="QS193" s="26"/>
      <c r="QT193" s="26"/>
      <c r="QU193" s="26"/>
      <c r="QV193" s="26"/>
      <c r="QW193" s="26"/>
      <c r="QX193" s="26"/>
      <c r="QY193" s="26"/>
      <c r="QZ193" s="26"/>
      <c r="RA193" s="26"/>
      <c r="RB193" s="26"/>
      <c r="RC193" s="26"/>
      <c r="RD193" s="26"/>
      <c r="RE193" s="26"/>
      <c r="RF193" s="26"/>
      <c r="RG193" s="26"/>
      <c r="RH193" s="26"/>
      <c r="RI193" s="26"/>
      <c r="RJ193" s="26"/>
      <c r="RK193" s="26"/>
      <c r="RL193" s="26"/>
      <c r="RM193" s="26"/>
      <c r="RN193" s="26"/>
      <c r="RO193" s="26"/>
      <c r="RP193" s="26"/>
      <c r="RQ193" s="26"/>
      <c r="RR193" s="26"/>
      <c r="RS193" s="26"/>
      <c r="RT193" s="26"/>
      <c r="RU193" s="26"/>
      <c r="RV193" s="26"/>
      <c r="RW193" s="26"/>
      <c r="RX193" s="26"/>
      <c r="RY193" s="26"/>
      <c r="RZ193" s="26"/>
      <c r="SA193" s="26"/>
      <c r="SB193" s="26"/>
      <c r="SC193" s="26"/>
      <c r="SD193" s="26"/>
      <c r="SE193" s="26"/>
      <c r="SF193" s="26"/>
      <c r="SG193" s="26"/>
      <c r="SH193" s="26"/>
      <c r="SI193" s="26"/>
      <c r="SJ193" s="26"/>
      <c r="SK193" s="26"/>
      <c r="SL193" s="26"/>
      <c r="SM193" s="26"/>
      <c r="SN193" s="26"/>
      <c r="SO193" s="26"/>
      <c r="SP193" s="26"/>
      <c r="SQ193" s="26"/>
      <c r="SR193" s="26"/>
      <c r="SS193" s="26"/>
      <c r="ST193" s="26"/>
      <c r="SU193" s="26"/>
      <c r="SV193" s="26"/>
      <c r="SW193" s="26"/>
      <c r="SX193" s="26"/>
      <c r="SY193" s="26"/>
      <c r="SZ193" s="26"/>
      <c r="TA193" s="26"/>
      <c r="TB193" s="26"/>
      <c r="TC193" s="26"/>
      <c r="TD193" s="26"/>
      <c r="TE193" s="26"/>
      <c r="TF193" s="26"/>
      <c r="TG193" s="26"/>
      <c r="TH193" s="26"/>
      <c r="TI193" s="26"/>
    </row>
    <row r="194" spans="1:529" s="23" customFormat="1" ht="51.75" customHeight="1" x14ac:dyDescent="0.25">
      <c r="A194" s="52" t="s">
        <v>311</v>
      </c>
      <c r="B194" s="45" t="str">
        <f>'дод 4'!A127</f>
        <v>7660</v>
      </c>
      <c r="C194" s="45" t="str">
        <f>'дод 4'!B127</f>
        <v>0490</v>
      </c>
      <c r="D194" s="22" t="str">
        <f>'дод 4'!C127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194" s="69">
        <f t="shared" si="122"/>
        <v>0</v>
      </c>
      <c r="F194" s="69"/>
      <c r="G194" s="69"/>
      <c r="H194" s="69"/>
      <c r="I194" s="69"/>
      <c r="J194" s="69">
        <f t="shared" si="124"/>
        <v>45000</v>
      </c>
      <c r="K194" s="69">
        <v>45000</v>
      </c>
      <c r="L194" s="69"/>
      <c r="M194" s="69"/>
      <c r="N194" s="69"/>
      <c r="O194" s="69">
        <v>45000</v>
      </c>
      <c r="P194" s="69">
        <f t="shared" si="123"/>
        <v>45000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  <c r="IW194" s="26"/>
      <c r="IX194" s="26"/>
      <c r="IY194" s="26"/>
      <c r="IZ194" s="26"/>
      <c r="JA194" s="26"/>
      <c r="JB194" s="26"/>
      <c r="JC194" s="26"/>
      <c r="JD194" s="26"/>
      <c r="JE194" s="26"/>
      <c r="JF194" s="26"/>
      <c r="JG194" s="26"/>
      <c r="JH194" s="26"/>
      <c r="JI194" s="26"/>
      <c r="JJ194" s="26"/>
      <c r="JK194" s="26"/>
      <c r="JL194" s="26"/>
      <c r="JM194" s="26"/>
      <c r="JN194" s="26"/>
      <c r="JO194" s="26"/>
      <c r="JP194" s="26"/>
      <c r="JQ194" s="26"/>
      <c r="JR194" s="26"/>
      <c r="JS194" s="26"/>
      <c r="JT194" s="26"/>
      <c r="JU194" s="26"/>
      <c r="JV194" s="26"/>
      <c r="JW194" s="26"/>
      <c r="JX194" s="26"/>
      <c r="JY194" s="26"/>
      <c r="JZ194" s="26"/>
      <c r="KA194" s="26"/>
      <c r="KB194" s="26"/>
      <c r="KC194" s="26"/>
      <c r="KD194" s="26"/>
      <c r="KE194" s="26"/>
      <c r="KF194" s="26"/>
      <c r="KG194" s="26"/>
      <c r="KH194" s="26"/>
      <c r="KI194" s="26"/>
      <c r="KJ194" s="26"/>
      <c r="KK194" s="26"/>
      <c r="KL194" s="26"/>
      <c r="KM194" s="26"/>
      <c r="KN194" s="26"/>
      <c r="KO194" s="26"/>
      <c r="KP194" s="26"/>
      <c r="KQ194" s="26"/>
      <c r="KR194" s="26"/>
      <c r="KS194" s="26"/>
      <c r="KT194" s="26"/>
      <c r="KU194" s="26"/>
      <c r="KV194" s="26"/>
      <c r="KW194" s="26"/>
      <c r="KX194" s="26"/>
      <c r="KY194" s="26"/>
      <c r="KZ194" s="26"/>
      <c r="LA194" s="26"/>
      <c r="LB194" s="26"/>
      <c r="LC194" s="26"/>
      <c r="LD194" s="26"/>
      <c r="LE194" s="26"/>
      <c r="LF194" s="26"/>
      <c r="LG194" s="26"/>
      <c r="LH194" s="26"/>
      <c r="LI194" s="26"/>
      <c r="LJ194" s="26"/>
      <c r="LK194" s="26"/>
      <c r="LL194" s="26"/>
      <c r="LM194" s="26"/>
      <c r="LN194" s="26"/>
      <c r="LO194" s="26"/>
      <c r="LP194" s="26"/>
      <c r="LQ194" s="26"/>
      <c r="LR194" s="26"/>
      <c r="LS194" s="26"/>
      <c r="LT194" s="26"/>
      <c r="LU194" s="26"/>
      <c r="LV194" s="26"/>
      <c r="LW194" s="26"/>
      <c r="LX194" s="26"/>
      <c r="LY194" s="26"/>
      <c r="LZ194" s="26"/>
      <c r="MA194" s="26"/>
      <c r="MB194" s="26"/>
      <c r="MC194" s="26"/>
      <c r="MD194" s="26"/>
      <c r="ME194" s="26"/>
      <c r="MF194" s="26"/>
      <c r="MG194" s="26"/>
      <c r="MH194" s="26"/>
      <c r="MI194" s="26"/>
      <c r="MJ194" s="26"/>
      <c r="MK194" s="26"/>
      <c r="ML194" s="26"/>
      <c r="MM194" s="26"/>
      <c r="MN194" s="26"/>
      <c r="MO194" s="26"/>
      <c r="MP194" s="26"/>
      <c r="MQ194" s="26"/>
      <c r="MR194" s="26"/>
      <c r="MS194" s="26"/>
      <c r="MT194" s="26"/>
      <c r="MU194" s="26"/>
      <c r="MV194" s="26"/>
      <c r="MW194" s="26"/>
      <c r="MX194" s="26"/>
      <c r="MY194" s="26"/>
      <c r="MZ194" s="26"/>
      <c r="NA194" s="26"/>
      <c r="NB194" s="26"/>
      <c r="NC194" s="26"/>
      <c r="ND194" s="26"/>
      <c r="NE194" s="26"/>
      <c r="NF194" s="26"/>
      <c r="NG194" s="26"/>
      <c r="NH194" s="26"/>
      <c r="NI194" s="26"/>
      <c r="NJ194" s="26"/>
      <c r="NK194" s="26"/>
      <c r="NL194" s="26"/>
      <c r="NM194" s="26"/>
      <c r="NN194" s="26"/>
      <c r="NO194" s="26"/>
      <c r="NP194" s="26"/>
      <c r="NQ194" s="26"/>
      <c r="NR194" s="26"/>
      <c r="NS194" s="26"/>
      <c r="NT194" s="26"/>
      <c r="NU194" s="26"/>
      <c r="NV194" s="26"/>
      <c r="NW194" s="26"/>
      <c r="NX194" s="26"/>
      <c r="NY194" s="26"/>
      <c r="NZ194" s="26"/>
      <c r="OA194" s="26"/>
      <c r="OB194" s="26"/>
      <c r="OC194" s="26"/>
      <c r="OD194" s="26"/>
      <c r="OE194" s="26"/>
      <c r="OF194" s="26"/>
      <c r="OG194" s="26"/>
      <c r="OH194" s="26"/>
      <c r="OI194" s="26"/>
      <c r="OJ194" s="26"/>
      <c r="OK194" s="26"/>
      <c r="OL194" s="26"/>
      <c r="OM194" s="26"/>
      <c r="ON194" s="26"/>
      <c r="OO194" s="26"/>
      <c r="OP194" s="26"/>
      <c r="OQ194" s="26"/>
      <c r="OR194" s="26"/>
      <c r="OS194" s="26"/>
      <c r="OT194" s="26"/>
      <c r="OU194" s="26"/>
      <c r="OV194" s="26"/>
      <c r="OW194" s="26"/>
      <c r="OX194" s="26"/>
      <c r="OY194" s="26"/>
      <c r="OZ194" s="26"/>
      <c r="PA194" s="26"/>
      <c r="PB194" s="26"/>
      <c r="PC194" s="26"/>
      <c r="PD194" s="26"/>
      <c r="PE194" s="26"/>
      <c r="PF194" s="26"/>
      <c r="PG194" s="26"/>
      <c r="PH194" s="26"/>
      <c r="PI194" s="26"/>
      <c r="PJ194" s="26"/>
      <c r="PK194" s="26"/>
      <c r="PL194" s="26"/>
      <c r="PM194" s="26"/>
      <c r="PN194" s="26"/>
      <c r="PO194" s="26"/>
      <c r="PP194" s="26"/>
      <c r="PQ194" s="26"/>
      <c r="PR194" s="26"/>
      <c r="PS194" s="26"/>
      <c r="PT194" s="26"/>
      <c r="PU194" s="26"/>
      <c r="PV194" s="26"/>
      <c r="PW194" s="26"/>
      <c r="PX194" s="26"/>
      <c r="PY194" s="26"/>
      <c r="PZ194" s="26"/>
      <c r="QA194" s="26"/>
      <c r="QB194" s="26"/>
      <c r="QC194" s="26"/>
      <c r="QD194" s="26"/>
      <c r="QE194" s="26"/>
      <c r="QF194" s="26"/>
      <c r="QG194" s="26"/>
      <c r="QH194" s="26"/>
      <c r="QI194" s="26"/>
      <c r="QJ194" s="26"/>
      <c r="QK194" s="26"/>
      <c r="QL194" s="26"/>
      <c r="QM194" s="26"/>
      <c r="QN194" s="26"/>
      <c r="QO194" s="26"/>
      <c r="QP194" s="26"/>
      <c r="QQ194" s="26"/>
      <c r="QR194" s="26"/>
      <c r="QS194" s="26"/>
      <c r="QT194" s="26"/>
      <c r="QU194" s="26"/>
      <c r="QV194" s="26"/>
      <c r="QW194" s="26"/>
      <c r="QX194" s="26"/>
      <c r="QY194" s="26"/>
      <c r="QZ194" s="26"/>
      <c r="RA194" s="26"/>
      <c r="RB194" s="26"/>
      <c r="RC194" s="26"/>
      <c r="RD194" s="26"/>
      <c r="RE194" s="26"/>
      <c r="RF194" s="26"/>
      <c r="RG194" s="26"/>
      <c r="RH194" s="26"/>
      <c r="RI194" s="26"/>
      <c r="RJ194" s="26"/>
      <c r="RK194" s="26"/>
      <c r="RL194" s="26"/>
      <c r="RM194" s="26"/>
      <c r="RN194" s="26"/>
      <c r="RO194" s="26"/>
      <c r="RP194" s="26"/>
      <c r="RQ194" s="26"/>
      <c r="RR194" s="26"/>
      <c r="RS194" s="26"/>
      <c r="RT194" s="26"/>
      <c r="RU194" s="26"/>
      <c r="RV194" s="26"/>
      <c r="RW194" s="26"/>
      <c r="RX194" s="26"/>
      <c r="RY194" s="26"/>
      <c r="RZ194" s="26"/>
      <c r="SA194" s="26"/>
      <c r="SB194" s="26"/>
      <c r="SC194" s="26"/>
      <c r="SD194" s="26"/>
      <c r="SE194" s="26"/>
      <c r="SF194" s="26"/>
      <c r="SG194" s="26"/>
      <c r="SH194" s="26"/>
      <c r="SI194" s="26"/>
      <c r="SJ194" s="26"/>
      <c r="SK194" s="26"/>
      <c r="SL194" s="26"/>
      <c r="SM194" s="26"/>
      <c r="SN194" s="26"/>
      <c r="SO194" s="26"/>
      <c r="SP194" s="26"/>
      <c r="SQ194" s="26"/>
      <c r="SR194" s="26"/>
      <c r="SS194" s="26"/>
      <c r="ST194" s="26"/>
      <c r="SU194" s="26"/>
      <c r="SV194" s="26"/>
      <c r="SW194" s="26"/>
      <c r="SX194" s="26"/>
      <c r="SY194" s="26"/>
      <c r="SZ194" s="26"/>
      <c r="TA194" s="26"/>
      <c r="TB194" s="26"/>
      <c r="TC194" s="26"/>
      <c r="TD194" s="26"/>
      <c r="TE194" s="26"/>
      <c r="TF194" s="26"/>
      <c r="TG194" s="26"/>
      <c r="TH194" s="26"/>
      <c r="TI194" s="26"/>
    </row>
    <row r="195" spans="1:529" s="23" customFormat="1" ht="23.25" customHeight="1" x14ac:dyDescent="0.25">
      <c r="A195" s="52" t="s">
        <v>306</v>
      </c>
      <c r="B195" s="45" t="str">
        <f>'дод 4'!A131</f>
        <v>7693</v>
      </c>
      <c r="C195" s="45" t="str">
        <f>'дод 4'!B131</f>
        <v>0490</v>
      </c>
      <c r="D195" s="22" t="str">
        <f>'дод 4'!C131</f>
        <v>Інші заходи, пов'язані з економічною діяльністю</v>
      </c>
      <c r="E195" s="69">
        <f t="shared" si="122"/>
        <v>690000</v>
      </c>
      <c r="F195" s="69">
        <f>490000+200000</f>
        <v>690000</v>
      </c>
      <c r="G195" s="69"/>
      <c r="H195" s="69"/>
      <c r="I195" s="69"/>
      <c r="J195" s="69">
        <f t="shared" si="124"/>
        <v>0</v>
      </c>
      <c r="K195" s="69"/>
      <c r="L195" s="69"/>
      <c r="M195" s="69"/>
      <c r="N195" s="69"/>
      <c r="O195" s="69"/>
      <c r="P195" s="69">
        <f t="shared" si="123"/>
        <v>690000</v>
      </c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  <c r="IW195" s="26"/>
      <c r="IX195" s="26"/>
      <c r="IY195" s="26"/>
      <c r="IZ195" s="26"/>
      <c r="JA195" s="26"/>
      <c r="JB195" s="26"/>
      <c r="JC195" s="26"/>
      <c r="JD195" s="26"/>
      <c r="JE195" s="26"/>
      <c r="JF195" s="26"/>
      <c r="JG195" s="26"/>
      <c r="JH195" s="26"/>
      <c r="JI195" s="26"/>
      <c r="JJ195" s="26"/>
      <c r="JK195" s="26"/>
      <c r="JL195" s="26"/>
      <c r="JM195" s="26"/>
      <c r="JN195" s="26"/>
      <c r="JO195" s="26"/>
      <c r="JP195" s="26"/>
      <c r="JQ195" s="26"/>
      <c r="JR195" s="26"/>
      <c r="JS195" s="26"/>
      <c r="JT195" s="26"/>
      <c r="JU195" s="26"/>
      <c r="JV195" s="26"/>
      <c r="JW195" s="26"/>
      <c r="JX195" s="26"/>
      <c r="JY195" s="26"/>
      <c r="JZ195" s="26"/>
      <c r="KA195" s="26"/>
      <c r="KB195" s="26"/>
      <c r="KC195" s="26"/>
      <c r="KD195" s="26"/>
      <c r="KE195" s="26"/>
      <c r="KF195" s="26"/>
      <c r="KG195" s="26"/>
      <c r="KH195" s="26"/>
      <c r="KI195" s="26"/>
      <c r="KJ195" s="26"/>
      <c r="KK195" s="26"/>
      <c r="KL195" s="26"/>
      <c r="KM195" s="26"/>
      <c r="KN195" s="26"/>
      <c r="KO195" s="26"/>
      <c r="KP195" s="26"/>
      <c r="KQ195" s="26"/>
      <c r="KR195" s="26"/>
      <c r="KS195" s="26"/>
      <c r="KT195" s="26"/>
      <c r="KU195" s="26"/>
      <c r="KV195" s="26"/>
      <c r="KW195" s="26"/>
      <c r="KX195" s="26"/>
      <c r="KY195" s="26"/>
      <c r="KZ195" s="26"/>
      <c r="LA195" s="26"/>
      <c r="LB195" s="26"/>
      <c r="LC195" s="26"/>
      <c r="LD195" s="26"/>
      <c r="LE195" s="26"/>
      <c r="LF195" s="26"/>
      <c r="LG195" s="26"/>
      <c r="LH195" s="26"/>
      <c r="LI195" s="26"/>
      <c r="LJ195" s="26"/>
      <c r="LK195" s="26"/>
      <c r="LL195" s="26"/>
      <c r="LM195" s="26"/>
      <c r="LN195" s="26"/>
      <c r="LO195" s="26"/>
      <c r="LP195" s="26"/>
      <c r="LQ195" s="26"/>
      <c r="LR195" s="26"/>
      <c r="LS195" s="26"/>
      <c r="LT195" s="26"/>
      <c r="LU195" s="26"/>
      <c r="LV195" s="26"/>
      <c r="LW195" s="26"/>
      <c r="LX195" s="26"/>
      <c r="LY195" s="26"/>
      <c r="LZ195" s="26"/>
      <c r="MA195" s="26"/>
      <c r="MB195" s="26"/>
      <c r="MC195" s="26"/>
      <c r="MD195" s="26"/>
      <c r="ME195" s="26"/>
      <c r="MF195" s="26"/>
      <c r="MG195" s="26"/>
      <c r="MH195" s="26"/>
      <c r="MI195" s="26"/>
      <c r="MJ195" s="26"/>
      <c r="MK195" s="26"/>
      <c r="ML195" s="26"/>
      <c r="MM195" s="26"/>
      <c r="MN195" s="26"/>
      <c r="MO195" s="26"/>
      <c r="MP195" s="26"/>
      <c r="MQ195" s="26"/>
      <c r="MR195" s="26"/>
      <c r="MS195" s="26"/>
      <c r="MT195" s="26"/>
      <c r="MU195" s="26"/>
      <c r="MV195" s="26"/>
      <c r="MW195" s="26"/>
      <c r="MX195" s="26"/>
      <c r="MY195" s="26"/>
      <c r="MZ195" s="26"/>
      <c r="NA195" s="26"/>
      <c r="NB195" s="26"/>
      <c r="NC195" s="26"/>
      <c r="ND195" s="26"/>
      <c r="NE195" s="26"/>
      <c r="NF195" s="26"/>
      <c r="NG195" s="26"/>
      <c r="NH195" s="26"/>
      <c r="NI195" s="26"/>
      <c r="NJ195" s="26"/>
      <c r="NK195" s="26"/>
      <c r="NL195" s="26"/>
      <c r="NM195" s="26"/>
      <c r="NN195" s="26"/>
      <c r="NO195" s="26"/>
      <c r="NP195" s="26"/>
      <c r="NQ195" s="26"/>
      <c r="NR195" s="26"/>
      <c r="NS195" s="26"/>
      <c r="NT195" s="26"/>
      <c r="NU195" s="26"/>
      <c r="NV195" s="26"/>
      <c r="NW195" s="26"/>
      <c r="NX195" s="26"/>
      <c r="NY195" s="26"/>
      <c r="NZ195" s="26"/>
      <c r="OA195" s="26"/>
      <c r="OB195" s="26"/>
      <c r="OC195" s="26"/>
      <c r="OD195" s="26"/>
      <c r="OE195" s="26"/>
      <c r="OF195" s="26"/>
      <c r="OG195" s="26"/>
      <c r="OH195" s="26"/>
      <c r="OI195" s="26"/>
      <c r="OJ195" s="26"/>
      <c r="OK195" s="26"/>
      <c r="OL195" s="26"/>
      <c r="OM195" s="26"/>
      <c r="ON195" s="26"/>
      <c r="OO195" s="26"/>
      <c r="OP195" s="26"/>
      <c r="OQ195" s="26"/>
      <c r="OR195" s="26"/>
      <c r="OS195" s="26"/>
      <c r="OT195" s="26"/>
      <c r="OU195" s="26"/>
      <c r="OV195" s="26"/>
      <c r="OW195" s="26"/>
      <c r="OX195" s="26"/>
      <c r="OY195" s="26"/>
      <c r="OZ195" s="26"/>
      <c r="PA195" s="26"/>
      <c r="PB195" s="26"/>
      <c r="PC195" s="26"/>
      <c r="PD195" s="26"/>
      <c r="PE195" s="26"/>
      <c r="PF195" s="26"/>
      <c r="PG195" s="26"/>
      <c r="PH195" s="26"/>
      <c r="PI195" s="26"/>
      <c r="PJ195" s="26"/>
      <c r="PK195" s="26"/>
      <c r="PL195" s="26"/>
      <c r="PM195" s="26"/>
      <c r="PN195" s="26"/>
      <c r="PO195" s="26"/>
      <c r="PP195" s="26"/>
      <c r="PQ195" s="26"/>
      <c r="PR195" s="26"/>
      <c r="PS195" s="26"/>
      <c r="PT195" s="26"/>
      <c r="PU195" s="26"/>
      <c r="PV195" s="26"/>
      <c r="PW195" s="26"/>
      <c r="PX195" s="26"/>
      <c r="PY195" s="26"/>
      <c r="PZ195" s="26"/>
      <c r="QA195" s="26"/>
      <c r="QB195" s="26"/>
      <c r="QC195" s="26"/>
      <c r="QD195" s="26"/>
      <c r="QE195" s="26"/>
      <c r="QF195" s="26"/>
      <c r="QG195" s="26"/>
      <c r="QH195" s="26"/>
      <c r="QI195" s="26"/>
      <c r="QJ195" s="26"/>
      <c r="QK195" s="26"/>
      <c r="QL195" s="26"/>
      <c r="QM195" s="26"/>
      <c r="QN195" s="26"/>
      <c r="QO195" s="26"/>
      <c r="QP195" s="26"/>
      <c r="QQ195" s="26"/>
      <c r="QR195" s="26"/>
      <c r="QS195" s="26"/>
      <c r="QT195" s="26"/>
      <c r="QU195" s="26"/>
      <c r="QV195" s="26"/>
      <c r="QW195" s="26"/>
      <c r="QX195" s="26"/>
      <c r="QY195" s="26"/>
      <c r="QZ195" s="26"/>
      <c r="RA195" s="26"/>
      <c r="RB195" s="26"/>
      <c r="RC195" s="26"/>
      <c r="RD195" s="26"/>
      <c r="RE195" s="26"/>
      <c r="RF195" s="26"/>
      <c r="RG195" s="26"/>
      <c r="RH195" s="26"/>
      <c r="RI195" s="26"/>
      <c r="RJ195" s="26"/>
      <c r="RK195" s="26"/>
      <c r="RL195" s="26"/>
      <c r="RM195" s="26"/>
      <c r="RN195" s="26"/>
      <c r="RO195" s="26"/>
      <c r="RP195" s="26"/>
      <c r="RQ195" s="26"/>
      <c r="RR195" s="26"/>
      <c r="RS195" s="26"/>
      <c r="RT195" s="26"/>
      <c r="RU195" s="26"/>
      <c r="RV195" s="26"/>
      <c r="RW195" s="26"/>
      <c r="RX195" s="26"/>
      <c r="RY195" s="26"/>
      <c r="RZ195" s="26"/>
      <c r="SA195" s="26"/>
      <c r="SB195" s="26"/>
      <c r="SC195" s="26"/>
      <c r="SD195" s="26"/>
      <c r="SE195" s="26"/>
      <c r="SF195" s="26"/>
      <c r="SG195" s="26"/>
      <c r="SH195" s="26"/>
      <c r="SI195" s="26"/>
      <c r="SJ195" s="26"/>
      <c r="SK195" s="26"/>
      <c r="SL195" s="26"/>
      <c r="SM195" s="26"/>
      <c r="SN195" s="26"/>
      <c r="SO195" s="26"/>
      <c r="SP195" s="26"/>
      <c r="SQ195" s="26"/>
      <c r="SR195" s="26"/>
      <c r="SS195" s="26"/>
      <c r="ST195" s="26"/>
      <c r="SU195" s="26"/>
      <c r="SV195" s="26"/>
      <c r="SW195" s="26"/>
      <c r="SX195" s="26"/>
      <c r="SY195" s="26"/>
      <c r="SZ195" s="26"/>
      <c r="TA195" s="26"/>
      <c r="TB195" s="26"/>
      <c r="TC195" s="26"/>
      <c r="TD195" s="26"/>
      <c r="TE195" s="26"/>
      <c r="TF195" s="26"/>
      <c r="TG195" s="26"/>
      <c r="TH195" s="26"/>
      <c r="TI195" s="26"/>
    </row>
    <row r="196" spans="1:529" s="31" customFormat="1" ht="36" customHeight="1" x14ac:dyDescent="0.2">
      <c r="A196" s="76" t="s">
        <v>255</v>
      </c>
      <c r="B196" s="74"/>
      <c r="C196" s="74"/>
      <c r="D196" s="30" t="s">
        <v>54</v>
      </c>
      <c r="E196" s="66">
        <f>E197</f>
        <v>132881737</v>
      </c>
      <c r="F196" s="66">
        <f t="shared" ref="F196:J196" si="125">F197</f>
        <v>127274665</v>
      </c>
      <c r="G196" s="66">
        <f t="shared" si="125"/>
        <v>13886000</v>
      </c>
      <c r="H196" s="66">
        <f t="shared" si="125"/>
        <v>244400</v>
      </c>
      <c r="I196" s="66">
        <f t="shared" si="125"/>
        <v>0</v>
      </c>
      <c r="J196" s="66">
        <f t="shared" si="125"/>
        <v>93500</v>
      </c>
      <c r="K196" s="66">
        <f t="shared" ref="K196" si="126">K197</f>
        <v>0</v>
      </c>
      <c r="L196" s="66">
        <f t="shared" ref="L196" si="127">L197</f>
        <v>93500</v>
      </c>
      <c r="M196" s="66">
        <f t="shared" ref="M196" si="128">M197</f>
        <v>0</v>
      </c>
      <c r="N196" s="66">
        <f t="shared" ref="N196" si="129">N197</f>
        <v>0</v>
      </c>
      <c r="O196" s="66">
        <f t="shared" ref="O196:P196" si="130">O197</f>
        <v>0</v>
      </c>
      <c r="P196" s="66">
        <f t="shared" si="130"/>
        <v>132975237</v>
      </c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  <c r="IV196" s="38"/>
      <c r="IW196" s="38"/>
      <c r="IX196" s="38"/>
      <c r="IY196" s="38"/>
      <c r="IZ196" s="38"/>
      <c r="JA196" s="38"/>
      <c r="JB196" s="38"/>
      <c r="JC196" s="38"/>
      <c r="JD196" s="38"/>
      <c r="JE196" s="38"/>
      <c r="JF196" s="38"/>
      <c r="JG196" s="38"/>
      <c r="JH196" s="38"/>
      <c r="JI196" s="38"/>
      <c r="JJ196" s="38"/>
      <c r="JK196" s="38"/>
      <c r="JL196" s="38"/>
      <c r="JM196" s="38"/>
      <c r="JN196" s="38"/>
      <c r="JO196" s="38"/>
      <c r="JP196" s="38"/>
      <c r="JQ196" s="38"/>
      <c r="JR196" s="38"/>
      <c r="JS196" s="38"/>
      <c r="JT196" s="38"/>
      <c r="JU196" s="38"/>
      <c r="JV196" s="38"/>
      <c r="JW196" s="38"/>
      <c r="JX196" s="38"/>
      <c r="JY196" s="38"/>
      <c r="JZ196" s="38"/>
      <c r="KA196" s="38"/>
      <c r="KB196" s="38"/>
      <c r="KC196" s="38"/>
      <c r="KD196" s="38"/>
      <c r="KE196" s="38"/>
      <c r="KF196" s="38"/>
      <c r="KG196" s="38"/>
      <c r="KH196" s="38"/>
      <c r="KI196" s="38"/>
      <c r="KJ196" s="38"/>
      <c r="KK196" s="38"/>
      <c r="KL196" s="38"/>
      <c r="KM196" s="38"/>
      <c r="KN196" s="38"/>
      <c r="KO196" s="38"/>
      <c r="KP196" s="38"/>
      <c r="KQ196" s="38"/>
      <c r="KR196" s="38"/>
      <c r="KS196" s="38"/>
      <c r="KT196" s="38"/>
      <c r="KU196" s="38"/>
      <c r="KV196" s="38"/>
      <c r="KW196" s="38"/>
      <c r="KX196" s="38"/>
      <c r="KY196" s="38"/>
      <c r="KZ196" s="38"/>
      <c r="LA196" s="38"/>
      <c r="LB196" s="38"/>
      <c r="LC196" s="38"/>
      <c r="LD196" s="38"/>
      <c r="LE196" s="38"/>
      <c r="LF196" s="38"/>
      <c r="LG196" s="38"/>
      <c r="LH196" s="38"/>
      <c r="LI196" s="38"/>
      <c r="LJ196" s="38"/>
      <c r="LK196" s="38"/>
      <c r="LL196" s="38"/>
      <c r="LM196" s="38"/>
      <c r="LN196" s="38"/>
      <c r="LO196" s="38"/>
      <c r="LP196" s="38"/>
      <c r="LQ196" s="38"/>
      <c r="LR196" s="38"/>
      <c r="LS196" s="38"/>
      <c r="LT196" s="38"/>
      <c r="LU196" s="38"/>
      <c r="LV196" s="38"/>
      <c r="LW196" s="38"/>
      <c r="LX196" s="38"/>
      <c r="LY196" s="38"/>
      <c r="LZ196" s="38"/>
      <c r="MA196" s="38"/>
      <c r="MB196" s="38"/>
      <c r="MC196" s="38"/>
      <c r="MD196" s="38"/>
      <c r="ME196" s="38"/>
      <c r="MF196" s="38"/>
      <c r="MG196" s="38"/>
      <c r="MH196" s="38"/>
      <c r="MI196" s="38"/>
      <c r="MJ196" s="38"/>
      <c r="MK196" s="38"/>
      <c r="ML196" s="38"/>
      <c r="MM196" s="38"/>
      <c r="MN196" s="38"/>
      <c r="MO196" s="38"/>
      <c r="MP196" s="38"/>
      <c r="MQ196" s="38"/>
      <c r="MR196" s="38"/>
      <c r="MS196" s="38"/>
      <c r="MT196" s="38"/>
      <c r="MU196" s="38"/>
      <c r="MV196" s="38"/>
      <c r="MW196" s="38"/>
      <c r="MX196" s="38"/>
      <c r="MY196" s="38"/>
      <c r="MZ196" s="38"/>
      <c r="NA196" s="38"/>
      <c r="NB196" s="38"/>
      <c r="NC196" s="38"/>
      <c r="ND196" s="38"/>
      <c r="NE196" s="38"/>
      <c r="NF196" s="38"/>
      <c r="NG196" s="38"/>
      <c r="NH196" s="38"/>
      <c r="NI196" s="38"/>
      <c r="NJ196" s="38"/>
      <c r="NK196" s="38"/>
      <c r="NL196" s="38"/>
      <c r="NM196" s="38"/>
      <c r="NN196" s="38"/>
      <c r="NO196" s="38"/>
      <c r="NP196" s="38"/>
      <c r="NQ196" s="38"/>
      <c r="NR196" s="38"/>
      <c r="NS196" s="38"/>
      <c r="NT196" s="38"/>
      <c r="NU196" s="38"/>
      <c r="NV196" s="38"/>
      <c r="NW196" s="38"/>
      <c r="NX196" s="38"/>
      <c r="NY196" s="38"/>
      <c r="NZ196" s="38"/>
      <c r="OA196" s="38"/>
      <c r="OB196" s="38"/>
      <c r="OC196" s="38"/>
      <c r="OD196" s="38"/>
      <c r="OE196" s="38"/>
      <c r="OF196" s="38"/>
      <c r="OG196" s="38"/>
      <c r="OH196" s="38"/>
      <c r="OI196" s="38"/>
      <c r="OJ196" s="38"/>
      <c r="OK196" s="38"/>
      <c r="OL196" s="38"/>
      <c r="OM196" s="38"/>
      <c r="ON196" s="38"/>
      <c r="OO196" s="38"/>
      <c r="OP196" s="38"/>
      <c r="OQ196" s="38"/>
      <c r="OR196" s="38"/>
      <c r="OS196" s="38"/>
      <c r="OT196" s="38"/>
      <c r="OU196" s="38"/>
      <c r="OV196" s="38"/>
      <c r="OW196" s="38"/>
      <c r="OX196" s="38"/>
      <c r="OY196" s="38"/>
      <c r="OZ196" s="38"/>
      <c r="PA196" s="38"/>
      <c r="PB196" s="38"/>
      <c r="PC196" s="38"/>
      <c r="PD196" s="38"/>
      <c r="PE196" s="38"/>
      <c r="PF196" s="38"/>
      <c r="PG196" s="38"/>
      <c r="PH196" s="38"/>
      <c r="PI196" s="38"/>
      <c r="PJ196" s="38"/>
      <c r="PK196" s="38"/>
      <c r="PL196" s="38"/>
      <c r="PM196" s="38"/>
      <c r="PN196" s="38"/>
      <c r="PO196" s="38"/>
      <c r="PP196" s="38"/>
      <c r="PQ196" s="38"/>
      <c r="PR196" s="38"/>
      <c r="PS196" s="38"/>
      <c r="PT196" s="38"/>
      <c r="PU196" s="38"/>
      <c r="PV196" s="38"/>
      <c r="PW196" s="38"/>
      <c r="PX196" s="38"/>
      <c r="PY196" s="38"/>
      <c r="PZ196" s="38"/>
      <c r="QA196" s="38"/>
      <c r="QB196" s="38"/>
      <c r="QC196" s="38"/>
      <c r="QD196" s="38"/>
      <c r="QE196" s="38"/>
      <c r="QF196" s="38"/>
      <c r="QG196" s="38"/>
      <c r="QH196" s="38"/>
      <c r="QI196" s="38"/>
      <c r="QJ196" s="38"/>
      <c r="QK196" s="38"/>
      <c r="QL196" s="38"/>
      <c r="QM196" s="38"/>
      <c r="QN196" s="38"/>
      <c r="QO196" s="38"/>
      <c r="QP196" s="38"/>
      <c r="QQ196" s="38"/>
      <c r="QR196" s="38"/>
      <c r="QS196" s="38"/>
      <c r="QT196" s="38"/>
      <c r="QU196" s="38"/>
      <c r="QV196" s="38"/>
      <c r="QW196" s="38"/>
      <c r="QX196" s="38"/>
      <c r="QY196" s="38"/>
      <c r="QZ196" s="38"/>
      <c r="RA196" s="38"/>
      <c r="RB196" s="38"/>
      <c r="RC196" s="38"/>
      <c r="RD196" s="38"/>
      <c r="RE196" s="38"/>
      <c r="RF196" s="38"/>
      <c r="RG196" s="38"/>
      <c r="RH196" s="38"/>
      <c r="RI196" s="38"/>
      <c r="RJ196" s="38"/>
      <c r="RK196" s="38"/>
      <c r="RL196" s="38"/>
      <c r="RM196" s="38"/>
      <c r="RN196" s="38"/>
      <c r="RO196" s="38"/>
      <c r="RP196" s="38"/>
      <c r="RQ196" s="38"/>
      <c r="RR196" s="38"/>
      <c r="RS196" s="38"/>
      <c r="RT196" s="38"/>
      <c r="RU196" s="38"/>
      <c r="RV196" s="38"/>
      <c r="RW196" s="38"/>
      <c r="RX196" s="38"/>
      <c r="RY196" s="38"/>
      <c r="RZ196" s="38"/>
      <c r="SA196" s="38"/>
      <c r="SB196" s="38"/>
      <c r="SC196" s="38"/>
      <c r="SD196" s="38"/>
      <c r="SE196" s="38"/>
      <c r="SF196" s="38"/>
      <c r="SG196" s="38"/>
      <c r="SH196" s="38"/>
      <c r="SI196" s="38"/>
      <c r="SJ196" s="38"/>
      <c r="SK196" s="38"/>
      <c r="SL196" s="38"/>
      <c r="SM196" s="38"/>
      <c r="SN196" s="38"/>
      <c r="SO196" s="38"/>
      <c r="SP196" s="38"/>
      <c r="SQ196" s="38"/>
      <c r="SR196" s="38"/>
      <c r="SS196" s="38"/>
      <c r="ST196" s="38"/>
      <c r="SU196" s="38"/>
      <c r="SV196" s="38"/>
      <c r="SW196" s="38"/>
      <c r="SX196" s="38"/>
      <c r="SY196" s="38"/>
      <c r="SZ196" s="38"/>
      <c r="TA196" s="38"/>
      <c r="TB196" s="38"/>
      <c r="TC196" s="38"/>
      <c r="TD196" s="38"/>
      <c r="TE196" s="38"/>
      <c r="TF196" s="38"/>
      <c r="TG196" s="38"/>
      <c r="TH196" s="38"/>
      <c r="TI196" s="38"/>
    </row>
    <row r="197" spans="1:529" s="40" customFormat="1" ht="36" customHeight="1" x14ac:dyDescent="0.25">
      <c r="A197" s="77" t="s">
        <v>256</v>
      </c>
      <c r="B197" s="75"/>
      <c r="C197" s="75"/>
      <c r="D197" s="33" t="s">
        <v>54</v>
      </c>
      <c r="E197" s="68">
        <f>SUM(E198+E199+E200+E202+E203+E204+E205+E201)</f>
        <v>132881737</v>
      </c>
      <c r="F197" s="68">
        <f t="shared" ref="F197:P197" si="131">SUM(F198+F199+F200+F202+F203+F204+F205+F201)</f>
        <v>127274665</v>
      </c>
      <c r="G197" s="68">
        <f t="shared" si="131"/>
        <v>13886000</v>
      </c>
      <c r="H197" s="68">
        <f t="shared" si="131"/>
        <v>244400</v>
      </c>
      <c r="I197" s="68">
        <f t="shared" si="131"/>
        <v>0</v>
      </c>
      <c r="J197" s="68">
        <f t="shared" si="131"/>
        <v>93500</v>
      </c>
      <c r="K197" s="68">
        <f t="shared" si="131"/>
        <v>0</v>
      </c>
      <c r="L197" s="68">
        <f t="shared" si="131"/>
        <v>93500</v>
      </c>
      <c r="M197" s="68">
        <f t="shared" si="131"/>
        <v>0</v>
      </c>
      <c r="N197" s="68">
        <f t="shared" si="131"/>
        <v>0</v>
      </c>
      <c r="O197" s="68">
        <f t="shared" si="131"/>
        <v>0</v>
      </c>
      <c r="P197" s="68">
        <f t="shared" si="131"/>
        <v>132975237</v>
      </c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  <c r="IV197" s="39"/>
      <c r="IW197" s="39"/>
      <c r="IX197" s="39"/>
      <c r="IY197" s="39"/>
      <c r="IZ197" s="39"/>
      <c r="JA197" s="39"/>
      <c r="JB197" s="39"/>
      <c r="JC197" s="39"/>
      <c r="JD197" s="39"/>
      <c r="JE197" s="39"/>
      <c r="JF197" s="39"/>
      <c r="JG197" s="39"/>
      <c r="JH197" s="39"/>
      <c r="JI197" s="39"/>
      <c r="JJ197" s="39"/>
      <c r="JK197" s="39"/>
      <c r="JL197" s="39"/>
      <c r="JM197" s="39"/>
      <c r="JN197" s="39"/>
      <c r="JO197" s="39"/>
      <c r="JP197" s="39"/>
      <c r="JQ197" s="39"/>
      <c r="JR197" s="39"/>
      <c r="JS197" s="39"/>
      <c r="JT197" s="39"/>
      <c r="JU197" s="39"/>
      <c r="JV197" s="39"/>
      <c r="JW197" s="39"/>
      <c r="JX197" s="39"/>
      <c r="JY197" s="39"/>
      <c r="JZ197" s="39"/>
      <c r="KA197" s="39"/>
      <c r="KB197" s="39"/>
      <c r="KC197" s="39"/>
      <c r="KD197" s="39"/>
      <c r="KE197" s="39"/>
      <c r="KF197" s="39"/>
      <c r="KG197" s="39"/>
      <c r="KH197" s="39"/>
      <c r="KI197" s="39"/>
      <c r="KJ197" s="39"/>
      <c r="KK197" s="39"/>
      <c r="KL197" s="39"/>
      <c r="KM197" s="39"/>
      <c r="KN197" s="39"/>
      <c r="KO197" s="39"/>
      <c r="KP197" s="39"/>
      <c r="KQ197" s="39"/>
      <c r="KR197" s="39"/>
      <c r="KS197" s="39"/>
      <c r="KT197" s="39"/>
      <c r="KU197" s="39"/>
      <c r="KV197" s="39"/>
      <c r="KW197" s="39"/>
      <c r="KX197" s="39"/>
      <c r="KY197" s="39"/>
      <c r="KZ197" s="39"/>
      <c r="LA197" s="39"/>
      <c r="LB197" s="39"/>
      <c r="LC197" s="39"/>
      <c r="LD197" s="39"/>
      <c r="LE197" s="39"/>
      <c r="LF197" s="39"/>
      <c r="LG197" s="39"/>
      <c r="LH197" s="39"/>
      <c r="LI197" s="39"/>
      <c r="LJ197" s="39"/>
      <c r="LK197" s="39"/>
      <c r="LL197" s="39"/>
      <c r="LM197" s="39"/>
      <c r="LN197" s="39"/>
      <c r="LO197" s="39"/>
      <c r="LP197" s="39"/>
      <c r="LQ197" s="39"/>
      <c r="LR197" s="39"/>
      <c r="LS197" s="39"/>
      <c r="LT197" s="39"/>
      <c r="LU197" s="39"/>
      <c r="LV197" s="39"/>
      <c r="LW197" s="39"/>
      <c r="LX197" s="39"/>
      <c r="LY197" s="39"/>
      <c r="LZ197" s="39"/>
      <c r="MA197" s="39"/>
      <c r="MB197" s="39"/>
      <c r="MC197" s="39"/>
      <c r="MD197" s="39"/>
      <c r="ME197" s="39"/>
      <c r="MF197" s="39"/>
      <c r="MG197" s="39"/>
      <c r="MH197" s="39"/>
      <c r="MI197" s="39"/>
      <c r="MJ197" s="39"/>
      <c r="MK197" s="39"/>
      <c r="ML197" s="39"/>
      <c r="MM197" s="39"/>
      <c r="MN197" s="39"/>
      <c r="MO197" s="39"/>
      <c r="MP197" s="39"/>
      <c r="MQ197" s="39"/>
      <c r="MR197" s="39"/>
      <c r="MS197" s="39"/>
      <c r="MT197" s="39"/>
      <c r="MU197" s="39"/>
      <c r="MV197" s="39"/>
      <c r="MW197" s="39"/>
      <c r="MX197" s="39"/>
      <c r="MY197" s="39"/>
      <c r="MZ197" s="39"/>
      <c r="NA197" s="39"/>
      <c r="NB197" s="39"/>
      <c r="NC197" s="39"/>
      <c r="ND197" s="39"/>
      <c r="NE197" s="39"/>
      <c r="NF197" s="39"/>
      <c r="NG197" s="39"/>
      <c r="NH197" s="39"/>
      <c r="NI197" s="39"/>
      <c r="NJ197" s="39"/>
      <c r="NK197" s="39"/>
      <c r="NL197" s="39"/>
      <c r="NM197" s="39"/>
      <c r="NN197" s="39"/>
      <c r="NO197" s="39"/>
      <c r="NP197" s="39"/>
      <c r="NQ197" s="39"/>
      <c r="NR197" s="39"/>
      <c r="NS197" s="39"/>
      <c r="NT197" s="39"/>
      <c r="NU197" s="39"/>
      <c r="NV197" s="39"/>
      <c r="NW197" s="39"/>
      <c r="NX197" s="39"/>
      <c r="NY197" s="39"/>
      <c r="NZ197" s="39"/>
      <c r="OA197" s="39"/>
      <c r="OB197" s="39"/>
      <c r="OC197" s="39"/>
      <c r="OD197" s="39"/>
      <c r="OE197" s="39"/>
      <c r="OF197" s="39"/>
      <c r="OG197" s="39"/>
      <c r="OH197" s="39"/>
      <c r="OI197" s="39"/>
      <c r="OJ197" s="39"/>
      <c r="OK197" s="39"/>
      <c r="OL197" s="39"/>
      <c r="OM197" s="39"/>
      <c r="ON197" s="39"/>
      <c r="OO197" s="39"/>
      <c r="OP197" s="39"/>
      <c r="OQ197" s="39"/>
      <c r="OR197" s="39"/>
      <c r="OS197" s="39"/>
      <c r="OT197" s="39"/>
      <c r="OU197" s="39"/>
      <c r="OV197" s="39"/>
      <c r="OW197" s="39"/>
      <c r="OX197" s="39"/>
      <c r="OY197" s="39"/>
      <c r="OZ197" s="39"/>
      <c r="PA197" s="39"/>
      <c r="PB197" s="39"/>
      <c r="PC197" s="39"/>
      <c r="PD197" s="39"/>
      <c r="PE197" s="39"/>
      <c r="PF197" s="39"/>
      <c r="PG197" s="39"/>
      <c r="PH197" s="39"/>
      <c r="PI197" s="39"/>
      <c r="PJ197" s="39"/>
      <c r="PK197" s="39"/>
      <c r="PL197" s="39"/>
      <c r="PM197" s="39"/>
      <c r="PN197" s="39"/>
      <c r="PO197" s="39"/>
      <c r="PP197" s="39"/>
      <c r="PQ197" s="39"/>
      <c r="PR197" s="39"/>
      <c r="PS197" s="39"/>
      <c r="PT197" s="39"/>
      <c r="PU197" s="39"/>
      <c r="PV197" s="39"/>
      <c r="PW197" s="39"/>
      <c r="PX197" s="39"/>
      <c r="PY197" s="39"/>
      <c r="PZ197" s="39"/>
      <c r="QA197" s="39"/>
      <c r="QB197" s="39"/>
      <c r="QC197" s="39"/>
      <c r="QD197" s="39"/>
      <c r="QE197" s="39"/>
      <c r="QF197" s="39"/>
      <c r="QG197" s="39"/>
      <c r="QH197" s="39"/>
      <c r="QI197" s="39"/>
      <c r="QJ197" s="39"/>
      <c r="QK197" s="39"/>
      <c r="QL197" s="39"/>
      <c r="QM197" s="39"/>
      <c r="QN197" s="39"/>
      <c r="QO197" s="39"/>
      <c r="QP197" s="39"/>
      <c r="QQ197" s="39"/>
      <c r="QR197" s="39"/>
      <c r="QS197" s="39"/>
      <c r="QT197" s="39"/>
      <c r="QU197" s="39"/>
      <c r="QV197" s="39"/>
      <c r="QW197" s="39"/>
      <c r="QX197" s="39"/>
      <c r="QY197" s="39"/>
      <c r="QZ197" s="39"/>
      <c r="RA197" s="39"/>
      <c r="RB197" s="39"/>
      <c r="RC197" s="39"/>
      <c r="RD197" s="39"/>
      <c r="RE197" s="39"/>
      <c r="RF197" s="39"/>
      <c r="RG197" s="39"/>
      <c r="RH197" s="39"/>
      <c r="RI197" s="39"/>
      <c r="RJ197" s="39"/>
      <c r="RK197" s="39"/>
      <c r="RL197" s="39"/>
      <c r="RM197" s="39"/>
      <c r="RN197" s="39"/>
      <c r="RO197" s="39"/>
      <c r="RP197" s="39"/>
      <c r="RQ197" s="39"/>
      <c r="RR197" s="39"/>
      <c r="RS197" s="39"/>
      <c r="RT197" s="39"/>
      <c r="RU197" s="39"/>
      <c r="RV197" s="39"/>
      <c r="RW197" s="39"/>
      <c r="RX197" s="39"/>
      <c r="RY197" s="39"/>
      <c r="RZ197" s="39"/>
      <c r="SA197" s="39"/>
      <c r="SB197" s="39"/>
      <c r="SC197" s="39"/>
      <c r="SD197" s="39"/>
      <c r="SE197" s="39"/>
      <c r="SF197" s="39"/>
      <c r="SG197" s="39"/>
      <c r="SH197" s="39"/>
      <c r="SI197" s="39"/>
      <c r="SJ197" s="39"/>
      <c r="SK197" s="39"/>
      <c r="SL197" s="39"/>
      <c r="SM197" s="39"/>
      <c r="SN197" s="39"/>
      <c r="SO197" s="39"/>
      <c r="SP197" s="39"/>
      <c r="SQ197" s="39"/>
      <c r="SR197" s="39"/>
      <c r="SS197" s="39"/>
      <c r="ST197" s="39"/>
      <c r="SU197" s="39"/>
      <c r="SV197" s="39"/>
      <c r="SW197" s="39"/>
      <c r="SX197" s="39"/>
      <c r="SY197" s="39"/>
      <c r="SZ197" s="39"/>
      <c r="TA197" s="39"/>
      <c r="TB197" s="39"/>
      <c r="TC197" s="39"/>
      <c r="TD197" s="39"/>
      <c r="TE197" s="39"/>
      <c r="TF197" s="39"/>
      <c r="TG197" s="39"/>
      <c r="TH197" s="39"/>
      <c r="TI197" s="39"/>
    </row>
    <row r="198" spans="1:529" s="23" customFormat="1" ht="42" customHeight="1" x14ac:dyDescent="0.25">
      <c r="A198" s="43" t="s">
        <v>257</v>
      </c>
      <c r="B198" s="44" t="str">
        <f>'дод 4'!A20</f>
        <v>0160</v>
      </c>
      <c r="C198" s="44" t="str">
        <f>'дод 4'!B20</f>
        <v>0111</v>
      </c>
      <c r="D198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98" s="69">
        <f t="shared" ref="E198:E203" si="132">F198+I198</f>
        <v>17812800</v>
      </c>
      <c r="F198" s="69">
        <f>18669000+46200-857400-45000</f>
        <v>17812800</v>
      </c>
      <c r="G198" s="69">
        <f>14625700-702800-36900</f>
        <v>13886000</v>
      </c>
      <c r="H198" s="69">
        <v>244400</v>
      </c>
      <c r="I198" s="69"/>
      <c r="J198" s="69">
        <f>L198+O198</f>
        <v>0</v>
      </c>
      <c r="K198" s="69"/>
      <c r="L198" s="69"/>
      <c r="M198" s="69"/>
      <c r="N198" s="69"/>
      <c r="O198" s="69"/>
      <c r="P198" s="69">
        <f t="shared" ref="P198:P205" si="133">E198+J198</f>
        <v>17812800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  <c r="IW198" s="26"/>
      <c r="IX198" s="26"/>
      <c r="IY198" s="26"/>
      <c r="IZ198" s="26"/>
      <c r="JA198" s="26"/>
      <c r="JB198" s="26"/>
      <c r="JC198" s="26"/>
      <c r="JD198" s="26"/>
      <c r="JE198" s="26"/>
      <c r="JF198" s="26"/>
      <c r="JG198" s="26"/>
      <c r="JH198" s="26"/>
      <c r="JI198" s="26"/>
      <c r="JJ198" s="26"/>
      <c r="JK198" s="26"/>
      <c r="JL198" s="26"/>
      <c r="JM198" s="26"/>
      <c r="JN198" s="26"/>
      <c r="JO198" s="26"/>
      <c r="JP198" s="26"/>
      <c r="JQ198" s="26"/>
      <c r="JR198" s="26"/>
      <c r="JS198" s="26"/>
      <c r="JT198" s="26"/>
      <c r="JU198" s="26"/>
      <c r="JV198" s="26"/>
      <c r="JW198" s="26"/>
      <c r="JX198" s="26"/>
      <c r="JY198" s="26"/>
      <c r="JZ198" s="26"/>
      <c r="KA198" s="26"/>
      <c r="KB198" s="26"/>
      <c r="KC198" s="26"/>
      <c r="KD198" s="26"/>
      <c r="KE198" s="26"/>
      <c r="KF198" s="26"/>
      <c r="KG198" s="26"/>
      <c r="KH198" s="26"/>
      <c r="KI198" s="26"/>
      <c r="KJ198" s="26"/>
      <c r="KK198" s="26"/>
      <c r="KL198" s="26"/>
      <c r="KM198" s="26"/>
      <c r="KN198" s="26"/>
      <c r="KO198" s="26"/>
      <c r="KP198" s="26"/>
      <c r="KQ198" s="26"/>
      <c r="KR198" s="26"/>
      <c r="KS198" s="26"/>
      <c r="KT198" s="26"/>
      <c r="KU198" s="26"/>
      <c r="KV198" s="26"/>
      <c r="KW198" s="26"/>
      <c r="KX198" s="26"/>
      <c r="KY198" s="26"/>
      <c r="KZ198" s="26"/>
      <c r="LA198" s="26"/>
      <c r="LB198" s="26"/>
      <c r="LC198" s="26"/>
      <c r="LD198" s="26"/>
      <c r="LE198" s="26"/>
      <c r="LF198" s="26"/>
      <c r="LG198" s="26"/>
      <c r="LH198" s="26"/>
      <c r="LI198" s="26"/>
      <c r="LJ198" s="26"/>
      <c r="LK198" s="26"/>
      <c r="LL198" s="26"/>
      <c r="LM198" s="26"/>
      <c r="LN198" s="26"/>
      <c r="LO198" s="26"/>
      <c r="LP198" s="26"/>
      <c r="LQ198" s="26"/>
      <c r="LR198" s="26"/>
      <c r="LS198" s="26"/>
      <c r="LT198" s="26"/>
      <c r="LU198" s="26"/>
      <c r="LV198" s="26"/>
      <c r="LW198" s="26"/>
      <c r="LX198" s="26"/>
      <c r="LY198" s="26"/>
      <c r="LZ198" s="26"/>
      <c r="MA198" s="26"/>
      <c r="MB198" s="26"/>
      <c r="MC198" s="26"/>
      <c r="MD198" s="26"/>
      <c r="ME198" s="26"/>
      <c r="MF198" s="26"/>
      <c r="MG198" s="26"/>
      <c r="MH198" s="26"/>
      <c r="MI198" s="26"/>
      <c r="MJ198" s="26"/>
      <c r="MK198" s="26"/>
      <c r="ML198" s="26"/>
      <c r="MM198" s="26"/>
      <c r="MN198" s="26"/>
      <c r="MO198" s="26"/>
      <c r="MP198" s="26"/>
      <c r="MQ198" s="26"/>
      <c r="MR198" s="26"/>
      <c r="MS198" s="26"/>
      <c r="MT198" s="26"/>
      <c r="MU198" s="26"/>
      <c r="MV198" s="26"/>
      <c r="MW198" s="26"/>
      <c r="MX198" s="26"/>
      <c r="MY198" s="26"/>
      <c r="MZ198" s="26"/>
      <c r="NA198" s="26"/>
      <c r="NB198" s="26"/>
      <c r="NC198" s="26"/>
      <c r="ND198" s="26"/>
      <c r="NE198" s="26"/>
      <c r="NF198" s="26"/>
      <c r="NG198" s="26"/>
      <c r="NH198" s="26"/>
      <c r="NI198" s="26"/>
      <c r="NJ198" s="26"/>
      <c r="NK198" s="26"/>
      <c r="NL198" s="26"/>
      <c r="NM198" s="26"/>
      <c r="NN198" s="26"/>
      <c r="NO198" s="26"/>
      <c r="NP198" s="26"/>
      <c r="NQ198" s="26"/>
      <c r="NR198" s="26"/>
      <c r="NS198" s="26"/>
      <c r="NT198" s="26"/>
      <c r="NU198" s="26"/>
      <c r="NV198" s="26"/>
      <c r="NW198" s="26"/>
      <c r="NX198" s="26"/>
      <c r="NY198" s="26"/>
      <c r="NZ198" s="26"/>
      <c r="OA198" s="26"/>
      <c r="OB198" s="26"/>
      <c r="OC198" s="26"/>
      <c r="OD198" s="26"/>
      <c r="OE198" s="26"/>
      <c r="OF198" s="26"/>
      <c r="OG198" s="26"/>
      <c r="OH198" s="26"/>
      <c r="OI198" s="26"/>
      <c r="OJ198" s="26"/>
      <c r="OK198" s="26"/>
      <c r="OL198" s="26"/>
      <c r="OM198" s="26"/>
      <c r="ON198" s="26"/>
      <c r="OO198" s="26"/>
      <c r="OP198" s="26"/>
      <c r="OQ198" s="26"/>
      <c r="OR198" s="26"/>
      <c r="OS198" s="26"/>
      <c r="OT198" s="26"/>
      <c r="OU198" s="26"/>
      <c r="OV198" s="26"/>
      <c r="OW198" s="26"/>
      <c r="OX198" s="26"/>
      <c r="OY198" s="26"/>
      <c r="OZ198" s="26"/>
      <c r="PA198" s="26"/>
      <c r="PB198" s="26"/>
      <c r="PC198" s="26"/>
      <c r="PD198" s="26"/>
      <c r="PE198" s="26"/>
      <c r="PF198" s="26"/>
      <c r="PG198" s="26"/>
      <c r="PH198" s="26"/>
      <c r="PI198" s="26"/>
      <c r="PJ198" s="26"/>
      <c r="PK198" s="26"/>
      <c r="PL198" s="26"/>
      <c r="PM198" s="26"/>
      <c r="PN198" s="26"/>
      <c r="PO198" s="26"/>
      <c r="PP198" s="26"/>
      <c r="PQ198" s="26"/>
      <c r="PR198" s="26"/>
      <c r="PS198" s="26"/>
      <c r="PT198" s="26"/>
      <c r="PU198" s="26"/>
      <c r="PV198" s="26"/>
      <c r="PW198" s="26"/>
      <c r="PX198" s="26"/>
      <c r="PY198" s="26"/>
      <c r="PZ198" s="26"/>
      <c r="QA198" s="26"/>
      <c r="QB198" s="26"/>
      <c r="QC198" s="26"/>
      <c r="QD198" s="26"/>
      <c r="QE198" s="26"/>
      <c r="QF198" s="26"/>
      <c r="QG198" s="26"/>
      <c r="QH198" s="26"/>
      <c r="QI198" s="26"/>
      <c r="QJ198" s="26"/>
      <c r="QK198" s="26"/>
      <c r="QL198" s="26"/>
      <c r="QM198" s="26"/>
      <c r="QN198" s="26"/>
      <c r="QO198" s="26"/>
      <c r="QP198" s="26"/>
      <c r="QQ198" s="26"/>
      <c r="QR198" s="26"/>
      <c r="QS198" s="26"/>
      <c r="QT198" s="26"/>
      <c r="QU198" s="26"/>
      <c r="QV198" s="26"/>
      <c r="QW198" s="26"/>
      <c r="QX198" s="26"/>
      <c r="QY198" s="26"/>
      <c r="QZ198" s="26"/>
      <c r="RA198" s="26"/>
      <c r="RB198" s="26"/>
      <c r="RC198" s="26"/>
      <c r="RD198" s="26"/>
      <c r="RE198" s="26"/>
      <c r="RF198" s="26"/>
      <c r="RG198" s="26"/>
      <c r="RH198" s="26"/>
      <c r="RI198" s="26"/>
      <c r="RJ198" s="26"/>
      <c r="RK198" s="26"/>
      <c r="RL198" s="26"/>
      <c r="RM198" s="26"/>
      <c r="RN198" s="26"/>
      <c r="RO198" s="26"/>
      <c r="RP198" s="26"/>
      <c r="RQ198" s="26"/>
      <c r="RR198" s="26"/>
      <c r="RS198" s="26"/>
      <c r="RT198" s="26"/>
      <c r="RU198" s="26"/>
      <c r="RV198" s="26"/>
      <c r="RW198" s="26"/>
      <c r="RX198" s="26"/>
      <c r="RY198" s="26"/>
      <c r="RZ198" s="26"/>
      <c r="SA198" s="26"/>
      <c r="SB198" s="26"/>
      <c r="SC198" s="26"/>
      <c r="SD198" s="26"/>
      <c r="SE198" s="26"/>
      <c r="SF198" s="26"/>
      <c r="SG198" s="26"/>
      <c r="SH198" s="26"/>
      <c r="SI198" s="26"/>
      <c r="SJ198" s="26"/>
      <c r="SK198" s="26"/>
      <c r="SL198" s="26"/>
      <c r="SM198" s="26"/>
      <c r="SN198" s="26"/>
      <c r="SO198" s="26"/>
      <c r="SP198" s="26"/>
      <c r="SQ198" s="26"/>
      <c r="SR198" s="26"/>
      <c r="SS198" s="26"/>
      <c r="ST198" s="26"/>
      <c r="SU198" s="26"/>
      <c r="SV198" s="26"/>
      <c r="SW198" s="26"/>
      <c r="SX198" s="26"/>
      <c r="SY198" s="26"/>
      <c r="SZ198" s="26"/>
      <c r="TA198" s="26"/>
      <c r="TB198" s="26"/>
      <c r="TC198" s="26"/>
      <c r="TD198" s="26"/>
      <c r="TE198" s="26"/>
      <c r="TF198" s="26"/>
      <c r="TG198" s="26"/>
      <c r="TH198" s="26"/>
      <c r="TI198" s="26"/>
    </row>
    <row r="199" spans="1:529" s="23" customFormat="1" ht="18.75" customHeight="1" x14ac:dyDescent="0.25">
      <c r="A199" s="43" t="s">
        <v>300</v>
      </c>
      <c r="B199" s="44" t="str">
        <f>'дод 4'!A125</f>
        <v>7640</v>
      </c>
      <c r="C199" s="44" t="str">
        <f>'дод 4'!B125</f>
        <v>0470</v>
      </c>
      <c r="D199" s="24" t="str">
        <f>'дод 4'!C125</f>
        <v>Заходи з енергозбереження</v>
      </c>
      <c r="E199" s="69">
        <f t="shared" si="132"/>
        <v>345000</v>
      </c>
      <c r="F199" s="69">
        <v>345000</v>
      </c>
      <c r="G199" s="69"/>
      <c r="H199" s="69"/>
      <c r="I199" s="69"/>
      <c r="J199" s="69">
        <f t="shared" ref="J199:J205" si="134">L199+O199</f>
        <v>0</v>
      </c>
      <c r="K199" s="69"/>
      <c r="L199" s="69"/>
      <c r="M199" s="69"/>
      <c r="N199" s="69"/>
      <c r="O199" s="69"/>
      <c r="P199" s="69">
        <f t="shared" si="133"/>
        <v>345000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  <c r="JK199" s="26"/>
      <c r="JL199" s="26"/>
      <c r="JM199" s="26"/>
      <c r="JN199" s="26"/>
      <c r="JO199" s="26"/>
      <c r="JP199" s="26"/>
      <c r="JQ199" s="26"/>
      <c r="JR199" s="26"/>
      <c r="JS199" s="26"/>
      <c r="JT199" s="26"/>
      <c r="JU199" s="26"/>
      <c r="JV199" s="26"/>
      <c r="JW199" s="26"/>
      <c r="JX199" s="26"/>
      <c r="JY199" s="26"/>
      <c r="JZ199" s="26"/>
      <c r="KA199" s="26"/>
      <c r="KB199" s="26"/>
      <c r="KC199" s="26"/>
      <c r="KD199" s="26"/>
      <c r="KE199" s="26"/>
      <c r="KF199" s="26"/>
      <c r="KG199" s="26"/>
      <c r="KH199" s="26"/>
      <c r="KI199" s="26"/>
      <c r="KJ199" s="26"/>
      <c r="KK199" s="26"/>
      <c r="KL199" s="26"/>
      <c r="KM199" s="26"/>
      <c r="KN199" s="26"/>
      <c r="KO199" s="26"/>
      <c r="KP199" s="26"/>
      <c r="KQ199" s="26"/>
      <c r="KR199" s="26"/>
      <c r="KS199" s="26"/>
      <c r="KT199" s="26"/>
      <c r="KU199" s="26"/>
      <c r="KV199" s="26"/>
      <c r="KW199" s="26"/>
      <c r="KX199" s="26"/>
      <c r="KY199" s="26"/>
      <c r="KZ199" s="26"/>
      <c r="LA199" s="26"/>
      <c r="LB199" s="26"/>
      <c r="LC199" s="26"/>
      <c r="LD199" s="26"/>
      <c r="LE199" s="26"/>
      <c r="LF199" s="26"/>
      <c r="LG199" s="26"/>
      <c r="LH199" s="26"/>
      <c r="LI199" s="26"/>
      <c r="LJ199" s="26"/>
      <c r="LK199" s="26"/>
      <c r="LL199" s="26"/>
      <c r="LM199" s="26"/>
      <c r="LN199" s="26"/>
      <c r="LO199" s="26"/>
      <c r="LP199" s="26"/>
      <c r="LQ199" s="26"/>
      <c r="LR199" s="26"/>
      <c r="LS199" s="26"/>
      <c r="LT199" s="26"/>
      <c r="LU199" s="26"/>
      <c r="LV199" s="26"/>
      <c r="LW199" s="26"/>
      <c r="LX199" s="26"/>
      <c r="LY199" s="26"/>
      <c r="LZ199" s="26"/>
      <c r="MA199" s="26"/>
      <c r="MB199" s="26"/>
      <c r="MC199" s="26"/>
      <c r="MD199" s="26"/>
      <c r="ME199" s="26"/>
      <c r="MF199" s="26"/>
      <c r="MG199" s="26"/>
      <c r="MH199" s="26"/>
      <c r="MI199" s="26"/>
      <c r="MJ199" s="26"/>
      <c r="MK199" s="26"/>
      <c r="ML199" s="26"/>
      <c r="MM199" s="26"/>
      <c r="MN199" s="26"/>
      <c r="MO199" s="26"/>
      <c r="MP199" s="26"/>
      <c r="MQ199" s="26"/>
      <c r="MR199" s="26"/>
      <c r="MS199" s="26"/>
      <c r="MT199" s="26"/>
      <c r="MU199" s="26"/>
      <c r="MV199" s="26"/>
      <c r="MW199" s="26"/>
      <c r="MX199" s="26"/>
      <c r="MY199" s="26"/>
      <c r="MZ199" s="26"/>
      <c r="NA199" s="26"/>
      <c r="NB199" s="26"/>
      <c r="NC199" s="26"/>
      <c r="ND199" s="26"/>
      <c r="NE199" s="26"/>
      <c r="NF199" s="26"/>
      <c r="NG199" s="26"/>
      <c r="NH199" s="26"/>
      <c r="NI199" s="26"/>
      <c r="NJ199" s="26"/>
      <c r="NK199" s="26"/>
      <c r="NL199" s="26"/>
      <c r="NM199" s="26"/>
      <c r="NN199" s="26"/>
      <c r="NO199" s="26"/>
      <c r="NP199" s="26"/>
      <c r="NQ199" s="26"/>
      <c r="NR199" s="26"/>
      <c r="NS199" s="26"/>
      <c r="NT199" s="26"/>
      <c r="NU199" s="26"/>
      <c r="NV199" s="26"/>
      <c r="NW199" s="26"/>
      <c r="NX199" s="26"/>
      <c r="NY199" s="26"/>
      <c r="NZ199" s="26"/>
      <c r="OA199" s="26"/>
      <c r="OB199" s="26"/>
      <c r="OC199" s="26"/>
      <c r="OD199" s="26"/>
      <c r="OE199" s="26"/>
      <c r="OF199" s="26"/>
      <c r="OG199" s="26"/>
      <c r="OH199" s="26"/>
      <c r="OI199" s="26"/>
      <c r="OJ199" s="26"/>
      <c r="OK199" s="26"/>
      <c r="OL199" s="26"/>
      <c r="OM199" s="26"/>
      <c r="ON199" s="26"/>
      <c r="OO199" s="26"/>
      <c r="OP199" s="26"/>
      <c r="OQ199" s="26"/>
      <c r="OR199" s="26"/>
      <c r="OS199" s="26"/>
      <c r="OT199" s="26"/>
      <c r="OU199" s="26"/>
      <c r="OV199" s="26"/>
      <c r="OW199" s="26"/>
      <c r="OX199" s="26"/>
      <c r="OY199" s="26"/>
      <c r="OZ199" s="26"/>
      <c r="PA199" s="26"/>
      <c r="PB199" s="26"/>
      <c r="PC199" s="26"/>
      <c r="PD199" s="26"/>
      <c r="PE199" s="26"/>
      <c r="PF199" s="26"/>
      <c r="PG199" s="26"/>
      <c r="PH199" s="26"/>
      <c r="PI199" s="26"/>
      <c r="PJ199" s="26"/>
      <c r="PK199" s="26"/>
      <c r="PL199" s="26"/>
      <c r="PM199" s="26"/>
      <c r="PN199" s="26"/>
      <c r="PO199" s="26"/>
      <c r="PP199" s="26"/>
      <c r="PQ199" s="26"/>
      <c r="PR199" s="26"/>
      <c r="PS199" s="26"/>
      <c r="PT199" s="26"/>
      <c r="PU199" s="26"/>
      <c r="PV199" s="26"/>
      <c r="PW199" s="26"/>
      <c r="PX199" s="26"/>
      <c r="PY199" s="26"/>
      <c r="PZ199" s="26"/>
      <c r="QA199" s="26"/>
      <c r="QB199" s="26"/>
      <c r="QC199" s="26"/>
      <c r="QD199" s="26"/>
      <c r="QE199" s="26"/>
      <c r="QF199" s="26"/>
      <c r="QG199" s="26"/>
      <c r="QH199" s="26"/>
      <c r="QI199" s="26"/>
      <c r="QJ199" s="26"/>
      <c r="QK199" s="26"/>
      <c r="QL199" s="26"/>
      <c r="QM199" s="26"/>
      <c r="QN199" s="26"/>
      <c r="QO199" s="26"/>
      <c r="QP199" s="26"/>
      <c r="QQ199" s="26"/>
      <c r="QR199" s="26"/>
      <c r="QS199" s="26"/>
      <c r="QT199" s="26"/>
      <c r="QU199" s="26"/>
      <c r="QV199" s="26"/>
      <c r="QW199" s="26"/>
      <c r="QX199" s="26"/>
      <c r="QY199" s="26"/>
      <c r="QZ199" s="26"/>
      <c r="RA199" s="26"/>
      <c r="RB199" s="26"/>
      <c r="RC199" s="26"/>
      <c r="RD199" s="26"/>
      <c r="RE199" s="26"/>
      <c r="RF199" s="26"/>
      <c r="RG199" s="26"/>
      <c r="RH199" s="26"/>
      <c r="RI199" s="26"/>
      <c r="RJ199" s="26"/>
      <c r="RK199" s="26"/>
      <c r="RL199" s="26"/>
      <c r="RM199" s="26"/>
      <c r="RN199" s="26"/>
      <c r="RO199" s="26"/>
      <c r="RP199" s="26"/>
      <c r="RQ199" s="26"/>
      <c r="RR199" s="26"/>
      <c r="RS199" s="26"/>
      <c r="RT199" s="26"/>
      <c r="RU199" s="26"/>
      <c r="RV199" s="26"/>
      <c r="RW199" s="26"/>
      <c r="RX199" s="26"/>
      <c r="RY199" s="26"/>
      <c r="RZ199" s="26"/>
      <c r="SA199" s="26"/>
      <c r="SB199" s="26"/>
      <c r="SC199" s="26"/>
      <c r="SD199" s="26"/>
      <c r="SE199" s="26"/>
      <c r="SF199" s="26"/>
      <c r="SG199" s="26"/>
      <c r="SH199" s="26"/>
      <c r="SI199" s="26"/>
      <c r="SJ199" s="26"/>
      <c r="SK199" s="26"/>
      <c r="SL199" s="26"/>
      <c r="SM199" s="26"/>
      <c r="SN199" s="26"/>
      <c r="SO199" s="26"/>
      <c r="SP199" s="26"/>
      <c r="SQ199" s="26"/>
      <c r="SR199" s="26"/>
      <c r="SS199" s="26"/>
      <c r="ST199" s="26"/>
      <c r="SU199" s="26"/>
      <c r="SV199" s="26"/>
      <c r="SW199" s="26"/>
      <c r="SX199" s="26"/>
      <c r="SY199" s="26"/>
      <c r="SZ199" s="26"/>
      <c r="TA199" s="26"/>
      <c r="TB199" s="26"/>
      <c r="TC199" s="26"/>
      <c r="TD199" s="26"/>
      <c r="TE199" s="26"/>
      <c r="TF199" s="26"/>
      <c r="TG199" s="26"/>
      <c r="TH199" s="26"/>
      <c r="TI199" s="26"/>
    </row>
    <row r="200" spans="1:529" s="23" customFormat="1" ht="24" customHeight="1" x14ac:dyDescent="0.25">
      <c r="A200" s="43" t="s">
        <v>387</v>
      </c>
      <c r="B200" s="44" t="str">
        <f>'дод 4'!A131</f>
        <v>7693</v>
      </c>
      <c r="C200" s="44" t="str">
        <f>'дод 4'!B131</f>
        <v>0490</v>
      </c>
      <c r="D200" s="24" t="str">
        <f>'дод 4'!C131</f>
        <v>Інші заходи, пов'язані з економічною діяльністю</v>
      </c>
      <c r="E200" s="69">
        <f t="shared" si="132"/>
        <v>213200</v>
      </c>
      <c r="F200" s="69">
        <v>213200</v>
      </c>
      <c r="G200" s="69"/>
      <c r="H200" s="69"/>
      <c r="I200" s="69"/>
      <c r="J200" s="69">
        <f t="shared" si="134"/>
        <v>0</v>
      </c>
      <c r="K200" s="69"/>
      <c r="L200" s="69"/>
      <c r="M200" s="69"/>
      <c r="N200" s="69"/>
      <c r="O200" s="69"/>
      <c r="P200" s="69">
        <f t="shared" si="133"/>
        <v>213200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  <c r="JK200" s="26"/>
      <c r="JL200" s="26"/>
      <c r="JM200" s="26"/>
      <c r="JN200" s="26"/>
      <c r="JO200" s="26"/>
      <c r="JP200" s="26"/>
      <c r="JQ200" s="26"/>
      <c r="JR200" s="26"/>
      <c r="JS200" s="26"/>
      <c r="JT200" s="26"/>
      <c r="JU200" s="26"/>
      <c r="JV200" s="26"/>
      <c r="JW200" s="26"/>
      <c r="JX200" s="26"/>
      <c r="JY200" s="26"/>
      <c r="JZ200" s="26"/>
      <c r="KA200" s="26"/>
      <c r="KB200" s="26"/>
      <c r="KC200" s="26"/>
      <c r="KD200" s="26"/>
      <c r="KE200" s="26"/>
      <c r="KF200" s="26"/>
      <c r="KG200" s="26"/>
      <c r="KH200" s="26"/>
      <c r="KI200" s="26"/>
      <c r="KJ200" s="26"/>
      <c r="KK200" s="26"/>
      <c r="KL200" s="26"/>
      <c r="KM200" s="26"/>
      <c r="KN200" s="26"/>
      <c r="KO200" s="26"/>
      <c r="KP200" s="26"/>
      <c r="KQ200" s="26"/>
      <c r="KR200" s="26"/>
      <c r="KS200" s="26"/>
      <c r="KT200" s="26"/>
      <c r="KU200" s="26"/>
      <c r="KV200" s="26"/>
      <c r="KW200" s="26"/>
      <c r="KX200" s="26"/>
      <c r="KY200" s="26"/>
      <c r="KZ200" s="26"/>
      <c r="LA200" s="26"/>
      <c r="LB200" s="26"/>
      <c r="LC200" s="26"/>
      <c r="LD200" s="26"/>
      <c r="LE200" s="26"/>
      <c r="LF200" s="26"/>
      <c r="LG200" s="26"/>
      <c r="LH200" s="26"/>
      <c r="LI200" s="26"/>
      <c r="LJ200" s="26"/>
      <c r="LK200" s="26"/>
      <c r="LL200" s="26"/>
      <c r="LM200" s="26"/>
      <c r="LN200" s="26"/>
      <c r="LO200" s="26"/>
      <c r="LP200" s="26"/>
      <c r="LQ200" s="26"/>
      <c r="LR200" s="26"/>
      <c r="LS200" s="26"/>
      <c r="LT200" s="26"/>
      <c r="LU200" s="26"/>
      <c r="LV200" s="26"/>
      <c r="LW200" s="26"/>
      <c r="LX200" s="26"/>
      <c r="LY200" s="26"/>
      <c r="LZ200" s="26"/>
      <c r="MA200" s="26"/>
      <c r="MB200" s="26"/>
      <c r="MC200" s="26"/>
      <c r="MD200" s="26"/>
      <c r="ME200" s="26"/>
      <c r="MF200" s="26"/>
      <c r="MG200" s="26"/>
      <c r="MH200" s="26"/>
      <c r="MI200" s="26"/>
      <c r="MJ200" s="26"/>
      <c r="MK200" s="26"/>
      <c r="ML200" s="26"/>
      <c r="MM200" s="26"/>
      <c r="MN200" s="26"/>
      <c r="MO200" s="26"/>
      <c r="MP200" s="26"/>
      <c r="MQ200" s="26"/>
      <c r="MR200" s="26"/>
      <c r="MS200" s="26"/>
      <c r="MT200" s="26"/>
      <c r="MU200" s="26"/>
      <c r="MV200" s="26"/>
      <c r="MW200" s="26"/>
      <c r="MX200" s="26"/>
      <c r="MY200" s="26"/>
      <c r="MZ200" s="26"/>
      <c r="NA200" s="26"/>
      <c r="NB200" s="26"/>
      <c r="NC200" s="26"/>
      <c r="ND200" s="26"/>
      <c r="NE200" s="26"/>
      <c r="NF200" s="26"/>
      <c r="NG200" s="26"/>
      <c r="NH200" s="26"/>
      <c r="NI200" s="26"/>
      <c r="NJ200" s="26"/>
      <c r="NK200" s="26"/>
      <c r="NL200" s="26"/>
      <c r="NM200" s="26"/>
      <c r="NN200" s="26"/>
      <c r="NO200" s="26"/>
      <c r="NP200" s="26"/>
      <c r="NQ200" s="26"/>
      <c r="NR200" s="26"/>
      <c r="NS200" s="26"/>
      <c r="NT200" s="26"/>
      <c r="NU200" s="26"/>
      <c r="NV200" s="26"/>
      <c r="NW200" s="26"/>
      <c r="NX200" s="26"/>
      <c r="NY200" s="26"/>
      <c r="NZ200" s="26"/>
      <c r="OA200" s="26"/>
      <c r="OB200" s="26"/>
      <c r="OC200" s="26"/>
      <c r="OD200" s="26"/>
      <c r="OE200" s="26"/>
      <c r="OF200" s="26"/>
      <c r="OG200" s="26"/>
      <c r="OH200" s="26"/>
      <c r="OI200" s="26"/>
      <c r="OJ200" s="26"/>
      <c r="OK200" s="26"/>
      <c r="OL200" s="26"/>
      <c r="OM200" s="26"/>
      <c r="ON200" s="26"/>
      <c r="OO200" s="26"/>
      <c r="OP200" s="26"/>
      <c r="OQ200" s="26"/>
      <c r="OR200" s="26"/>
      <c r="OS200" s="26"/>
      <c r="OT200" s="26"/>
      <c r="OU200" s="26"/>
      <c r="OV200" s="26"/>
      <c r="OW200" s="26"/>
      <c r="OX200" s="26"/>
      <c r="OY200" s="26"/>
      <c r="OZ200" s="26"/>
      <c r="PA200" s="26"/>
      <c r="PB200" s="26"/>
      <c r="PC200" s="26"/>
      <c r="PD200" s="26"/>
      <c r="PE200" s="26"/>
      <c r="PF200" s="26"/>
      <c r="PG200" s="26"/>
      <c r="PH200" s="26"/>
      <c r="PI200" s="26"/>
      <c r="PJ200" s="26"/>
      <c r="PK200" s="26"/>
      <c r="PL200" s="26"/>
      <c r="PM200" s="26"/>
      <c r="PN200" s="26"/>
      <c r="PO200" s="26"/>
      <c r="PP200" s="26"/>
      <c r="PQ200" s="26"/>
      <c r="PR200" s="26"/>
      <c r="PS200" s="26"/>
      <c r="PT200" s="26"/>
      <c r="PU200" s="26"/>
      <c r="PV200" s="26"/>
      <c r="PW200" s="26"/>
      <c r="PX200" s="26"/>
      <c r="PY200" s="26"/>
      <c r="PZ200" s="26"/>
      <c r="QA200" s="26"/>
      <c r="QB200" s="26"/>
      <c r="QC200" s="26"/>
      <c r="QD200" s="26"/>
      <c r="QE200" s="26"/>
      <c r="QF200" s="26"/>
      <c r="QG200" s="26"/>
      <c r="QH200" s="26"/>
      <c r="QI200" s="26"/>
      <c r="QJ200" s="26"/>
      <c r="QK200" s="26"/>
      <c r="QL200" s="26"/>
      <c r="QM200" s="26"/>
      <c r="QN200" s="26"/>
      <c r="QO200" s="26"/>
      <c r="QP200" s="26"/>
      <c r="QQ200" s="26"/>
      <c r="QR200" s="26"/>
      <c r="QS200" s="26"/>
      <c r="QT200" s="26"/>
      <c r="QU200" s="26"/>
      <c r="QV200" s="26"/>
      <c r="QW200" s="26"/>
      <c r="QX200" s="26"/>
      <c r="QY200" s="26"/>
      <c r="QZ200" s="26"/>
      <c r="RA200" s="26"/>
      <c r="RB200" s="26"/>
      <c r="RC200" s="26"/>
      <c r="RD200" s="26"/>
      <c r="RE200" s="26"/>
      <c r="RF200" s="26"/>
      <c r="RG200" s="26"/>
      <c r="RH200" s="26"/>
      <c r="RI200" s="26"/>
      <c r="RJ200" s="26"/>
      <c r="RK200" s="26"/>
      <c r="RL200" s="26"/>
      <c r="RM200" s="26"/>
      <c r="RN200" s="26"/>
      <c r="RO200" s="26"/>
      <c r="RP200" s="26"/>
      <c r="RQ200" s="26"/>
      <c r="RR200" s="26"/>
      <c r="RS200" s="26"/>
      <c r="RT200" s="26"/>
      <c r="RU200" s="26"/>
      <c r="RV200" s="26"/>
      <c r="RW200" s="26"/>
      <c r="RX200" s="26"/>
      <c r="RY200" s="26"/>
      <c r="RZ200" s="26"/>
      <c r="SA200" s="26"/>
      <c r="SB200" s="26"/>
      <c r="SC200" s="26"/>
      <c r="SD200" s="26"/>
      <c r="SE200" s="26"/>
      <c r="SF200" s="26"/>
      <c r="SG200" s="26"/>
      <c r="SH200" s="26"/>
      <c r="SI200" s="26"/>
      <c r="SJ200" s="26"/>
      <c r="SK200" s="26"/>
      <c r="SL200" s="26"/>
      <c r="SM200" s="26"/>
      <c r="SN200" s="26"/>
      <c r="SO200" s="26"/>
      <c r="SP200" s="26"/>
      <c r="SQ200" s="26"/>
      <c r="SR200" s="26"/>
      <c r="SS200" s="26"/>
      <c r="ST200" s="26"/>
      <c r="SU200" s="26"/>
      <c r="SV200" s="26"/>
      <c r="SW200" s="26"/>
      <c r="SX200" s="26"/>
      <c r="SY200" s="26"/>
      <c r="SZ200" s="26"/>
      <c r="TA200" s="26"/>
      <c r="TB200" s="26"/>
      <c r="TC200" s="26"/>
      <c r="TD200" s="26"/>
      <c r="TE200" s="26"/>
      <c r="TF200" s="26"/>
      <c r="TG200" s="26"/>
      <c r="TH200" s="26"/>
      <c r="TI200" s="26"/>
    </row>
    <row r="201" spans="1:529" s="23" customFormat="1" ht="33.75" customHeight="1" x14ac:dyDescent="0.25">
      <c r="A201" s="43">
        <v>3718330</v>
      </c>
      <c r="B201" s="44">
        <f>'дод 4'!A141</f>
        <v>8330</v>
      </c>
      <c r="C201" s="44">
        <f>'дод 4'!B141</f>
        <v>540</v>
      </c>
      <c r="D201" s="24" t="str">
        <f>'дод 4'!C141</f>
        <v xml:space="preserve">Інша діяльність у сфері екології та охорони природних ресурсів </v>
      </c>
      <c r="E201" s="69">
        <f t="shared" si="132"/>
        <v>75000</v>
      </c>
      <c r="F201" s="69">
        <v>75000</v>
      </c>
      <c r="G201" s="69"/>
      <c r="H201" s="69"/>
      <c r="I201" s="69"/>
      <c r="J201" s="69">
        <f t="shared" si="134"/>
        <v>0</v>
      </c>
      <c r="K201" s="69"/>
      <c r="L201" s="69"/>
      <c r="M201" s="69"/>
      <c r="N201" s="69"/>
      <c r="O201" s="69"/>
      <c r="P201" s="69">
        <f t="shared" si="133"/>
        <v>75000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  <c r="IW201" s="26"/>
      <c r="IX201" s="26"/>
      <c r="IY201" s="26"/>
      <c r="IZ201" s="26"/>
      <c r="JA201" s="26"/>
      <c r="JB201" s="26"/>
      <c r="JC201" s="26"/>
      <c r="JD201" s="26"/>
      <c r="JE201" s="26"/>
      <c r="JF201" s="26"/>
      <c r="JG201" s="26"/>
      <c r="JH201" s="26"/>
      <c r="JI201" s="26"/>
      <c r="JJ201" s="26"/>
      <c r="JK201" s="26"/>
      <c r="JL201" s="26"/>
      <c r="JM201" s="26"/>
      <c r="JN201" s="26"/>
      <c r="JO201" s="26"/>
      <c r="JP201" s="26"/>
      <c r="JQ201" s="26"/>
      <c r="JR201" s="26"/>
      <c r="JS201" s="26"/>
      <c r="JT201" s="26"/>
      <c r="JU201" s="26"/>
      <c r="JV201" s="26"/>
      <c r="JW201" s="26"/>
      <c r="JX201" s="26"/>
      <c r="JY201" s="26"/>
      <c r="JZ201" s="26"/>
      <c r="KA201" s="26"/>
      <c r="KB201" s="26"/>
      <c r="KC201" s="26"/>
      <c r="KD201" s="26"/>
      <c r="KE201" s="26"/>
      <c r="KF201" s="26"/>
      <c r="KG201" s="26"/>
      <c r="KH201" s="26"/>
      <c r="KI201" s="26"/>
      <c r="KJ201" s="26"/>
      <c r="KK201" s="26"/>
      <c r="KL201" s="26"/>
      <c r="KM201" s="26"/>
      <c r="KN201" s="26"/>
      <c r="KO201" s="26"/>
      <c r="KP201" s="26"/>
      <c r="KQ201" s="26"/>
      <c r="KR201" s="26"/>
      <c r="KS201" s="26"/>
      <c r="KT201" s="26"/>
      <c r="KU201" s="26"/>
      <c r="KV201" s="26"/>
      <c r="KW201" s="26"/>
      <c r="KX201" s="26"/>
      <c r="KY201" s="26"/>
      <c r="KZ201" s="26"/>
      <c r="LA201" s="26"/>
      <c r="LB201" s="26"/>
      <c r="LC201" s="26"/>
      <c r="LD201" s="26"/>
      <c r="LE201" s="26"/>
      <c r="LF201" s="26"/>
      <c r="LG201" s="26"/>
      <c r="LH201" s="26"/>
      <c r="LI201" s="26"/>
      <c r="LJ201" s="26"/>
      <c r="LK201" s="26"/>
      <c r="LL201" s="26"/>
      <c r="LM201" s="26"/>
      <c r="LN201" s="26"/>
      <c r="LO201" s="26"/>
      <c r="LP201" s="26"/>
      <c r="LQ201" s="26"/>
      <c r="LR201" s="26"/>
      <c r="LS201" s="26"/>
      <c r="LT201" s="26"/>
      <c r="LU201" s="26"/>
      <c r="LV201" s="26"/>
      <c r="LW201" s="26"/>
      <c r="LX201" s="26"/>
      <c r="LY201" s="26"/>
      <c r="LZ201" s="26"/>
      <c r="MA201" s="26"/>
      <c r="MB201" s="26"/>
      <c r="MC201" s="26"/>
      <c r="MD201" s="26"/>
      <c r="ME201" s="26"/>
      <c r="MF201" s="26"/>
      <c r="MG201" s="26"/>
      <c r="MH201" s="26"/>
      <c r="MI201" s="26"/>
      <c r="MJ201" s="26"/>
      <c r="MK201" s="26"/>
      <c r="ML201" s="26"/>
      <c r="MM201" s="26"/>
      <c r="MN201" s="26"/>
      <c r="MO201" s="26"/>
      <c r="MP201" s="26"/>
      <c r="MQ201" s="26"/>
      <c r="MR201" s="26"/>
      <c r="MS201" s="26"/>
      <c r="MT201" s="26"/>
      <c r="MU201" s="26"/>
      <c r="MV201" s="26"/>
      <c r="MW201" s="26"/>
      <c r="MX201" s="26"/>
      <c r="MY201" s="26"/>
      <c r="MZ201" s="26"/>
      <c r="NA201" s="26"/>
      <c r="NB201" s="26"/>
      <c r="NC201" s="26"/>
      <c r="ND201" s="26"/>
      <c r="NE201" s="26"/>
      <c r="NF201" s="26"/>
      <c r="NG201" s="26"/>
      <c r="NH201" s="26"/>
      <c r="NI201" s="26"/>
      <c r="NJ201" s="26"/>
      <c r="NK201" s="26"/>
      <c r="NL201" s="26"/>
      <c r="NM201" s="26"/>
      <c r="NN201" s="26"/>
      <c r="NO201" s="26"/>
      <c r="NP201" s="26"/>
      <c r="NQ201" s="26"/>
      <c r="NR201" s="26"/>
      <c r="NS201" s="26"/>
      <c r="NT201" s="26"/>
      <c r="NU201" s="26"/>
      <c r="NV201" s="26"/>
      <c r="NW201" s="26"/>
      <c r="NX201" s="26"/>
      <c r="NY201" s="26"/>
      <c r="NZ201" s="26"/>
      <c r="OA201" s="26"/>
      <c r="OB201" s="26"/>
      <c r="OC201" s="26"/>
      <c r="OD201" s="26"/>
      <c r="OE201" s="26"/>
      <c r="OF201" s="26"/>
      <c r="OG201" s="26"/>
      <c r="OH201" s="26"/>
      <c r="OI201" s="26"/>
      <c r="OJ201" s="26"/>
      <c r="OK201" s="26"/>
      <c r="OL201" s="26"/>
      <c r="OM201" s="26"/>
      <c r="ON201" s="26"/>
      <c r="OO201" s="26"/>
      <c r="OP201" s="26"/>
      <c r="OQ201" s="26"/>
      <c r="OR201" s="26"/>
      <c r="OS201" s="26"/>
      <c r="OT201" s="26"/>
      <c r="OU201" s="26"/>
      <c r="OV201" s="26"/>
      <c r="OW201" s="26"/>
      <c r="OX201" s="26"/>
      <c r="OY201" s="26"/>
      <c r="OZ201" s="26"/>
      <c r="PA201" s="26"/>
      <c r="PB201" s="26"/>
      <c r="PC201" s="26"/>
      <c r="PD201" s="26"/>
      <c r="PE201" s="26"/>
      <c r="PF201" s="26"/>
      <c r="PG201" s="26"/>
      <c r="PH201" s="26"/>
      <c r="PI201" s="26"/>
      <c r="PJ201" s="26"/>
      <c r="PK201" s="26"/>
      <c r="PL201" s="26"/>
      <c r="PM201" s="26"/>
      <c r="PN201" s="26"/>
      <c r="PO201" s="26"/>
      <c r="PP201" s="26"/>
      <c r="PQ201" s="26"/>
      <c r="PR201" s="26"/>
      <c r="PS201" s="26"/>
      <c r="PT201" s="26"/>
      <c r="PU201" s="26"/>
      <c r="PV201" s="26"/>
      <c r="PW201" s="26"/>
      <c r="PX201" s="26"/>
      <c r="PY201" s="26"/>
      <c r="PZ201" s="26"/>
      <c r="QA201" s="26"/>
      <c r="QB201" s="26"/>
      <c r="QC201" s="26"/>
      <c r="QD201" s="26"/>
      <c r="QE201" s="26"/>
      <c r="QF201" s="26"/>
      <c r="QG201" s="26"/>
      <c r="QH201" s="26"/>
      <c r="QI201" s="26"/>
      <c r="QJ201" s="26"/>
      <c r="QK201" s="26"/>
      <c r="QL201" s="26"/>
      <c r="QM201" s="26"/>
      <c r="QN201" s="26"/>
      <c r="QO201" s="26"/>
      <c r="QP201" s="26"/>
      <c r="QQ201" s="26"/>
      <c r="QR201" s="26"/>
      <c r="QS201" s="26"/>
      <c r="QT201" s="26"/>
      <c r="QU201" s="26"/>
      <c r="QV201" s="26"/>
      <c r="QW201" s="26"/>
      <c r="QX201" s="26"/>
      <c r="QY201" s="26"/>
      <c r="QZ201" s="26"/>
      <c r="RA201" s="26"/>
      <c r="RB201" s="26"/>
      <c r="RC201" s="26"/>
      <c r="RD201" s="26"/>
      <c r="RE201" s="26"/>
      <c r="RF201" s="26"/>
      <c r="RG201" s="26"/>
      <c r="RH201" s="26"/>
      <c r="RI201" s="26"/>
      <c r="RJ201" s="26"/>
      <c r="RK201" s="26"/>
      <c r="RL201" s="26"/>
      <c r="RM201" s="26"/>
      <c r="RN201" s="26"/>
      <c r="RO201" s="26"/>
      <c r="RP201" s="26"/>
      <c r="RQ201" s="26"/>
      <c r="RR201" s="26"/>
      <c r="RS201" s="26"/>
      <c r="RT201" s="26"/>
      <c r="RU201" s="26"/>
      <c r="RV201" s="26"/>
      <c r="RW201" s="26"/>
      <c r="RX201" s="26"/>
      <c r="RY201" s="26"/>
      <c r="RZ201" s="26"/>
      <c r="SA201" s="26"/>
      <c r="SB201" s="26"/>
      <c r="SC201" s="26"/>
      <c r="SD201" s="26"/>
      <c r="SE201" s="26"/>
      <c r="SF201" s="26"/>
      <c r="SG201" s="26"/>
      <c r="SH201" s="26"/>
      <c r="SI201" s="26"/>
      <c r="SJ201" s="26"/>
      <c r="SK201" s="26"/>
      <c r="SL201" s="26"/>
      <c r="SM201" s="26"/>
      <c r="SN201" s="26"/>
      <c r="SO201" s="26"/>
      <c r="SP201" s="26"/>
      <c r="SQ201" s="26"/>
      <c r="SR201" s="26"/>
      <c r="SS201" s="26"/>
      <c r="ST201" s="26"/>
      <c r="SU201" s="26"/>
      <c r="SV201" s="26"/>
      <c r="SW201" s="26"/>
      <c r="SX201" s="26"/>
      <c r="SY201" s="26"/>
      <c r="SZ201" s="26"/>
      <c r="TA201" s="26"/>
      <c r="TB201" s="26"/>
      <c r="TC201" s="26"/>
      <c r="TD201" s="26"/>
      <c r="TE201" s="26"/>
      <c r="TF201" s="26"/>
      <c r="TG201" s="26"/>
      <c r="TH201" s="26"/>
      <c r="TI201" s="26"/>
    </row>
    <row r="202" spans="1:529" s="23" customFormat="1" ht="26.25" customHeight="1" x14ac:dyDescent="0.25">
      <c r="A202" s="43" t="s">
        <v>258</v>
      </c>
      <c r="B202" s="44" t="str">
        <f>'дод 4'!A142</f>
        <v>8340</v>
      </c>
      <c r="C202" s="43" t="str">
        <f>'дод 4'!B142</f>
        <v>0540</v>
      </c>
      <c r="D202" s="24" t="str">
        <f>'дод 4'!C142</f>
        <v>Природоохоронні заходи за рахунок цільових фондів</v>
      </c>
      <c r="E202" s="69">
        <f t="shared" si="132"/>
        <v>0</v>
      </c>
      <c r="F202" s="69"/>
      <c r="G202" s="69"/>
      <c r="H202" s="69"/>
      <c r="I202" s="69"/>
      <c r="J202" s="69">
        <f t="shared" si="134"/>
        <v>93500</v>
      </c>
      <c r="K202" s="69"/>
      <c r="L202" s="69">
        <f>45000+48500</f>
        <v>93500</v>
      </c>
      <c r="M202" s="69"/>
      <c r="N202" s="69"/>
      <c r="O202" s="69"/>
      <c r="P202" s="69">
        <f t="shared" si="133"/>
        <v>93500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  <c r="IW202" s="26"/>
      <c r="IX202" s="26"/>
      <c r="IY202" s="26"/>
      <c r="IZ202" s="26"/>
      <c r="JA202" s="26"/>
      <c r="JB202" s="26"/>
      <c r="JC202" s="26"/>
      <c r="JD202" s="26"/>
      <c r="JE202" s="26"/>
      <c r="JF202" s="26"/>
      <c r="JG202" s="26"/>
      <c r="JH202" s="26"/>
      <c r="JI202" s="26"/>
      <c r="JJ202" s="26"/>
      <c r="JK202" s="26"/>
      <c r="JL202" s="26"/>
      <c r="JM202" s="26"/>
      <c r="JN202" s="26"/>
      <c r="JO202" s="26"/>
      <c r="JP202" s="26"/>
      <c r="JQ202" s="26"/>
      <c r="JR202" s="26"/>
      <c r="JS202" s="26"/>
      <c r="JT202" s="26"/>
      <c r="JU202" s="26"/>
      <c r="JV202" s="26"/>
      <c r="JW202" s="26"/>
      <c r="JX202" s="26"/>
      <c r="JY202" s="26"/>
      <c r="JZ202" s="26"/>
      <c r="KA202" s="26"/>
      <c r="KB202" s="26"/>
      <c r="KC202" s="26"/>
      <c r="KD202" s="26"/>
      <c r="KE202" s="26"/>
      <c r="KF202" s="26"/>
      <c r="KG202" s="26"/>
      <c r="KH202" s="26"/>
      <c r="KI202" s="26"/>
      <c r="KJ202" s="26"/>
      <c r="KK202" s="26"/>
      <c r="KL202" s="26"/>
      <c r="KM202" s="26"/>
      <c r="KN202" s="26"/>
      <c r="KO202" s="26"/>
      <c r="KP202" s="26"/>
      <c r="KQ202" s="26"/>
      <c r="KR202" s="26"/>
      <c r="KS202" s="26"/>
      <c r="KT202" s="26"/>
      <c r="KU202" s="26"/>
      <c r="KV202" s="26"/>
      <c r="KW202" s="26"/>
      <c r="KX202" s="26"/>
      <c r="KY202" s="26"/>
      <c r="KZ202" s="26"/>
      <c r="LA202" s="26"/>
      <c r="LB202" s="26"/>
      <c r="LC202" s="26"/>
      <c r="LD202" s="26"/>
      <c r="LE202" s="26"/>
      <c r="LF202" s="26"/>
      <c r="LG202" s="26"/>
      <c r="LH202" s="26"/>
      <c r="LI202" s="26"/>
      <c r="LJ202" s="26"/>
      <c r="LK202" s="26"/>
      <c r="LL202" s="26"/>
      <c r="LM202" s="26"/>
      <c r="LN202" s="26"/>
      <c r="LO202" s="26"/>
      <c r="LP202" s="26"/>
      <c r="LQ202" s="26"/>
      <c r="LR202" s="26"/>
      <c r="LS202" s="26"/>
      <c r="LT202" s="26"/>
      <c r="LU202" s="26"/>
      <c r="LV202" s="26"/>
      <c r="LW202" s="26"/>
      <c r="LX202" s="26"/>
      <c r="LY202" s="26"/>
      <c r="LZ202" s="26"/>
      <c r="MA202" s="26"/>
      <c r="MB202" s="26"/>
      <c r="MC202" s="26"/>
      <c r="MD202" s="26"/>
      <c r="ME202" s="26"/>
      <c r="MF202" s="26"/>
      <c r="MG202" s="26"/>
      <c r="MH202" s="26"/>
      <c r="MI202" s="26"/>
      <c r="MJ202" s="26"/>
      <c r="MK202" s="26"/>
      <c r="ML202" s="26"/>
      <c r="MM202" s="26"/>
      <c r="MN202" s="26"/>
      <c r="MO202" s="26"/>
      <c r="MP202" s="26"/>
      <c r="MQ202" s="26"/>
      <c r="MR202" s="26"/>
      <c r="MS202" s="26"/>
      <c r="MT202" s="26"/>
      <c r="MU202" s="26"/>
      <c r="MV202" s="26"/>
      <c r="MW202" s="26"/>
      <c r="MX202" s="26"/>
      <c r="MY202" s="26"/>
      <c r="MZ202" s="26"/>
      <c r="NA202" s="26"/>
      <c r="NB202" s="26"/>
      <c r="NC202" s="26"/>
      <c r="ND202" s="26"/>
      <c r="NE202" s="26"/>
      <c r="NF202" s="26"/>
      <c r="NG202" s="26"/>
      <c r="NH202" s="26"/>
      <c r="NI202" s="26"/>
      <c r="NJ202" s="26"/>
      <c r="NK202" s="26"/>
      <c r="NL202" s="26"/>
      <c r="NM202" s="26"/>
      <c r="NN202" s="26"/>
      <c r="NO202" s="26"/>
      <c r="NP202" s="26"/>
      <c r="NQ202" s="26"/>
      <c r="NR202" s="26"/>
      <c r="NS202" s="26"/>
      <c r="NT202" s="26"/>
      <c r="NU202" s="26"/>
      <c r="NV202" s="26"/>
      <c r="NW202" s="26"/>
      <c r="NX202" s="26"/>
      <c r="NY202" s="26"/>
      <c r="NZ202" s="26"/>
      <c r="OA202" s="26"/>
      <c r="OB202" s="26"/>
      <c r="OC202" s="26"/>
      <c r="OD202" s="26"/>
      <c r="OE202" s="26"/>
      <c r="OF202" s="26"/>
      <c r="OG202" s="26"/>
      <c r="OH202" s="26"/>
      <c r="OI202" s="26"/>
      <c r="OJ202" s="26"/>
      <c r="OK202" s="26"/>
      <c r="OL202" s="26"/>
      <c r="OM202" s="26"/>
      <c r="ON202" s="26"/>
      <c r="OO202" s="26"/>
      <c r="OP202" s="26"/>
      <c r="OQ202" s="26"/>
      <c r="OR202" s="26"/>
      <c r="OS202" s="26"/>
      <c r="OT202" s="26"/>
      <c r="OU202" s="26"/>
      <c r="OV202" s="26"/>
      <c r="OW202" s="26"/>
      <c r="OX202" s="26"/>
      <c r="OY202" s="26"/>
      <c r="OZ202" s="26"/>
      <c r="PA202" s="26"/>
      <c r="PB202" s="26"/>
      <c r="PC202" s="26"/>
      <c r="PD202" s="26"/>
      <c r="PE202" s="26"/>
      <c r="PF202" s="26"/>
      <c r="PG202" s="26"/>
      <c r="PH202" s="26"/>
      <c r="PI202" s="26"/>
      <c r="PJ202" s="26"/>
      <c r="PK202" s="26"/>
      <c r="PL202" s="26"/>
      <c r="PM202" s="26"/>
      <c r="PN202" s="26"/>
      <c r="PO202" s="26"/>
      <c r="PP202" s="26"/>
      <c r="PQ202" s="26"/>
      <c r="PR202" s="26"/>
      <c r="PS202" s="26"/>
      <c r="PT202" s="26"/>
      <c r="PU202" s="26"/>
      <c r="PV202" s="26"/>
      <c r="PW202" s="26"/>
      <c r="PX202" s="26"/>
      <c r="PY202" s="26"/>
      <c r="PZ202" s="26"/>
      <c r="QA202" s="26"/>
      <c r="QB202" s="26"/>
      <c r="QC202" s="26"/>
      <c r="QD202" s="26"/>
      <c r="QE202" s="26"/>
      <c r="QF202" s="26"/>
      <c r="QG202" s="26"/>
      <c r="QH202" s="26"/>
      <c r="QI202" s="26"/>
      <c r="QJ202" s="26"/>
      <c r="QK202" s="26"/>
      <c r="QL202" s="26"/>
      <c r="QM202" s="26"/>
      <c r="QN202" s="26"/>
      <c r="QO202" s="26"/>
      <c r="QP202" s="26"/>
      <c r="QQ202" s="26"/>
      <c r="QR202" s="26"/>
      <c r="QS202" s="26"/>
      <c r="QT202" s="26"/>
      <c r="QU202" s="26"/>
      <c r="QV202" s="26"/>
      <c r="QW202" s="26"/>
      <c r="QX202" s="26"/>
      <c r="QY202" s="26"/>
      <c r="QZ202" s="26"/>
      <c r="RA202" s="26"/>
      <c r="RB202" s="26"/>
      <c r="RC202" s="26"/>
      <c r="RD202" s="26"/>
      <c r="RE202" s="26"/>
      <c r="RF202" s="26"/>
      <c r="RG202" s="26"/>
      <c r="RH202" s="26"/>
      <c r="RI202" s="26"/>
      <c r="RJ202" s="26"/>
      <c r="RK202" s="26"/>
      <c r="RL202" s="26"/>
      <c r="RM202" s="26"/>
      <c r="RN202" s="26"/>
      <c r="RO202" s="26"/>
      <c r="RP202" s="26"/>
      <c r="RQ202" s="26"/>
      <c r="RR202" s="26"/>
      <c r="RS202" s="26"/>
      <c r="RT202" s="26"/>
      <c r="RU202" s="26"/>
      <c r="RV202" s="26"/>
      <c r="RW202" s="26"/>
      <c r="RX202" s="26"/>
      <c r="RY202" s="26"/>
      <c r="RZ202" s="26"/>
      <c r="SA202" s="26"/>
      <c r="SB202" s="26"/>
      <c r="SC202" s="26"/>
      <c r="SD202" s="26"/>
      <c r="SE202" s="26"/>
      <c r="SF202" s="26"/>
      <c r="SG202" s="26"/>
      <c r="SH202" s="26"/>
      <c r="SI202" s="26"/>
      <c r="SJ202" s="26"/>
      <c r="SK202" s="26"/>
      <c r="SL202" s="26"/>
      <c r="SM202" s="26"/>
      <c r="SN202" s="26"/>
      <c r="SO202" s="26"/>
      <c r="SP202" s="26"/>
      <c r="SQ202" s="26"/>
      <c r="SR202" s="26"/>
      <c r="SS202" s="26"/>
      <c r="ST202" s="26"/>
      <c r="SU202" s="26"/>
      <c r="SV202" s="26"/>
      <c r="SW202" s="26"/>
      <c r="SX202" s="26"/>
      <c r="SY202" s="26"/>
      <c r="SZ202" s="26"/>
      <c r="TA202" s="26"/>
      <c r="TB202" s="26"/>
      <c r="TC202" s="26"/>
      <c r="TD202" s="26"/>
      <c r="TE202" s="26"/>
      <c r="TF202" s="26"/>
      <c r="TG202" s="26"/>
      <c r="TH202" s="26"/>
      <c r="TI202" s="26"/>
    </row>
    <row r="203" spans="1:529" s="23" customFormat="1" ht="27" customHeight="1" x14ac:dyDescent="0.25">
      <c r="A203" s="43" t="s">
        <v>259</v>
      </c>
      <c r="B203" s="44" t="str">
        <f>'дод 4'!A145</f>
        <v>8600</v>
      </c>
      <c r="C203" s="44" t="str">
        <f>'дод 4'!B145</f>
        <v>0170</v>
      </c>
      <c r="D203" s="24" t="str">
        <f>'дод 4'!C145</f>
        <v>Обслуговування місцевого боргу</v>
      </c>
      <c r="E203" s="69">
        <f t="shared" si="132"/>
        <v>712065</v>
      </c>
      <c r="F203" s="69">
        <f>28187+238378+445500</f>
        <v>712065</v>
      </c>
      <c r="G203" s="69"/>
      <c r="H203" s="69"/>
      <c r="I203" s="69"/>
      <c r="J203" s="69">
        <f t="shared" si="134"/>
        <v>0</v>
      </c>
      <c r="K203" s="69"/>
      <c r="L203" s="69"/>
      <c r="M203" s="69"/>
      <c r="N203" s="69"/>
      <c r="O203" s="69"/>
      <c r="P203" s="69">
        <f t="shared" si="133"/>
        <v>712065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  <c r="IW203" s="26"/>
      <c r="IX203" s="26"/>
      <c r="IY203" s="26"/>
      <c r="IZ203" s="26"/>
      <c r="JA203" s="26"/>
      <c r="JB203" s="26"/>
      <c r="JC203" s="26"/>
      <c r="JD203" s="26"/>
      <c r="JE203" s="26"/>
      <c r="JF203" s="26"/>
      <c r="JG203" s="26"/>
      <c r="JH203" s="26"/>
      <c r="JI203" s="26"/>
      <c r="JJ203" s="26"/>
      <c r="JK203" s="26"/>
      <c r="JL203" s="26"/>
      <c r="JM203" s="26"/>
      <c r="JN203" s="26"/>
      <c r="JO203" s="26"/>
      <c r="JP203" s="26"/>
      <c r="JQ203" s="26"/>
      <c r="JR203" s="26"/>
      <c r="JS203" s="26"/>
      <c r="JT203" s="26"/>
      <c r="JU203" s="26"/>
      <c r="JV203" s="26"/>
      <c r="JW203" s="26"/>
      <c r="JX203" s="26"/>
      <c r="JY203" s="26"/>
      <c r="JZ203" s="26"/>
      <c r="KA203" s="26"/>
      <c r="KB203" s="26"/>
      <c r="KC203" s="26"/>
      <c r="KD203" s="26"/>
      <c r="KE203" s="26"/>
      <c r="KF203" s="26"/>
      <c r="KG203" s="26"/>
      <c r="KH203" s="26"/>
      <c r="KI203" s="26"/>
      <c r="KJ203" s="26"/>
      <c r="KK203" s="26"/>
      <c r="KL203" s="26"/>
      <c r="KM203" s="26"/>
      <c r="KN203" s="26"/>
      <c r="KO203" s="26"/>
      <c r="KP203" s="26"/>
      <c r="KQ203" s="26"/>
      <c r="KR203" s="26"/>
      <c r="KS203" s="26"/>
      <c r="KT203" s="26"/>
      <c r="KU203" s="26"/>
      <c r="KV203" s="26"/>
      <c r="KW203" s="26"/>
      <c r="KX203" s="26"/>
      <c r="KY203" s="26"/>
      <c r="KZ203" s="26"/>
      <c r="LA203" s="26"/>
      <c r="LB203" s="26"/>
      <c r="LC203" s="26"/>
      <c r="LD203" s="26"/>
      <c r="LE203" s="26"/>
      <c r="LF203" s="26"/>
      <c r="LG203" s="26"/>
      <c r="LH203" s="26"/>
      <c r="LI203" s="26"/>
      <c r="LJ203" s="26"/>
      <c r="LK203" s="26"/>
      <c r="LL203" s="26"/>
      <c r="LM203" s="26"/>
      <c r="LN203" s="26"/>
      <c r="LO203" s="26"/>
      <c r="LP203" s="26"/>
      <c r="LQ203" s="26"/>
      <c r="LR203" s="26"/>
      <c r="LS203" s="26"/>
      <c r="LT203" s="26"/>
      <c r="LU203" s="26"/>
      <c r="LV203" s="26"/>
      <c r="LW203" s="26"/>
      <c r="LX203" s="26"/>
      <c r="LY203" s="26"/>
      <c r="LZ203" s="26"/>
      <c r="MA203" s="26"/>
      <c r="MB203" s="26"/>
      <c r="MC203" s="26"/>
      <c r="MD203" s="26"/>
      <c r="ME203" s="26"/>
      <c r="MF203" s="26"/>
      <c r="MG203" s="26"/>
      <c r="MH203" s="26"/>
      <c r="MI203" s="26"/>
      <c r="MJ203" s="26"/>
      <c r="MK203" s="26"/>
      <c r="ML203" s="26"/>
      <c r="MM203" s="26"/>
      <c r="MN203" s="26"/>
      <c r="MO203" s="26"/>
      <c r="MP203" s="26"/>
      <c r="MQ203" s="26"/>
      <c r="MR203" s="26"/>
      <c r="MS203" s="26"/>
      <c r="MT203" s="26"/>
      <c r="MU203" s="26"/>
      <c r="MV203" s="26"/>
      <c r="MW203" s="26"/>
      <c r="MX203" s="26"/>
      <c r="MY203" s="26"/>
      <c r="MZ203" s="26"/>
      <c r="NA203" s="26"/>
      <c r="NB203" s="26"/>
      <c r="NC203" s="26"/>
      <c r="ND203" s="26"/>
      <c r="NE203" s="26"/>
      <c r="NF203" s="26"/>
      <c r="NG203" s="26"/>
      <c r="NH203" s="26"/>
      <c r="NI203" s="26"/>
      <c r="NJ203" s="26"/>
      <c r="NK203" s="26"/>
      <c r="NL203" s="26"/>
      <c r="NM203" s="26"/>
      <c r="NN203" s="26"/>
      <c r="NO203" s="26"/>
      <c r="NP203" s="26"/>
      <c r="NQ203" s="26"/>
      <c r="NR203" s="26"/>
      <c r="NS203" s="26"/>
      <c r="NT203" s="26"/>
      <c r="NU203" s="26"/>
      <c r="NV203" s="26"/>
      <c r="NW203" s="26"/>
      <c r="NX203" s="26"/>
      <c r="NY203" s="26"/>
      <c r="NZ203" s="26"/>
      <c r="OA203" s="26"/>
      <c r="OB203" s="26"/>
      <c r="OC203" s="26"/>
      <c r="OD203" s="26"/>
      <c r="OE203" s="26"/>
      <c r="OF203" s="26"/>
      <c r="OG203" s="26"/>
      <c r="OH203" s="26"/>
      <c r="OI203" s="26"/>
      <c r="OJ203" s="26"/>
      <c r="OK203" s="26"/>
      <c r="OL203" s="26"/>
      <c r="OM203" s="26"/>
      <c r="ON203" s="26"/>
      <c r="OO203" s="26"/>
      <c r="OP203" s="26"/>
      <c r="OQ203" s="26"/>
      <c r="OR203" s="26"/>
      <c r="OS203" s="26"/>
      <c r="OT203" s="26"/>
      <c r="OU203" s="26"/>
      <c r="OV203" s="26"/>
      <c r="OW203" s="26"/>
      <c r="OX203" s="26"/>
      <c r="OY203" s="26"/>
      <c r="OZ203" s="26"/>
      <c r="PA203" s="26"/>
      <c r="PB203" s="26"/>
      <c r="PC203" s="26"/>
      <c r="PD203" s="26"/>
      <c r="PE203" s="26"/>
      <c r="PF203" s="26"/>
      <c r="PG203" s="26"/>
      <c r="PH203" s="26"/>
      <c r="PI203" s="26"/>
      <c r="PJ203" s="26"/>
      <c r="PK203" s="26"/>
      <c r="PL203" s="26"/>
      <c r="PM203" s="26"/>
      <c r="PN203" s="26"/>
      <c r="PO203" s="26"/>
      <c r="PP203" s="26"/>
      <c r="PQ203" s="26"/>
      <c r="PR203" s="26"/>
      <c r="PS203" s="26"/>
      <c r="PT203" s="26"/>
      <c r="PU203" s="26"/>
      <c r="PV203" s="26"/>
      <c r="PW203" s="26"/>
      <c r="PX203" s="26"/>
      <c r="PY203" s="26"/>
      <c r="PZ203" s="26"/>
      <c r="QA203" s="26"/>
      <c r="QB203" s="26"/>
      <c r="QC203" s="26"/>
      <c r="QD203" s="26"/>
      <c r="QE203" s="26"/>
      <c r="QF203" s="26"/>
      <c r="QG203" s="26"/>
      <c r="QH203" s="26"/>
      <c r="QI203" s="26"/>
      <c r="QJ203" s="26"/>
      <c r="QK203" s="26"/>
      <c r="QL203" s="26"/>
      <c r="QM203" s="26"/>
      <c r="QN203" s="26"/>
      <c r="QO203" s="26"/>
      <c r="QP203" s="26"/>
      <c r="QQ203" s="26"/>
      <c r="QR203" s="26"/>
      <c r="QS203" s="26"/>
      <c r="QT203" s="26"/>
      <c r="QU203" s="26"/>
      <c r="QV203" s="26"/>
      <c r="QW203" s="26"/>
      <c r="QX203" s="26"/>
      <c r="QY203" s="26"/>
      <c r="QZ203" s="26"/>
      <c r="RA203" s="26"/>
      <c r="RB203" s="26"/>
      <c r="RC203" s="26"/>
      <c r="RD203" s="26"/>
      <c r="RE203" s="26"/>
      <c r="RF203" s="26"/>
      <c r="RG203" s="26"/>
      <c r="RH203" s="26"/>
      <c r="RI203" s="26"/>
      <c r="RJ203" s="26"/>
      <c r="RK203" s="26"/>
      <c r="RL203" s="26"/>
      <c r="RM203" s="26"/>
      <c r="RN203" s="26"/>
      <c r="RO203" s="26"/>
      <c r="RP203" s="26"/>
      <c r="RQ203" s="26"/>
      <c r="RR203" s="26"/>
      <c r="RS203" s="26"/>
      <c r="RT203" s="26"/>
      <c r="RU203" s="26"/>
      <c r="RV203" s="26"/>
      <c r="RW203" s="26"/>
      <c r="RX203" s="26"/>
      <c r="RY203" s="26"/>
      <c r="RZ203" s="26"/>
      <c r="SA203" s="26"/>
      <c r="SB203" s="26"/>
      <c r="SC203" s="26"/>
      <c r="SD203" s="26"/>
      <c r="SE203" s="26"/>
      <c r="SF203" s="26"/>
      <c r="SG203" s="26"/>
      <c r="SH203" s="26"/>
      <c r="SI203" s="26"/>
      <c r="SJ203" s="26"/>
      <c r="SK203" s="26"/>
      <c r="SL203" s="26"/>
      <c r="SM203" s="26"/>
      <c r="SN203" s="26"/>
      <c r="SO203" s="26"/>
      <c r="SP203" s="26"/>
      <c r="SQ203" s="26"/>
      <c r="SR203" s="26"/>
      <c r="SS203" s="26"/>
      <c r="ST203" s="26"/>
      <c r="SU203" s="26"/>
      <c r="SV203" s="26"/>
      <c r="SW203" s="26"/>
      <c r="SX203" s="26"/>
      <c r="SY203" s="26"/>
      <c r="SZ203" s="26"/>
      <c r="TA203" s="26"/>
      <c r="TB203" s="26"/>
      <c r="TC203" s="26"/>
      <c r="TD203" s="26"/>
      <c r="TE203" s="26"/>
      <c r="TF203" s="26"/>
      <c r="TG203" s="26"/>
      <c r="TH203" s="26"/>
      <c r="TI203" s="26"/>
    </row>
    <row r="204" spans="1:529" s="23" customFormat="1" ht="21" customHeight="1" x14ac:dyDescent="0.25">
      <c r="A204" s="43" t="s">
        <v>273</v>
      </c>
      <c r="B204" s="44" t="str">
        <f>'дод 4'!A146</f>
        <v>8700</v>
      </c>
      <c r="C204" s="44" t="str">
        <f>'дод 4'!B146</f>
        <v>0133</v>
      </c>
      <c r="D204" s="24" t="str">
        <f>'дод 4'!C146</f>
        <v>Резервний фонд</v>
      </c>
      <c r="E204" s="69">
        <f>20000000+40000+102390-13000000-1535318</f>
        <v>5607072</v>
      </c>
      <c r="F204" s="69"/>
      <c r="G204" s="69"/>
      <c r="H204" s="69"/>
      <c r="I204" s="69"/>
      <c r="J204" s="69">
        <f t="shared" si="134"/>
        <v>0</v>
      </c>
      <c r="K204" s="69"/>
      <c r="L204" s="69"/>
      <c r="M204" s="69"/>
      <c r="N204" s="69"/>
      <c r="O204" s="69"/>
      <c r="P204" s="69">
        <f t="shared" si="133"/>
        <v>5607072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  <c r="IW204" s="26"/>
      <c r="IX204" s="26"/>
      <c r="IY204" s="26"/>
      <c r="IZ204" s="26"/>
      <c r="JA204" s="26"/>
      <c r="JB204" s="26"/>
      <c r="JC204" s="26"/>
      <c r="JD204" s="26"/>
      <c r="JE204" s="26"/>
      <c r="JF204" s="26"/>
      <c r="JG204" s="26"/>
      <c r="JH204" s="26"/>
      <c r="JI204" s="26"/>
      <c r="JJ204" s="26"/>
      <c r="JK204" s="26"/>
      <c r="JL204" s="26"/>
      <c r="JM204" s="26"/>
      <c r="JN204" s="26"/>
      <c r="JO204" s="26"/>
      <c r="JP204" s="26"/>
      <c r="JQ204" s="26"/>
      <c r="JR204" s="26"/>
      <c r="JS204" s="26"/>
      <c r="JT204" s="26"/>
      <c r="JU204" s="26"/>
      <c r="JV204" s="26"/>
      <c r="JW204" s="26"/>
      <c r="JX204" s="26"/>
      <c r="JY204" s="26"/>
      <c r="JZ204" s="26"/>
      <c r="KA204" s="26"/>
      <c r="KB204" s="26"/>
      <c r="KC204" s="26"/>
      <c r="KD204" s="26"/>
      <c r="KE204" s="26"/>
      <c r="KF204" s="26"/>
      <c r="KG204" s="26"/>
      <c r="KH204" s="26"/>
      <c r="KI204" s="26"/>
      <c r="KJ204" s="26"/>
      <c r="KK204" s="26"/>
      <c r="KL204" s="26"/>
      <c r="KM204" s="26"/>
      <c r="KN204" s="26"/>
      <c r="KO204" s="26"/>
      <c r="KP204" s="26"/>
      <c r="KQ204" s="26"/>
      <c r="KR204" s="26"/>
      <c r="KS204" s="26"/>
      <c r="KT204" s="26"/>
      <c r="KU204" s="26"/>
      <c r="KV204" s="26"/>
      <c r="KW204" s="26"/>
      <c r="KX204" s="26"/>
      <c r="KY204" s="26"/>
      <c r="KZ204" s="26"/>
      <c r="LA204" s="26"/>
      <c r="LB204" s="26"/>
      <c r="LC204" s="26"/>
      <c r="LD204" s="26"/>
      <c r="LE204" s="26"/>
      <c r="LF204" s="26"/>
      <c r="LG204" s="26"/>
      <c r="LH204" s="26"/>
      <c r="LI204" s="26"/>
      <c r="LJ204" s="26"/>
      <c r="LK204" s="26"/>
      <c r="LL204" s="26"/>
      <c r="LM204" s="26"/>
      <c r="LN204" s="26"/>
      <c r="LO204" s="26"/>
      <c r="LP204" s="26"/>
      <c r="LQ204" s="26"/>
      <c r="LR204" s="26"/>
      <c r="LS204" s="26"/>
      <c r="LT204" s="26"/>
      <c r="LU204" s="26"/>
      <c r="LV204" s="26"/>
      <c r="LW204" s="26"/>
      <c r="LX204" s="26"/>
      <c r="LY204" s="26"/>
      <c r="LZ204" s="26"/>
      <c r="MA204" s="26"/>
      <c r="MB204" s="26"/>
      <c r="MC204" s="26"/>
      <c r="MD204" s="26"/>
      <c r="ME204" s="26"/>
      <c r="MF204" s="26"/>
      <c r="MG204" s="26"/>
      <c r="MH204" s="26"/>
      <c r="MI204" s="26"/>
      <c r="MJ204" s="26"/>
      <c r="MK204" s="26"/>
      <c r="ML204" s="26"/>
      <c r="MM204" s="26"/>
      <c r="MN204" s="26"/>
      <c r="MO204" s="26"/>
      <c r="MP204" s="26"/>
      <c r="MQ204" s="26"/>
      <c r="MR204" s="26"/>
      <c r="MS204" s="26"/>
      <c r="MT204" s="26"/>
      <c r="MU204" s="26"/>
      <c r="MV204" s="26"/>
      <c r="MW204" s="26"/>
      <c r="MX204" s="26"/>
      <c r="MY204" s="26"/>
      <c r="MZ204" s="26"/>
      <c r="NA204" s="26"/>
      <c r="NB204" s="26"/>
      <c r="NC204" s="26"/>
      <c r="ND204" s="26"/>
      <c r="NE204" s="26"/>
      <c r="NF204" s="26"/>
      <c r="NG204" s="26"/>
      <c r="NH204" s="26"/>
      <c r="NI204" s="26"/>
      <c r="NJ204" s="26"/>
      <c r="NK204" s="26"/>
      <c r="NL204" s="26"/>
      <c r="NM204" s="26"/>
      <c r="NN204" s="26"/>
      <c r="NO204" s="26"/>
      <c r="NP204" s="26"/>
      <c r="NQ204" s="26"/>
      <c r="NR204" s="26"/>
      <c r="NS204" s="26"/>
      <c r="NT204" s="26"/>
      <c r="NU204" s="26"/>
      <c r="NV204" s="26"/>
      <c r="NW204" s="26"/>
      <c r="NX204" s="26"/>
      <c r="NY204" s="26"/>
      <c r="NZ204" s="26"/>
      <c r="OA204" s="26"/>
      <c r="OB204" s="26"/>
      <c r="OC204" s="26"/>
      <c r="OD204" s="26"/>
      <c r="OE204" s="26"/>
      <c r="OF204" s="26"/>
      <c r="OG204" s="26"/>
      <c r="OH204" s="26"/>
      <c r="OI204" s="26"/>
      <c r="OJ204" s="26"/>
      <c r="OK204" s="26"/>
      <c r="OL204" s="26"/>
      <c r="OM204" s="26"/>
      <c r="ON204" s="26"/>
      <c r="OO204" s="26"/>
      <c r="OP204" s="26"/>
      <c r="OQ204" s="26"/>
      <c r="OR204" s="26"/>
      <c r="OS204" s="26"/>
      <c r="OT204" s="26"/>
      <c r="OU204" s="26"/>
      <c r="OV204" s="26"/>
      <c r="OW204" s="26"/>
      <c r="OX204" s="26"/>
      <c r="OY204" s="26"/>
      <c r="OZ204" s="26"/>
      <c r="PA204" s="26"/>
      <c r="PB204" s="26"/>
      <c r="PC204" s="26"/>
      <c r="PD204" s="26"/>
      <c r="PE204" s="26"/>
      <c r="PF204" s="26"/>
      <c r="PG204" s="26"/>
      <c r="PH204" s="26"/>
      <c r="PI204" s="26"/>
      <c r="PJ204" s="26"/>
      <c r="PK204" s="26"/>
      <c r="PL204" s="26"/>
      <c r="PM204" s="26"/>
      <c r="PN204" s="26"/>
      <c r="PO204" s="26"/>
      <c r="PP204" s="26"/>
      <c r="PQ204" s="26"/>
      <c r="PR204" s="26"/>
      <c r="PS204" s="26"/>
      <c r="PT204" s="26"/>
      <c r="PU204" s="26"/>
      <c r="PV204" s="26"/>
      <c r="PW204" s="26"/>
      <c r="PX204" s="26"/>
      <c r="PY204" s="26"/>
      <c r="PZ204" s="26"/>
      <c r="QA204" s="26"/>
      <c r="QB204" s="26"/>
      <c r="QC204" s="26"/>
      <c r="QD204" s="26"/>
      <c r="QE204" s="26"/>
      <c r="QF204" s="26"/>
      <c r="QG204" s="26"/>
      <c r="QH204" s="26"/>
      <c r="QI204" s="26"/>
      <c r="QJ204" s="26"/>
      <c r="QK204" s="26"/>
      <c r="QL204" s="26"/>
      <c r="QM204" s="26"/>
      <c r="QN204" s="26"/>
      <c r="QO204" s="26"/>
      <c r="QP204" s="26"/>
      <c r="QQ204" s="26"/>
      <c r="QR204" s="26"/>
      <c r="QS204" s="26"/>
      <c r="QT204" s="26"/>
      <c r="QU204" s="26"/>
      <c r="QV204" s="26"/>
      <c r="QW204" s="26"/>
      <c r="QX204" s="26"/>
      <c r="QY204" s="26"/>
      <c r="QZ204" s="26"/>
      <c r="RA204" s="26"/>
      <c r="RB204" s="26"/>
      <c r="RC204" s="26"/>
      <c r="RD204" s="26"/>
      <c r="RE204" s="26"/>
      <c r="RF204" s="26"/>
      <c r="RG204" s="26"/>
      <c r="RH204" s="26"/>
      <c r="RI204" s="26"/>
      <c r="RJ204" s="26"/>
      <c r="RK204" s="26"/>
      <c r="RL204" s="26"/>
      <c r="RM204" s="26"/>
      <c r="RN204" s="26"/>
      <c r="RO204" s="26"/>
      <c r="RP204" s="26"/>
      <c r="RQ204" s="26"/>
      <c r="RR204" s="26"/>
      <c r="RS204" s="26"/>
      <c r="RT204" s="26"/>
      <c r="RU204" s="26"/>
      <c r="RV204" s="26"/>
      <c r="RW204" s="26"/>
      <c r="RX204" s="26"/>
      <c r="RY204" s="26"/>
      <c r="RZ204" s="26"/>
      <c r="SA204" s="26"/>
      <c r="SB204" s="26"/>
      <c r="SC204" s="26"/>
      <c r="SD204" s="26"/>
      <c r="SE204" s="26"/>
      <c r="SF204" s="26"/>
      <c r="SG204" s="26"/>
      <c r="SH204" s="26"/>
      <c r="SI204" s="26"/>
      <c r="SJ204" s="26"/>
      <c r="SK204" s="26"/>
      <c r="SL204" s="26"/>
      <c r="SM204" s="26"/>
      <c r="SN204" s="26"/>
      <c r="SO204" s="26"/>
      <c r="SP204" s="26"/>
      <c r="SQ204" s="26"/>
      <c r="SR204" s="26"/>
      <c r="SS204" s="26"/>
      <c r="ST204" s="26"/>
      <c r="SU204" s="26"/>
      <c r="SV204" s="26"/>
      <c r="SW204" s="26"/>
      <c r="SX204" s="26"/>
      <c r="SY204" s="26"/>
      <c r="SZ204" s="26"/>
      <c r="TA204" s="26"/>
      <c r="TB204" s="26"/>
      <c r="TC204" s="26"/>
      <c r="TD204" s="26"/>
      <c r="TE204" s="26"/>
      <c r="TF204" s="26"/>
      <c r="TG204" s="26"/>
      <c r="TH204" s="26"/>
      <c r="TI204" s="26"/>
    </row>
    <row r="205" spans="1:529" s="23" customFormat="1" ht="22.5" customHeight="1" x14ac:dyDescent="0.25">
      <c r="A205" s="43" t="s">
        <v>274</v>
      </c>
      <c r="B205" s="44" t="str">
        <f>'дод 4'!A149</f>
        <v>9110</v>
      </c>
      <c r="C205" s="44" t="str">
        <f>'дод 4'!B149</f>
        <v>0180</v>
      </c>
      <c r="D205" s="24" t="str">
        <f>'дод 4'!C149</f>
        <v>Реверсна дотація</v>
      </c>
      <c r="E205" s="69">
        <f>F205+I205</f>
        <v>108116600</v>
      </c>
      <c r="F205" s="69">
        <v>108116600</v>
      </c>
      <c r="G205" s="69"/>
      <c r="H205" s="69"/>
      <c r="I205" s="69"/>
      <c r="J205" s="69">
        <f t="shared" si="134"/>
        <v>0</v>
      </c>
      <c r="K205" s="69"/>
      <c r="L205" s="69"/>
      <c r="M205" s="69"/>
      <c r="N205" s="69"/>
      <c r="O205" s="69"/>
      <c r="P205" s="69">
        <f t="shared" si="133"/>
        <v>108116600</v>
      </c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  <c r="IW205" s="26"/>
      <c r="IX205" s="26"/>
      <c r="IY205" s="26"/>
      <c r="IZ205" s="26"/>
      <c r="JA205" s="26"/>
      <c r="JB205" s="26"/>
      <c r="JC205" s="26"/>
      <c r="JD205" s="26"/>
      <c r="JE205" s="26"/>
      <c r="JF205" s="26"/>
      <c r="JG205" s="26"/>
      <c r="JH205" s="26"/>
      <c r="JI205" s="26"/>
      <c r="JJ205" s="26"/>
      <c r="JK205" s="26"/>
      <c r="JL205" s="26"/>
      <c r="JM205" s="26"/>
      <c r="JN205" s="26"/>
      <c r="JO205" s="26"/>
      <c r="JP205" s="26"/>
      <c r="JQ205" s="26"/>
      <c r="JR205" s="26"/>
      <c r="JS205" s="26"/>
      <c r="JT205" s="26"/>
      <c r="JU205" s="26"/>
      <c r="JV205" s="26"/>
      <c r="JW205" s="26"/>
      <c r="JX205" s="26"/>
      <c r="JY205" s="26"/>
      <c r="JZ205" s="26"/>
      <c r="KA205" s="26"/>
      <c r="KB205" s="26"/>
      <c r="KC205" s="26"/>
      <c r="KD205" s="26"/>
      <c r="KE205" s="26"/>
      <c r="KF205" s="26"/>
      <c r="KG205" s="26"/>
      <c r="KH205" s="26"/>
      <c r="KI205" s="26"/>
      <c r="KJ205" s="26"/>
      <c r="KK205" s="26"/>
      <c r="KL205" s="26"/>
      <c r="KM205" s="26"/>
      <c r="KN205" s="26"/>
      <c r="KO205" s="26"/>
      <c r="KP205" s="26"/>
      <c r="KQ205" s="26"/>
      <c r="KR205" s="26"/>
      <c r="KS205" s="26"/>
      <c r="KT205" s="26"/>
      <c r="KU205" s="26"/>
      <c r="KV205" s="26"/>
      <c r="KW205" s="26"/>
      <c r="KX205" s="26"/>
      <c r="KY205" s="26"/>
      <c r="KZ205" s="26"/>
      <c r="LA205" s="26"/>
      <c r="LB205" s="26"/>
      <c r="LC205" s="26"/>
      <c r="LD205" s="26"/>
      <c r="LE205" s="26"/>
      <c r="LF205" s="26"/>
      <c r="LG205" s="26"/>
      <c r="LH205" s="26"/>
      <c r="LI205" s="26"/>
      <c r="LJ205" s="26"/>
      <c r="LK205" s="26"/>
      <c r="LL205" s="26"/>
      <c r="LM205" s="26"/>
      <c r="LN205" s="26"/>
      <c r="LO205" s="26"/>
      <c r="LP205" s="26"/>
      <c r="LQ205" s="26"/>
      <c r="LR205" s="26"/>
      <c r="LS205" s="26"/>
      <c r="LT205" s="26"/>
      <c r="LU205" s="26"/>
      <c r="LV205" s="26"/>
      <c r="LW205" s="26"/>
      <c r="LX205" s="26"/>
      <c r="LY205" s="26"/>
      <c r="LZ205" s="26"/>
      <c r="MA205" s="26"/>
      <c r="MB205" s="26"/>
      <c r="MC205" s="26"/>
      <c r="MD205" s="26"/>
      <c r="ME205" s="26"/>
      <c r="MF205" s="26"/>
      <c r="MG205" s="26"/>
      <c r="MH205" s="26"/>
      <c r="MI205" s="26"/>
      <c r="MJ205" s="26"/>
      <c r="MK205" s="26"/>
      <c r="ML205" s="26"/>
      <c r="MM205" s="26"/>
      <c r="MN205" s="26"/>
      <c r="MO205" s="26"/>
      <c r="MP205" s="26"/>
      <c r="MQ205" s="26"/>
      <c r="MR205" s="26"/>
      <c r="MS205" s="26"/>
      <c r="MT205" s="26"/>
      <c r="MU205" s="26"/>
      <c r="MV205" s="26"/>
      <c r="MW205" s="26"/>
      <c r="MX205" s="26"/>
      <c r="MY205" s="26"/>
      <c r="MZ205" s="26"/>
      <c r="NA205" s="26"/>
      <c r="NB205" s="26"/>
      <c r="NC205" s="26"/>
      <c r="ND205" s="26"/>
      <c r="NE205" s="26"/>
      <c r="NF205" s="26"/>
      <c r="NG205" s="26"/>
      <c r="NH205" s="26"/>
      <c r="NI205" s="26"/>
      <c r="NJ205" s="26"/>
      <c r="NK205" s="26"/>
      <c r="NL205" s="26"/>
      <c r="NM205" s="26"/>
      <c r="NN205" s="26"/>
      <c r="NO205" s="26"/>
      <c r="NP205" s="26"/>
      <c r="NQ205" s="26"/>
      <c r="NR205" s="26"/>
      <c r="NS205" s="26"/>
      <c r="NT205" s="26"/>
      <c r="NU205" s="26"/>
      <c r="NV205" s="26"/>
      <c r="NW205" s="26"/>
      <c r="NX205" s="26"/>
      <c r="NY205" s="26"/>
      <c r="NZ205" s="26"/>
      <c r="OA205" s="26"/>
      <c r="OB205" s="26"/>
      <c r="OC205" s="26"/>
      <c r="OD205" s="26"/>
      <c r="OE205" s="26"/>
      <c r="OF205" s="26"/>
      <c r="OG205" s="26"/>
      <c r="OH205" s="26"/>
      <c r="OI205" s="26"/>
      <c r="OJ205" s="26"/>
      <c r="OK205" s="26"/>
      <c r="OL205" s="26"/>
      <c r="OM205" s="26"/>
      <c r="ON205" s="26"/>
      <c r="OO205" s="26"/>
      <c r="OP205" s="26"/>
      <c r="OQ205" s="26"/>
      <c r="OR205" s="26"/>
      <c r="OS205" s="26"/>
      <c r="OT205" s="26"/>
      <c r="OU205" s="26"/>
      <c r="OV205" s="26"/>
      <c r="OW205" s="26"/>
      <c r="OX205" s="26"/>
      <c r="OY205" s="26"/>
      <c r="OZ205" s="26"/>
      <c r="PA205" s="26"/>
      <c r="PB205" s="26"/>
      <c r="PC205" s="26"/>
      <c r="PD205" s="26"/>
      <c r="PE205" s="26"/>
      <c r="PF205" s="26"/>
      <c r="PG205" s="26"/>
      <c r="PH205" s="26"/>
      <c r="PI205" s="26"/>
      <c r="PJ205" s="26"/>
      <c r="PK205" s="26"/>
      <c r="PL205" s="26"/>
      <c r="PM205" s="26"/>
      <c r="PN205" s="26"/>
      <c r="PO205" s="26"/>
      <c r="PP205" s="26"/>
      <c r="PQ205" s="26"/>
      <c r="PR205" s="26"/>
      <c r="PS205" s="26"/>
      <c r="PT205" s="26"/>
      <c r="PU205" s="26"/>
      <c r="PV205" s="26"/>
      <c r="PW205" s="26"/>
      <c r="PX205" s="26"/>
      <c r="PY205" s="26"/>
      <c r="PZ205" s="26"/>
      <c r="QA205" s="26"/>
      <c r="QB205" s="26"/>
      <c r="QC205" s="26"/>
      <c r="QD205" s="26"/>
      <c r="QE205" s="26"/>
      <c r="QF205" s="26"/>
      <c r="QG205" s="26"/>
      <c r="QH205" s="26"/>
      <c r="QI205" s="26"/>
      <c r="QJ205" s="26"/>
      <c r="QK205" s="26"/>
      <c r="QL205" s="26"/>
      <c r="QM205" s="26"/>
      <c r="QN205" s="26"/>
      <c r="QO205" s="26"/>
      <c r="QP205" s="26"/>
      <c r="QQ205" s="26"/>
      <c r="QR205" s="26"/>
      <c r="QS205" s="26"/>
      <c r="QT205" s="26"/>
      <c r="QU205" s="26"/>
      <c r="QV205" s="26"/>
      <c r="QW205" s="26"/>
      <c r="QX205" s="26"/>
      <c r="QY205" s="26"/>
      <c r="QZ205" s="26"/>
      <c r="RA205" s="26"/>
      <c r="RB205" s="26"/>
      <c r="RC205" s="26"/>
      <c r="RD205" s="26"/>
      <c r="RE205" s="26"/>
      <c r="RF205" s="26"/>
      <c r="RG205" s="26"/>
      <c r="RH205" s="26"/>
      <c r="RI205" s="26"/>
      <c r="RJ205" s="26"/>
      <c r="RK205" s="26"/>
      <c r="RL205" s="26"/>
      <c r="RM205" s="26"/>
      <c r="RN205" s="26"/>
      <c r="RO205" s="26"/>
      <c r="RP205" s="26"/>
      <c r="RQ205" s="26"/>
      <c r="RR205" s="26"/>
      <c r="RS205" s="26"/>
      <c r="RT205" s="26"/>
      <c r="RU205" s="26"/>
      <c r="RV205" s="26"/>
      <c r="RW205" s="26"/>
      <c r="RX205" s="26"/>
      <c r="RY205" s="26"/>
      <c r="RZ205" s="26"/>
      <c r="SA205" s="26"/>
      <c r="SB205" s="26"/>
      <c r="SC205" s="26"/>
      <c r="SD205" s="26"/>
      <c r="SE205" s="26"/>
      <c r="SF205" s="26"/>
      <c r="SG205" s="26"/>
      <c r="SH205" s="26"/>
      <c r="SI205" s="26"/>
      <c r="SJ205" s="26"/>
      <c r="SK205" s="26"/>
      <c r="SL205" s="26"/>
      <c r="SM205" s="26"/>
      <c r="SN205" s="26"/>
      <c r="SO205" s="26"/>
      <c r="SP205" s="26"/>
      <c r="SQ205" s="26"/>
      <c r="SR205" s="26"/>
      <c r="SS205" s="26"/>
      <c r="ST205" s="26"/>
      <c r="SU205" s="26"/>
      <c r="SV205" s="26"/>
      <c r="SW205" s="26"/>
      <c r="SX205" s="26"/>
      <c r="SY205" s="26"/>
      <c r="SZ205" s="26"/>
      <c r="TA205" s="26"/>
      <c r="TB205" s="26"/>
      <c r="TC205" s="26"/>
      <c r="TD205" s="26"/>
      <c r="TE205" s="26"/>
      <c r="TF205" s="26"/>
      <c r="TG205" s="26"/>
      <c r="TH205" s="26"/>
      <c r="TI205" s="26"/>
    </row>
    <row r="206" spans="1:529" s="31" customFormat="1" ht="24.75" customHeight="1" x14ac:dyDescent="0.2">
      <c r="A206" s="90"/>
      <c r="B206" s="74"/>
      <c r="C206" s="79"/>
      <c r="D206" s="30" t="s">
        <v>27</v>
      </c>
      <c r="E206" s="66">
        <f t="shared" ref="E206:P206" si="135">E18+E52+E79+E98+E120+E125+E135+E163+E166+E180+E185+E188+E196</f>
        <v>2076398964.5900002</v>
      </c>
      <c r="F206" s="66">
        <f t="shared" si="135"/>
        <v>2007780454.5900002</v>
      </c>
      <c r="G206" s="66">
        <f t="shared" si="135"/>
        <v>908559932</v>
      </c>
      <c r="H206" s="66">
        <f t="shared" si="135"/>
        <v>119078887</v>
      </c>
      <c r="I206" s="66">
        <f t="shared" si="135"/>
        <v>63011438</v>
      </c>
      <c r="J206" s="66">
        <f t="shared" si="135"/>
        <v>607265101.1099999</v>
      </c>
      <c r="K206" s="66">
        <f t="shared" si="135"/>
        <v>446613854.47000003</v>
      </c>
      <c r="L206" s="66">
        <f t="shared" si="135"/>
        <v>144233011.00999999</v>
      </c>
      <c r="M206" s="66">
        <f t="shared" si="135"/>
        <v>9012497</v>
      </c>
      <c r="N206" s="66">
        <f t="shared" si="135"/>
        <v>3810541</v>
      </c>
      <c r="O206" s="66">
        <f t="shared" si="135"/>
        <v>463032090.10000002</v>
      </c>
      <c r="P206" s="66">
        <f t="shared" si="135"/>
        <v>2683664065.6999998</v>
      </c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  <c r="IV206" s="38"/>
      <c r="IW206" s="38"/>
      <c r="IX206" s="38"/>
      <c r="IY206" s="38"/>
      <c r="IZ206" s="38"/>
      <c r="JA206" s="38"/>
      <c r="JB206" s="38"/>
      <c r="JC206" s="38"/>
      <c r="JD206" s="38"/>
      <c r="JE206" s="38"/>
      <c r="JF206" s="38"/>
      <c r="JG206" s="38"/>
      <c r="JH206" s="38"/>
      <c r="JI206" s="38"/>
      <c r="JJ206" s="38"/>
      <c r="JK206" s="38"/>
      <c r="JL206" s="38"/>
      <c r="JM206" s="38"/>
      <c r="JN206" s="38"/>
      <c r="JO206" s="38"/>
      <c r="JP206" s="38"/>
      <c r="JQ206" s="38"/>
      <c r="JR206" s="38"/>
      <c r="JS206" s="38"/>
      <c r="JT206" s="38"/>
      <c r="JU206" s="38"/>
      <c r="JV206" s="38"/>
      <c r="JW206" s="38"/>
      <c r="JX206" s="38"/>
      <c r="JY206" s="38"/>
      <c r="JZ206" s="38"/>
      <c r="KA206" s="38"/>
      <c r="KB206" s="38"/>
      <c r="KC206" s="38"/>
      <c r="KD206" s="38"/>
      <c r="KE206" s="38"/>
      <c r="KF206" s="38"/>
      <c r="KG206" s="38"/>
      <c r="KH206" s="38"/>
      <c r="KI206" s="38"/>
      <c r="KJ206" s="38"/>
      <c r="KK206" s="38"/>
      <c r="KL206" s="38"/>
      <c r="KM206" s="38"/>
      <c r="KN206" s="38"/>
      <c r="KO206" s="38"/>
      <c r="KP206" s="38"/>
      <c r="KQ206" s="38"/>
      <c r="KR206" s="38"/>
      <c r="KS206" s="38"/>
      <c r="KT206" s="38"/>
      <c r="KU206" s="38"/>
      <c r="KV206" s="38"/>
      <c r="KW206" s="38"/>
      <c r="KX206" s="38"/>
      <c r="KY206" s="38"/>
      <c r="KZ206" s="38"/>
      <c r="LA206" s="38"/>
      <c r="LB206" s="38"/>
      <c r="LC206" s="38"/>
      <c r="LD206" s="38"/>
      <c r="LE206" s="38"/>
      <c r="LF206" s="38"/>
      <c r="LG206" s="38"/>
      <c r="LH206" s="38"/>
      <c r="LI206" s="38"/>
      <c r="LJ206" s="38"/>
      <c r="LK206" s="38"/>
      <c r="LL206" s="38"/>
      <c r="LM206" s="38"/>
      <c r="LN206" s="38"/>
      <c r="LO206" s="38"/>
      <c r="LP206" s="38"/>
      <c r="LQ206" s="38"/>
      <c r="LR206" s="38"/>
      <c r="LS206" s="38"/>
      <c r="LT206" s="38"/>
      <c r="LU206" s="38"/>
      <c r="LV206" s="38"/>
      <c r="LW206" s="38"/>
      <c r="LX206" s="38"/>
      <c r="LY206" s="38"/>
      <c r="LZ206" s="38"/>
      <c r="MA206" s="38"/>
      <c r="MB206" s="38"/>
      <c r="MC206" s="38"/>
      <c r="MD206" s="38"/>
      <c r="ME206" s="38"/>
      <c r="MF206" s="38"/>
      <c r="MG206" s="38"/>
      <c r="MH206" s="38"/>
      <c r="MI206" s="38"/>
      <c r="MJ206" s="38"/>
      <c r="MK206" s="38"/>
      <c r="ML206" s="38"/>
      <c r="MM206" s="38"/>
      <c r="MN206" s="38"/>
      <c r="MO206" s="38"/>
      <c r="MP206" s="38"/>
      <c r="MQ206" s="38"/>
      <c r="MR206" s="38"/>
      <c r="MS206" s="38"/>
      <c r="MT206" s="38"/>
      <c r="MU206" s="38"/>
      <c r="MV206" s="38"/>
      <c r="MW206" s="38"/>
      <c r="MX206" s="38"/>
      <c r="MY206" s="38"/>
      <c r="MZ206" s="38"/>
      <c r="NA206" s="38"/>
      <c r="NB206" s="38"/>
      <c r="NC206" s="38"/>
      <c r="ND206" s="38"/>
      <c r="NE206" s="38"/>
      <c r="NF206" s="38"/>
      <c r="NG206" s="38"/>
      <c r="NH206" s="38"/>
      <c r="NI206" s="38"/>
      <c r="NJ206" s="38"/>
      <c r="NK206" s="38"/>
      <c r="NL206" s="38"/>
      <c r="NM206" s="38"/>
      <c r="NN206" s="38"/>
      <c r="NO206" s="38"/>
      <c r="NP206" s="38"/>
      <c r="NQ206" s="38"/>
      <c r="NR206" s="38"/>
      <c r="NS206" s="38"/>
      <c r="NT206" s="38"/>
      <c r="NU206" s="38"/>
      <c r="NV206" s="38"/>
      <c r="NW206" s="38"/>
      <c r="NX206" s="38"/>
      <c r="NY206" s="38"/>
      <c r="NZ206" s="38"/>
      <c r="OA206" s="38"/>
      <c r="OB206" s="38"/>
      <c r="OC206" s="38"/>
      <c r="OD206" s="38"/>
      <c r="OE206" s="38"/>
      <c r="OF206" s="38"/>
      <c r="OG206" s="38"/>
      <c r="OH206" s="38"/>
      <c r="OI206" s="38"/>
      <c r="OJ206" s="38"/>
      <c r="OK206" s="38"/>
      <c r="OL206" s="38"/>
      <c r="OM206" s="38"/>
      <c r="ON206" s="38"/>
      <c r="OO206" s="38"/>
      <c r="OP206" s="38"/>
      <c r="OQ206" s="38"/>
      <c r="OR206" s="38"/>
      <c r="OS206" s="38"/>
      <c r="OT206" s="38"/>
      <c r="OU206" s="38"/>
      <c r="OV206" s="38"/>
      <c r="OW206" s="38"/>
      <c r="OX206" s="38"/>
      <c r="OY206" s="38"/>
      <c r="OZ206" s="38"/>
      <c r="PA206" s="38"/>
      <c r="PB206" s="38"/>
      <c r="PC206" s="38"/>
      <c r="PD206" s="38"/>
      <c r="PE206" s="38"/>
      <c r="PF206" s="38"/>
      <c r="PG206" s="38"/>
      <c r="PH206" s="38"/>
      <c r="PI206" s="38"/>
      <c r="PJ206" s="38"/>
      <c r="PK206" s="38"/>
      <c r="PL206" s="38"/>
      <c r="PM206" s="38"/>
      <c r="PN206" s="38"/>
      <c r="PO206" s="38"/>
      <c r="PP206" s="38"/>
      <c r="PQ206" s="38"/>
      <c r="PR206" s="38"/>
      <c r="PS206" s="38"/>
      <c r="PT206" s="38"/>
      <c r="PU206" s="38"/>
      <c r="PV206" s="38"/>
      <c r="PW206" s="38"/>
      <c r="PX206" s="38"/>
      <c r="PY206" s="38"/>
      <c r="PZ206" s="38"/>
      <c r="QA206" s="38"/>
      <c r="QB206" s="38"/>
      <c r="QC206" s="38"/>
      <c r="QD206" s="38"/>
      <c r="QE206" s="38"/>
      <c r="QF206" s="38"/>
      <c r="QG206" s="38"/>
      <c r="QH206" s="38"/>
      <c r="QI206" s="38"/>
      <c r="QJ206" s="38"/>
      <c r="QK206" s="38"/>
      <c r="QL206" s="38"/>
      <c r="QM206" s="38"/>
      <c r="QN206" s="38"/>
      <c r="QO206" s="38"/>
      <c r="QP206" s="38"/>
      <c r="QQ206" s="38"/>
      <c r="QR206" s="38"/>
      <c r="QS206" s="38"/>
      <c r="QT206" s="38"/>
      <c r="QU206" s="38"/>
      <c r="QV206" s="38"/>
      <c r="QW206" s="38"/>
      <c r="QX206" s="38"/>
      <c r="QY206" s="38"/>
      <c r="QZ206" s="38"/>
      <c r="RA206" s="38"/>
      <c r="RB206" s="38"/>
      <c r="RC206" s="38"/>
      <c r="RD206" s="38"/>
      <c r="RE206" s="38"/>
      <c r="RF206" s="38"/>
      <c r="RG206" s="38"/>
      <c r="RH206" s="38"/>
      <c r="RI206" s="38"/>
      <c r="RJ206" s="38"/>
      <c r="RK206" s="38"/>
      <c r="RL206" s="38"/>
      <c r="RM206" s="38"/>
      <c r="RN206" s="38"/>
      <c r="RO206" s="38"/>
      <c r="RP206" s="38"/>
      <c r="RQ206" s="38"/>
      <c r="RR206" s="38"/>
      <c r="RS206" s="38"/>
      <c r="RT206" s="38"/>
      <c r="RU206" s="38"/>
      <c r="RV206" s="38"/>
      <c r="RW206" s="38"/>
      <c r="RX206" s="38"/>
      <c r="RY206" s="38"/>
      <c r="RZ206" s="38"/>
      <c r="SA206" s="38"/>
      <c r="SB206" s="38"/>
      <c r="SC206" s="38"/>
      <c r="SD206" s="38"/>
      <c r="SE206" s="38"/>
      <c r="SF206" s="38"/>
      <c r="SG206" s="38"/>
      <c r="SH206" s="38"/>
      <c r="SI206" s="38"/>
      <c r="SJ206" s="38"/>
      <c r="SK206" s="38"/>
      <c r="SL206" s="38"/>
      <c r="SM206" s="38"/>
      <c r="SN206" s="38"/>
      <c r="SO206" s="38"/>
      <c r="SP206" s="38"/>
      <c r="SQ206" s="38"/>
      <c r="SR206" s="38"/>
      <c r="SS206" s="38"/>
      <c r="ST206" s="38"/>
      <c r="SU206" s="38"/>
      <c r="SV206" s="38"/>
      <c r="SW206" s="38"/>
      <c r="SX206" s="38"/>
      <c r="SY206" s="38"/>
      <c r="SZ206" s="38"/>
      <c r="TA206" s="38"/>
      <c r="TB206" s="38"/>
      <c r="TC206" s="38"/>
      <c r="TD206" s="38"/>
      <c r="TE206" s="38"/>
      <c r="TF206" s="38"/>
      <c r="TG206" s="38"/>
      <c r="TH206" s="38"/>
      <c r="TI206" s="38"/>
    </row>
    <row r="207" spans="1:529" s="31" customFormat="1" ht="20.25" customHeight="1" x14ac:dyDescent="0.2">
      <c r="A207" s="90"/>
      <c r="B207" s="74"/>
      <c r="C207" s="79"/>
      <c r="D207" s="30" t="s">
        <v>308</v>
      </c>
      <c r="E207" s="66">
        <f>E54+E81+E137</f>
        <v>443759326</v>
      </c>
      <c r="F207" s="66">
        <f t="shared" ref="F207:P207" si="136">F54+F81+F137</f>
        <v>443759326</v>
      </c>
      <c r="G207" s="66">
        <f t="shared" si="136"/>
        <v>307191100</v>
      </c>
      <c r="H207" s="66">
        <f t="shared" si="136"/>
        <v>0</v>
      </c>
      <c r="I207" s="66">
        <f t="shared" si="136"/>
        <v>0</v>
      </c>
      <c r="J207" s="66">
        <f t="shared" si="136"/>
        <v>82674037.929999992</v>
      </c>
      <c r="K207" s="66">
        <f t="shared" si="136"/>
        <v>2674037.9300000002</v>
      </c>
      <c r="L207" s="66">
        <f t="shared" si="136"/>
        <v>80000000</v>
      </c>
      <c r="M207" s="66">
        <f t="shared" si="136"/>
        <v>0</v>
      </c>
      <c r="N207" s="66">
        <f t="shared" si="136"/>
        <v>0</v>
      </c>
      <c r="O207" s="66">
        <f t="shared" si="136"/>
        <v>2674037.9300000002</v>
      </c>
      <c r="P207" s="66">
        <f t="shared" si="136"/>
        <v>526433363.93000001</v>
      </c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  <c r="IV207" s="38"/>
      <c r="IW207" s="38"/>
      <c r="IX207" s="38"/>
      <c r="IY207" s="38"/>
      <c r="IZ207" s="38"/>
      <c r="JA207" s="38"/>
      <c r="JB207" s="38"/>
      <c r="JC207" s="38"/>
      <c r="JD207" s="38"/>
      <c r="JE207" s="38"/>
      <c r="JF207" s="38"/>
      <c r="JG207" s="38"/>
      <c r="JH207" s="38"/>
      <c r="JI207" s="38"/>
      <c r="JJ207" s="38"/>
      <c r="JK207" s="38"/>
      <c r="JL207" s="38"/>
      <c r="JM207" s="38"/>
      <c r="JN207" s="38"/>
      <c r="JO207" s="38"/>
      <c r="JP207" s="38"/>
      <c r="JQ207" s="38"/>
      <c r="JR207" s="38"/>
      <c r="JS207" s="38"/>
      <c r="JT207" s="38"/>
      <c r="JU207" s="38"/>
      <c r="JV207" s="38"/>
      <c r="JW207" s="38"/>
      <c r="JX207" s="38"/>
      <c r="JY207" s="38"/>
      <c r="JZ207" s="38"/>
      <c r="KA207" s="38"/>
      <c r="KB207" s="38"/>
      <c r="KC207" s="38"/>
      <c r="KD207" s="38"/>
      <c r="KE207" s="38"/>
      <c r="KF207" s="38"/>
      <c r="KG207" s="38"/>
      <c r="KH207" s="38"/>
      <c r="KI207" s="38"/>
      <c r="KJ207" s="38"/>
      <c r="KK207" s="38"/>
      <c r="KL207" s="38"/>
      <c r="KM207" s="38"/>
      <c r="KN207" s="38"/>
      <c r="KO207" s="38"/>
      <c r="KP207" s="38"/>
      <c r="KQ207" s="38"/>
      <c r="KR207" s="38"/>
      <c r="KS207" s="38"/>
      <c r="KT207" s="38"/>
      <c r="KU207" s="38"/>
      <c r="KV207" s="38"/>
      <c r="KW207" s="38"/>
      <c r="KX207" s="38"/>
      <c r="KY207" s="38"/>
      <c r="KZ207" s="38"/>
      <c r="LA207" s="38"/>
      <c r="LB207" s="38"/>
      <c r="LC207" s="38"/>
      <c r="LD207" s="38"/>
      <c r="LE207" s="38"/>
      <c r="LF207" s="38"/>
      <c r="LG207" s="38"/>
      <c r="LH207" s="38"/>
      <c r="LI207" s="38"/>
      <c r="LJ207" s="38"/>
      <c r="LK207" s="38"/>
      <c r="LL207" s="38"/>
      <c r="LM207" s="38"/>
      <c r="LN207" s="38"/>
      <c r="LO207" s="38"/>
      <c r="LP207" s="38"/>
      <c r="LQ207" s="38"/>
      <c r="LR207" s="38"/>
      <c r="LS207" s="38"/>
      <c r="LT207" s="38"/>
      <c r="LU207" s="38"/>
      <c r="LV207" s="38"/>
      <c r="LW207" s="38"/>
      <c r="LX207" s="38"/>
      <c r="LY207" s="38"/>
      <c r="LZ207" s="38"/>
      <c r="MA207" s="38"/>
      <c r="MB207" s="38"/>
      <c r="MC207" s="38"/>
      <c r="MD207" s="38"/>
      <c r="ME207" s="38"/>
      <c r="MF207" s="38"/>
      <c r="MG207" s="38"/>
      <c r="MH207" s="38"/>
      <c r="MI207" s="38"/>
      <c r="MJ207" s="38"/>
      <c r="MK207" s="38"/>
      <c r="ML207" s="38"/>
      <c r="MM207" s="38"/>
      <c r="MN207" s="38"/>
      <c r="MO207" s="38"/>
      <c r="MP207" s="38"/>
      <c r="MQ207" s="38"/>
      <c r="MR207" s="38"/>
      <c r="MS207" s="38"/>
      <c r="MT207" s="38"/>
      <c r="MU207" s="38"/>
      <c r="MV207" s="38"/>
      <c r="MW207" s="38"/>
      <c r="MX207" s="38"/>
      <c r="MY207" s="38"/>
      <c r="MZ207" s="38"/>
      <c r="NA207" s="38"/>
      <c r="NB207" s="38"/>
      <c r="NC207" s="38"/>
      <c r="ND207" s="38"/>
      <c r="NE207" s="38"/>
      <c r="NF207" s="38"/>
      <c r="NG207" s="38"/>
      <c r="NH207" s="38"/>
      <c r="NI207" s="38"/>
      <c r="NJ207" s="38"/>
      <c r="NK207" s="38"/>
      <c r="NL207" s="38"/>
      <c r="NM207" s="38"/>
      <c r="NN207" s="38"/>
      <c r="NO207" s="38"/>
      <c r="NP207" s="38"/>
      <c r="NQ207" s="38"/>
      <c r="NR207" s="38"/>
      <c r="NS207" s="38"/>
      <c r="NT207" s="38"/>
      <c r="NU207" s="38"/>
      <c r="NV207" s="38"/>
      <c r="NW207" s="38"/>
      <c r="NX207" s="38"/>
      <c r="NY207" s="38"/>
      <c r="NZ207" s="38"/>
      <c r="OA207" s="38"/>
      <c r="OB207" s="38"/>
      <c r="OC207" s="38"/>
      <c r="OD207" s="38"/>
      <c r="OE207" s="38"/>
      <c r="OF207" s="38"/>
      <c r="OG207" s="38"/>
      <c r="OH207" s="38"/>
      <c r="OI207" s="38"/>
      <c r="OJ207" s="38"/>
      <c r="OK207" s="38"/>
      <c r="OL207" s="38"/>
      <c r="OM207" s="38"/>
      <c r="ON207" s="38"/>
      <c r="OO207" s="38"/>
      <c r="OP207" s="38"/>
      <c r="OQ207" s="38"/>
      <c r="OR207" s="38"/>
      <c r="OS207" s="38"/>
      <c r="OT207" s="38"/>
      <c r="OU207" s="38"/>
      <c r="OV207" s="38"/>
      <c r="OW207" s="38"/>
      <c r="OX207" s="38"/>
      <c r="OY207" s="38"/>
      <c r="OZ207" s="38"/>
      <c r="PA207" s="38"/>
      <c r="PB207" s="38"/>
      <c r="PC207" s="38"/>
      <c r="PD207" s="38"/>
      <c r="PE207" s="38"/>
      <c r="PF207" s="38"/>
      <c r="PG207" s="38"/>
      <c r="PH207" s="38"/>
      <c r="PI207" s="38"/>
      <c r="PJ207" s="38"/>
      <c r="PK207" s="38"/>
      <c r="PL207" s="38"/>
      <c r="PM207" s="38"/>
      <c r="PN207" s="38"/>
      <c r="PO207" s="38"/>
      <c r="PP207" s="38"/>
      <c r="PQ207" s="38"/>
      <c r="PR207" s="38"/>
      <c r="PS207" s="38"/>
      <c r="PT207" s="38"/>
      <c r="PU207" s="38"/>
      <c r="PV207" s="38"/>
      <c r="PW207" s="38"/>
      <c r="PX207" s="38"/>
      <c r="PY207" s="38"/>
      <c r="PZ207" s="38"/>
      <c r="QA207" s="38"/>
      <c r="QB207" s="38"/>
      <c r="QC207" s="38"/>
      <c r="QD207" s="38"/>
      <c r="QE207" s="38"/>
      <c r="QF207" s="38"/>
      <c r="QG207" s="38"/>
      <c r="QH207" s="38"/>
      <c r="QI207" s="38"/>
      <c r="QJ207" s="38"/>
      <c r="QK207" s="38"/>
      <c r="QL207" s="38"/>
      <c r="QM207" s="38"/>
      <c r="QN207" s="38"/>
      <c r="QO207" s="38"/>
      <c r="QP207" s="38"/>
      <c r="QQ207" s="38"/>
      <c r="QR207" s="38"/>
      <c r="QS207" s="38"/>
      <c r="QT207" s="38"/>
      <c r="QU207" s="38"/>
      <c r="QV207" s="38"/>
      <c r="QW207" s="38"/>
      <c r="QX207" s="38"/>
      <c r="QY207" s="38"/>
      <c r="QZ207" s="38"/>
      <c r="RA207" s="38"/>
      <c r="RB207" s="38"/>
      <c r="RC207" s="38"/>
      <c r="RD207" s="38"/>
      <c r="RE207" s="38"/>
      <c r="RF207" s="38"/>
      <c r="RG207" s="38"/>
      <c r="RH207" s="38"/>
      <c r="RI207" s="38"/>
      <c r="RJ207" s="38"/>
      <c r="RK207" s="38"/>
      <c r="RL207" s="38"/>
      <c r="RM207" s="38"/>
      <c r="RN207" s="38"/>
      <c r="RO207" s="38"/>
      <c r="RP207" s="38"/>
      <c r="RQ207" s="38"/>
      <c r="RR207" s="38"/>
      <c r="RS207" s="38"/>
      <c r="RT207" s="38"/>
      <c r="RU207" s="38"/>
      <c r="RV207" s="38"/>
      <c r="RW207" s="38"/>
      <c r="RX207" s="38"/>
      <c r="RY207" s="38"/>
      <c r="RZ207" s="38"/>
      <c r="SA207" s="38"/>
      <c r="SB207" s="38"/>
      <c r="SC207" s="38"/>
      <c r="SD207" s="38"/>
      <c r="SE207" s="38"/>
      <c r="SF207" s="38"/>
      <c r="SG207" s="38"/>
      <c r="SH207" s="38"/>
      <c r="SI207" s="38"/>
      <c r="SJ207" s="38"/>
      <c r="SK207" s="38"/>
      <c r="SL207" s="38"/>
      <c r="SM207" s="38"/>
      <c r="SN207" s="38"/>
      <c r="SO207" s="38"/>
      <c r="SP207" s="38"/>
      <c r="SQ207" s="38"/>
      <c r="SR207" s="38"/>
      <c r="SS207" s="38"/>
      <c r="ST207" s="38"/>
      <c r="SU207" s="38"/>
      <c r="SV207" s="38"/>
      <c r="SW207" s="38"/>
      <c r="SX207" s="38"/>
      <c r="SY207" s="38"/>
      <c r="SZ207" s="38"/>
      <c r="TA207" s="38"/>
      <c r="TB207" s="38"/>
      <c r="TC207" s="38"/>
      <c r="TD207" s="38"/>
      <c r="TE207" s="38"/>
      <c r="TF207" s="38"/>
      <c r="TG207" s="38"/>
      <c r="TH207" s="38"/>
      <c r="TI207" s="38"/>
    </row>
    <row r="208" spans="1:529" s="34" customFormat="1" x14ac:dyDescent="0.25">
      <c r="A208" s="91"/>
      <c r="B208" s="80"/>
      <c r="C208" s="80"/>
      <c r="D208" s="41"/>
      <c r="E208" s="59">
        <f>E206-'дод 4'!D153</f>
        <v>0</v>
      </c>
      <c r="F208" s="59">
        <f>F206-'дод 4'!E153</f>
        <v>0</v>
      </c>
      <c r="G208" s="59">
        <f>G206-'дод 4'!F153</f>
        <v>0</v>
      </c>
      <c r="H208" s="59">
        <f>H206-'дод 4'!G153</f>
        <v>0</v>
      </c>
      <c r="I208" s="59">
        <f>I206-'дод 4'!H153</f>
        <v>0</v>
      </c>
      <c r="J208" s="59">
        <f>J206-'дод 4'!I153</f>
        <v>0</v>
      </c>
      <c r="K208" s="59">
        <f>K206-'дод 4'!J153</f>
        <v>0</v>
      </c>
      <c r="L208" s="59">
        <f>L206-'дод 4'!K153</f>
        <v>0</v>
      </c>
      <c r="M208" s="59">
        <f>M206-'дод 4'!L153</f>
        <v>0</v>
      </c>
      <c r="N208" s="59">
        <f>N206-'дод 4'!M153</f>
        <v>0</v>
      </c>
      <c r="O208" s="59">
        <f>O206-'дод 4'!N153</f>
        <v>0</v>
      </c>
      <c r="P208" s="59">
        <f>P206-'дод 4'!O153</f>
        <v>0</v>
      </c>
    </row>
    <row r="209" spans="1:24" s="34" customFormat="1" ht="35.25" customHeight="1" x14ac:dyDescent="0.25">
      <c r="A209" s="91"/>
      <c r="B209" s="80"/>
      <c r="C209" s="80"/>
      <c r="D209" s="41"/>
      <c r="E209" s="59">
        <f>E207-'дод 4'!D154</f>
        <v>0</v>
      </c>
      <c r="F209" s="59">
        <f>F207-'дод 4'!E154</f>
        <v>0</v>
      </c>
      <c r="G209" s="59">
        <f>G207-'дод 4'!F154</f>
        <v>0</v>
      </c>
      <c r="H209" s="59">
        <f>H207-'дод 4'!G154</f>
        <v>0</v>
      </c>
      <c r="I209" s="59">
        <f>I207-'дод 4'!H154</f>
        <v>0</v>
      </c>
      <c r="J209" s="59">
        <f>J207-'дод 4'!I154</f>
        <v>0</v>
      </c>
      <c r="K209" s="59">
        <f>K207-'дод 4'!J154</f>
        <v>0</v>
      </c>
      <c r="L209" s="59">
        <f>L207-'дод 4'!K154</f>
        <v>0</v>
      </c>
      <c r="M209" s="59">
        <f>M207-'дод 4'!L154</f>
        <v>0</v>
      </c>
      <c r="N209" s="59">
        <f>N207-'дод 4'!M154</f>
        <v>0</v>
      </c>
      <c r="O209" s="59">
        <f>O207-'дод 4'!N154</f>
        <v>0</v>
      </c>
      <c r="P209" s="59">
        <f>P207-'дод 4'!O154</f>
        <v>0</v>
      </c>
    </row>
    <row r="210" spans="1:24" s="34" customFormat="1" x14ac:dyDescent="0.25">
      <c r="A210" s="91"/>
      <c r="B210" s="80"/>
      <c r="C210" s="80"/>
      <c r="D210" s="41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1:24" s="34" customFormat="1" x14ac:dyDescent="0.25">
      <c r="A211" s="91"/>
      <c r="B211" s="80"/>
      <c r="C211" s="80"/>
      <c r="D211" s="41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1:24" s="34" customFormat="1" ht="31.5" x14ac:dyDescent="0.45">
      <c r="A212" s="138" t="s">
        <v>457</v>
      </c>
      <c r="B212" s="138"/>
      <c r="C212" s="138"/>
      <c r="D212" s="138"/>
      <c r="E212" s="138"/>
      <c r="F212" s="138"/>
      <c r="G212" s="138"/>
      <c r="H212" s="138"/>
      <c r="I212" s="139"/>
      <c r="J212" s="139"/>
      <c r="K212" s="139"/>
      <c r="L212" s="140"/>
      <c r="M212" s="140"/>
      <c r="N212" s="154" t="s">
        <v>458</v>
      </c>
      <c r="O212" s="154"/>
      <c r="P212" s="154"/>
    </row>
    <row r="213" spans="1:24" s="34" customFormat="1" ht="35.25" customHeight="1" x14ac:dyDescent="0.5">
      <c r="A213" s="141"/>
      <c r="B213" s="141"/>
      <c r="C213" s="141"/>
      <c r="D213" s="142"/>
      <c r="E213" s="143"/>
      <c r="F213" s="143"/>
      <c r="G213" s="143"/>
      <c r="H213" s="143"/>
      <c r="I213" s="143"/>
      <c r="J213" s="143"/>
      <c r="K213" s="144"/>
      <c r="L213" s="143"/>
      <c r="M213" s="143"/>
      <c r="Q213" s="93"/>
      <c r="R213" s="93"/>
      <c r="S213" s="93"/>
      <c r="T213" s="93"/>
      <c r="U213" s="93"/>
    </row>
    <row r="214" spans="1:24" s="111" customFormat="1" ht="26.25" x14ac:dyDescent="0.4">
      <c r="A214" s="145" t="s">
        <v>459</v>
      </c>
      <c r="B214" s="112"/>
      <c r="C214" s="112"/>
      <c r="D214" s="109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1:24" s="128" customFormat="1" ht="35.25" x14ac:dyDescent="0.5">
      <c r="A215" s="145" t="s">
        <v>460</v>
      </c>
      <c r="B215" s="112"/>
      <c r="C215" s="112"/>
      <c r="D215" s="109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29"/>
      <c r="R215" s="129"/>
      <c r="S215" s="129"/>
      <c r="T215" s="129"/>
      <c r="U215" s="129"/>
      <c r="V215" s="129"/>
      <c r="W215" s="130"/>
      <c r="X215" s="131"/>
    </row>
    <row r="216" spans="1:24" s="104" customFormat="1" ht="14.25" x14ac:dyDescent="0.2">
      <c r="A216" s="100"/>
      <c r="B216" s="101"/>
      <c r="C216" s="101"/>
      <c r="D216" s="102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</row>
    <row r="217" spans="1:24" s="104" customFormat="1" ht="14.25" x14ac:dyDescent="0.2">
      <c r="A217" s="100"/>
      <c r="B217" s="101"/>
      <c r="C217" s="101"/>
      <c r="D217" s="102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1:24" s="34" customFormat="1" x14ac:dyDescent="0.25">
      <c r="A218" s="91"/>
      <c r="B218" s="108"/>
      <c r="C218" s="108"/>
      <c r="D218" s="41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60"/>
    </row>
    <row r="219" spans="1:24" s="34" customFormat="1" x14ac:dyDescent="0.25">
      <c r="A219" s="91"/>
      <c r="B219" s="108"/>
      <c r="C219" s="108"/>
      <c r="D219" s="41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60"/>
    </row>
    <row r="220" spans="1:24" s="34" customFormat="1" x14ac:dyDescent="0.25">
      <c r="A220" s="91"/>
      <c r="B220" s="108"/>
      <c r="C220" s="108"/>
      <c r="D220" s="41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60"/>
    </row>
    <row r="221" spans="1:24" s="34" customFormat="1" x14ac:dyDescent="0.25">
      <c r="A221" s="91"/>
      <c r="B221" s="108"/>
      <c r="C221" s="108"/>
      <c r="D221" s="41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60"/>
    </row>
    <row r="222" spans="1:24" s="34" customFormat="1" x14ac:dyDescent="0.25">
      <c r="A222" s="91"/>
      <c r="B222" s="108"/>
      <c r="C222" s="108"/>
      <c r="D222" s="41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60"/>
    </row>
    <row r="223" spans="1:24" s="34" customFormat="1" x14ac:dyDescent="0.25">
      <c r="A223" s="91"/>
      <c r="B223" s="80"/>
      <c r="C223" s="80"/>
      <c r="D223" s="41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60"/>
    </row>
    <row r="224" spans="1:24" s="34" customFormat="1" x14ac:dyDescent="0.25">
      <c r="A224" s="91"/>
      <c r="B224" s="80"/>
      <c r="C224" s="80"/>
      <c r="D224" s="41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60"/>
    </row>
    <row r="225" spans="1:16" s="34" customFormat="1" x14ac:dyDescent="0.25">
      <c r="A225" s="91"/>
      <c r="B225" s="80"/>
      <c r="C225" s="80"/>
      <c r="D225" s="41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60"/>
    </row>
    <row r="226" spans="1:16" s="34" customFormat="1" x14ac:dyDescent="0.25">
      <c r="A226" s="91"/>
      <c r="B226" s="80"/>
      <c r="C226" s="80"/>
      <c r="D226" s="41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60"/>
    </row>
    <row r="227" spans="1:16" s="34" customFormat="1" x14ac:dyDescent="0.25">
      <c r="A227" s="91"/>
      <c r="B227" s="80"/>
      <c r="C227" s="80"/>
      <c r="D227" s="41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60"/>
    </row>
    <row r="228" spans="1:16" s="34" customFormat="1" x14ac:dyDescent="0.25">
      <c r="A228" s="91"/>
      <c r="B228" s="80"/>
      <c r="C228" s="80"/>
      <c r="D228" s="41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60"/>
    </row>
    <row r="229" spans="1:16" s="34" customFormat="1" x14ac:dyDescent="0.25">
      <c r="A229" s="91"/>
      <c r="B229" s="80"/>
      <c r="C229" s="80"/>
      <c r="D229" s="41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60"/>
    </row>
    <row r="230" spans="1:16" s="34" customFormat="1" x14ac:dyDescent="0.25">
      <c r="A230" s="91"/>
      <c r="B230" s="80"/>
      <c r="C230" s="80"/>
      <c r="D230" s="41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60"/>
    </row>
    <row r="231" spans="1:16" s="34" customFormat="1" x14ac:dyDescent="0.25">
      <c r="A231" s="91"/>
      <c r="B231" s="80"/>
      <c r="C231" s="80"/>
      <c r="D231" s="41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60"/>
    </row>
    <row r="232" spans="1:16" s="34" customFormat="1" x14ac:dyDescent="0.25">
      <c r="A232" s="91"/>
      <c r="B232" s="80"/>
      <c r="C232" s="80"/>
      <c r="D232" s="41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60"/>
    </row>
    <row r="233" spans="1:16" s="34" customFormat="1" x14ac:dyDescent="0.25">
      <c r="A233" s="91"/>
      <c r="B233" s="80"/>
      <c r="C233" s="80"/>
      <c r="D233" s="41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60"/>
    </row>
    <row r="234" spans="1:16" s="34" customFormat="1" x14ac:dyDescent="0.25">
      <c r="A234" s="91"/>
      <c r="B234" s="80"/>
      <c r="C234" s="80"/>
      <c r="D234" s="41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60"/>
    </row>
    <row r="235" spans="1:16" s="34" customFormat="1" x14ac:dyDescent="0.25">
      <c r="A235" s="91"/>
      <c r="B235" s="80"/>
      <c r="C235" s="80"/>
      <c r="D235" s="41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60"/>
    </row>
    <row r="236" spans="1:16" s="34" customFormat="1" x14ac:dyDescent="0.25">
      <c r="A236" s="91"/>
      <c r="B236" s="80"/>
      <c r="C236" s="80"/>
      <c r="D236" s="41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60"/>
    </row>
    <row r="237" spans="1:16" s="34" customFormat="1" x14ac:dyDescent="0.25">
      <c r="A237" s="91"/>
      <c r="B237" s="80"/>
      <c r="C237" s="80"/>
      <c r="D237" s="41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60"/>
    </row>
    <row r="238" spans="1:16" s="34" customFormat="1" x14ac:dyDescent="0.25">
      <c r="A238" s="91"/>
      <c r="B238" s="80"/>
      <c r="C238" s="80"/>
      <c r="D238" s="41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60"/>
    </row>
    <row r="239" spans="1:16" s="34" customFormat="1" x14ac:dyDescent="0.25">
      <c r="A239" s="91"/>
      <c r="B239" s="80"/>
      <c r="C239" s="80"/>
      <c r="D239" s="41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60"/>
    </row>
    <row r="240" spans="1:16" s="34" customFormat="1" x14ac:dyDescent="0.25">
      <c r="A240" s="91"/>
      <c r="B240" s="80"/>
      <c r="C240" s="80"/>
      <c r="D240" s="41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60"/>
    </row>
    <row r="241" spans="1:16" s="34" customFormat="1" x14ac:dyDescent="0.25">
      <c r="A241" s="91"/>
      <c r="B241" s="80"/>
      <c r="C241" s="80"/>
      <c r="D241" s="41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60"/>
    </row>
    <row r="242" spans="1:16" s="34" customFormat="1" x14ac:dyDescent="0.25">
      <c r="A242" s="91"/>
      <c r="B242" s="80"/>
      <c r="C242" s="80"/>
      <c r="D242" s="41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60"/>
    </row>
    <row r="243" spans="1:16" s="34" customFormat="1" x14ac:dyDescent="0.25">
      <c r="A243" s="91"/>
      <c r="B243" s="80"/>
      <c r="C243" s="80"/>
      <c r="D243" s="41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60"/>
    </row>
    <row r="244" spans="1:16" s="34" customFormat="1" x14ac:dyDescent="0.25">
      <c r="A244" s="91"/>
      <c r="B244" s="80"/>
      <c r="C244" s="80"/>
      <c r="D244" s="41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60"/>
    </row>
    <row r="245" spans="1:16" s="34" customFormat="1" x14ac:dyDescent="0.25">
      <c r="A245" s="91"/>
      <c r="B245" s="80"/>
      <c r="C245" s="80"/>
      <c r="D245" s="41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60"/>
    </row>
    <row r="246" spans="1:16" s="34" customFormat="1" x14ac:dyDescent="0.25">
      <c r="A246" s="91"/>
      <c r="B246" s="80"/>
      <c r="C246" s="80"/>
      <c r="D246" s="41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60"/>
    </row>
    <row r="247" spans="1:16" s="34" customFormat="1" x14ac:dyDescent="0.25">
      <c r="A247" s="91"/>
      <c r="B247" s="80"/>
      <c r="C247" s="80"/>
      <c r="D247" s="41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60"/>
    </row>
    <row r="248" spans="1:16" s="34" customFormat="1" x14ac:dyDescent="0.25">
      <c r="A248" s="91"/>
      <c r="B248" s="80"/>
      <c r="C248" s="80"/>
      <c r="D248" s="41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60"/>
    </row>
    <row r="249" spans="1:16" s="34" customFormat="1" x14ac:dyDescent="0.25">
      <c r="A249" s="91"/>
      <c r="B249" s="80"/>
      <c r="C249" s="80"/>
      <c r="D249" s="41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60"/>
    </row>
    <row r="250" spans="1:16" s="34" customFormat="1" x14ac:dyDescent="0.25">
      <c r="A250" s="91"/>
      <c r="B250" s="80"/>
      <c r="C250" s="80"/>
      <c r="D250" s="41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60"/>
    </row>
    <row r="251" spans="1:16" s="34" customFormat="1" x14ac:dyDescent="0.25">
      <c r="A251" s="91"/>
      <c r="B251" s="80"/>
      <c r="C251" s="80"/>
      <c r="D251" s="41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60"/>
    </row>
    <row r="252" spans="1:16" s="34" customFormat="1" x14ac:dyDescent="0.25">
      <c r="A252" s="91"/>
      <c r="B252" s="80"/>
      <c r="C252" s="80"/>
      <c r="D252" s="41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60"/>
    </row>
    <row r="253" spans="1:16" s="34" customFormat="1" x14ac:dyDescent="0.25">
      <c r="A253" s="91"/>
      <c r="B253" s="80"/>
      <c r="C253" s="80"/>
      <c r="D253" s="41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60"/>
    </row>
    <row r="254" spans="1:16" s="34" customFormat="1" x14ac:dyDescent="0.25">
      <c r="A254" s="91"/>
      <c r="B254" s="80"/>
      <c r="C254" s="80"/>
      <c r="D254" s="41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60"/>
    </row>
    <row r="255" spans="1:16" s="34" customFormat="1" x14ac:dyDescent="0.25">
      <c r="A255" s="91"/>
      <c r="B255" s="80"/>
      <c r="C255" s="80"/>
      <c r="D255" s="41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60"/>
    </row>
    <row r="256" spans="1:16" s="34" customFormat="1" x14ac:dyDescent="0.25">
      <c r="A256" s="91"/>
      <c r="B256" s="80"/>
      <c r="C256" s="80"/>
      <c r="D256" s="41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60"/>
    </row>
    <row r="257" spans="1:16" s="34" customFormat="1" x14ac:dyDescent="0.25">
      <c r="A257" s="91"/>
      <c r="B257" s="80"/>
      <c r="C257" s="80"/>
      <c r="D257" s="41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60"/>
    </row>
    <row r="258" spans="1:16" s="34" customFormat="1" x14ac:dyDescent="0.25">
      <c r="A258" s="91"/>
      <c r="B258" s="80"/>
      <c r="C258" s="80"/>
      <c r="D258" s="41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60"/>
    </row>
    <row r="259" spans="1:16" s="34" customFormat="1" x14ac:dyDescent="0.25">
      <c r="A259" s="91"/>
      <c r="B259" s="80"/>
      <c r="C259" s="80"/>
      <c r="D259" s="41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60"/>
    </row>
    <row r="260" spans="1:16" s="34" customFormat="1" x14ac:dyDescent="0.25">
      <c r="A260" s="91"/>
      <c r="B260" s="80"/>
      <c r="C260" s="80"/>
      <c r="D260" s="41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60"/>
    </row>
    <row r="261" spans="1:16" s="34" customFormat="1" x14ac:dyDescent="0.25">
      <c r="A261" s="91"/>
      <c r="B261" s="80"/>
      <c r="C261" s="80"/>
      <c r="D261" s="41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60"/>
    </row>
    <row r="262" spans="1:16" s="34" customFormat="1" x14ac:dyDescent="0.25">
      <c r="A262" s="91"/>
      <c r="B262" s="80"/>
      <c r="C262" s="80"/>
      <c r="D262" s="41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60"/>
    </row>
    <row r="263" spans="1:16" s="34" customFormat="1" x14ac:dyDescent="0.25">
      <c r="A263" s="91"/>
      <c r="B263" s="80"/>
      <c r="C263" s="80"/>
      <c r="D263" s="41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60"/>
    </row>
    <row r="264" spans="1:16" s="34" customFormat="1" x14ac:dyDescent="0.25">
      <c r="A264" s="91"/>
      <c r="B264" s="80"/>
      <c r="C264" s="80"/>
      <c r="D264" s="41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60"/>
    </row>
    <row r="265" spans="1:16" s="34" customFormat="1" x14ac:dyDescent="0.25">
      <c r="A265" s="91"/>
      <c r="B265" s="80"/>
      <c r="C265" s="80"/>
      <c r="D265" s="41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60"/>
    </row>
    <row r="266" spans="1:16" s="34" customFormat="1" x14ac:dyDescent="0.25">
      <c r="A266" s="91"/>
      <c r="B266" s="80"/>
      <c r="C266" s="80"/>
      <c r="D266" s="41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60"/>
    </row>
    <row r="267" spans="1:16" s="34" customFormat="1" x14ac:dyDescent="0.25">
      <c r="A267" s="91"/>
      <c r="B267" s="80"/>
      <c r="C267" s="80"/>
      <c r="D267" s="41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60"/>
    </row>
    <row r="268" spans="1:16" s="34" customFormat="1" x14ac:dyDescent="0.25">
      <c r="A268" s="91"/>
      <c r="B268" s="80"/>
      <c r="C268" s="80"/>
      <c r="D268" s="41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60"/>
    </row>
    <row r="269" spans="1:16" s="34" customFormat="1" x14ac:dyDescent="0.25">
      <c r="A269" s="91"/>
      <c r="B269" s="80"/>
      <c r="C269" s="80"/>
      <c r="D269" s="41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60"/>
    </row>
    <row r="270" spans="1:16" s="34" customFormat="1" x14ac:dyDescent="0.25">
      <c r="A270" s="91"/>
      <c r="B270" s="80"/>
      <c r="C270" s="80"/>
      <c r="D270" s="41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60"/>
    </row>
    <row r="271" spans="1:16" s="34" customFormat="1" x14ac:dyDescent="0.25">
      <c r="A271" s="91"/>
      <c r="B271" s="80"/>
      <c r="C271" s="80"/>
      <c r="D271" s="41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60"/>
    </row>
    <row r="272" spans="1:16" s="34" customFormat="1" x14ac:dyDescent="0.25">
      <c r="A272" s="91"/>
      <c r="B272" s="80"/>
      <c r="C272" s="80"/>
      <c r="D272" s="41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60"/>
    </row>
    <row r="273" spans="1:16" s="34" customFormat="1" x14ac:dyDescent="0.25">
      <c r="A273" s="91"/>
      <c r="B273" s="80"/>
      <c r="C273" s="80"/>
      <c r="D273" s="41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60"/>
    </row>
    <row r="274" spans="1:16" s="34" customFormat="1" x14ac:dyDescent="0.25">
      <c r="A274" s="91"/>
      <c r="B274" s="80"/>
      <c r="C274" s="80"/>
      <c r="D274" s="41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60"/>
    </row>
    <row r="275" spans="1:16" s="34" customFormat="1" x14ac:dyDescent="0.25">
      <c r="A275" s="91"/>
      <c r="B275" s="80"/>
      <c r="C275" s="80"/>
      <c r="D275" s="41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60"/>
    </row>
    <row r="276" spans="1:16" s="34" customFormat="1" x14ac:dyDescent="0.25">
      <c r="A276" s="91"/>
      <c r="B276" s="80"/>
      <c r="C276" s="80"/>
      <c r="D276" s="41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60"/>
    </row>
    <row r="277" spans="1:16" s="34" customFormat="1" x14ac:dyDescent="0.25">
      <c r="A277" s="91"/>
      <c r="B277" s="80"/>
      <c r="C277" s="80"/>
      <c r="D277" s="41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60"/>
    </row>
    <row r="278" spans="1:16" s="34" customFormat="1" x14ac:dyDescent="0.25">
      <c r="A278" s="91"/>
      <c r="B278" s="80"/>
      <c r="C278" s="80"/>
      <c r="D278" s="41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60"/>
    </row>
    <row r="279" spans="1:16" s="34" customFormat="1" x14ac:dyDescent="0.25">
      <c r="A279" s="91"/>
      <c r="B279" s="80"/>
      <c r="C279" s="80"/>
      <c r="D279" s="41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60"/>
    </row>
    <row r="280" spans="1:16" s="34" customFormat="1" x14ac:dyDescent="0.25">
      <c r="A280" s="91"/>
      <c r="B280" s="80"/>
      <c r="C280" s="80"/>
      <c r="D280" s="41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60"/>
    </row>
    <row r="281" spans="1:16" s="34" customFormat="1" x14ac:dyDescent="0.25">
      <c r="A281" s="91"/>
      <c r="B281" s="80"/>
      <c r="C281" s="80"/>
      <c r="D281" s="41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60"/>
    </row>
    <row r="282" spans="1:16" s="34" customFormat="1" x14ac:dyDescent="0.25">
      <c r="A282" s="91"/>
      <c r="B282" s="80"/>
      <c r="C282" s="80"/>
      <c r="D282" s="41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60"/>
    </row>
    <row r="283" spans="1:16" s="34" customFormat="1" x14ac:dyDescent="0.25">
      <c r="A283" s="91"/>
      <c r="B283" s="80"/>
      <c r="C283" s="80"/>
      <c r="D283" s="41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60"/>
    </row>
    <row r="284" spans="1:16" s="34" customFormat="1" x14ac:dyDescent="0.25">
      <c r="A284" s="91"/>
      <c r="B284" s="80"/>
      <c r="C284" s="80"/>
      <c r="D284" s="41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60"/>
    </row>
    <row r="285" spans="1:16" s="34" customFormat="1" x14ac:dyDescent="0.25">
      <c r="A285" s="91"/>
      <c r="B285" s="80"/>
      <c r="C285" s="80"/>
      <c r="D285" s="41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60"/>
    </row>
    <row r="286" spans="1:16" s="34" customFormat="1" x14ac:dyDescent="0.25">
      <c r="A286" s="91"/>
      <c r="B286" s="80"/>
      <c r="C286" s="80"/>
      <c r="D286" s="41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60"/>
    </row>
    <row r="287" spans="1:16" s="34" customFormat="1" x14ac:dyDescent="0.25">
      <c r="A287" s="91"/>
      <c r="B287" s="80"/>
      <c r="C287" s="80"/>
      <c r="D287" s="41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60"/>
    </row>
    <row r="288" spans="1:16" s="34" customFormat="1" x14ac:dyDescent="0.25">
      <c r="A288" s="91"/>
      <c r="B288" s="80"/>
      <c r="C288" s="80"/>
      <c r="D288" s="41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60"/>
    </row>
    <row r="289" spans="1:16" s="34" customFormat="1" x14ac:dyDescent="0.25">
      <c r="A289" s="91"/>
      <c r="B289" s="80"/>
      <c r="C289" s="80"/>
      <c r="D289" s="41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60"/>
    </row>
    <row r="290" spans="1:16" s="34" customFormat="1" x14ac:dyDescent="0.25">
      <c r="A290" s="91"/>
      <c r="B290" s="80"/>
      <c r="C290" s="80"/>
      <c r="D290" s="41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60"/>
    </row>
    <row r="291" spans="1:16" s="34" customFormat="1" x14ac:dyDescent="0.25">
      <c r="A291" s="91"/>
      <c r="B291" s="80"/>
      <c r="C291" s="80"/>
      <c r="D291" s="41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60"/>
    </row>
    <row r="292" spans="1:16" s="34" customFormat="1" x14ac:dyDescent="0.25">
      <c r="A292" s="91"/>
      <c r="B292" s="80"/>
      <c r="C292" s="80"/>
      <c r="D292" s="41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60"/>
    </row>
    <row r="293" spans="1:16" s="34" customFormat="1" x14ac:dyDescent="0.25">
      <c r="A293" s="91"/>
      <c r="B293" s="80"/>
      <c r="C293" s="80"/>
      <c r="D293" s="41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60"/>
    </row>
    <row r="294" spans="1:16" s="34" customFormat="1" x14ac:dyDescent="0.25">
      <c r="A294" s="91"/>
      <c r="B294" s="80"/>
      <c r="C294" s="80"/>
      <c r="D294" s="41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60"/>
    </row>
    <row r="295" spans="1:16" s="34" customFormat="1" x14ac:dyDescent="0.25">
      <c r="A295" s="91"/>
      <c r="B295" s="80"/>
      <c r="C295" s="80"/>
      <c r="D295" s="41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60"/>
    </row>
    <row r="296" spans="1:16" s="34" customFormat="1" x14ac:dyDescent="0.25">
      <c r="A296" s="91"/>
      <c r="B296" s="80"/>
      <c r="C296" s="80"/>
      <c r="D296" s="41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60"/>
    </row>
    <row r="297" spans="1:16" s="34" customFormat="1" x14ac:dyDescent="0.25">
      <c r="A297" s="91"/>
      <c r="B297" s="80"/>
      <c r="C297" s="80"/>
      <c r="D297" s="41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60"/>
    </row>
    <row r="298" spans="1:16" s="34" customFormat="1" x14ac:dyDescent="0.25">
      <c r="A298" s="91"/>
      <c r="B298" s="80"/>
      <c r="C298" s="80"/>
      <c r="D298" s="41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60"/>
    </row>
    <row r="299" spans="1:16" s="34" customFormat="1" x14ac:dyDescent="0.25">
      <c r="A299" s="91"/>
      <c r="B299" s="80"/>
      <c r="C299" s="80"/>
      <c r="D299" s="41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60"/>
    </row>
    <row r="300" spans="1:16" s="34" customFormat="1" x14ac:dyDescent="0.25">
      <c r="A300" s="91"/>
      <c r="B300" s="80"/>
      <c r="C300" s="80"/>
      <c r="D300" s="41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60"/>
    </row>
    <row r="301" spans="1:16" s="34" customFormat="1" x14ac:dyDescent="0.25">
      <c r="A301" s="91"/>
      <c r="B301" s="80"/>
      <c r="C301" s="80"/>
      <c r="D301" s="41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60"/>
    </row>
    <row r="302" spans="1:16" s="34" customFormat="1" x14ac:dyDescent="0.25">
      <c r="A302" s="91"/>
      <c r="B302" s="80"/>
      <c r="C302" s="80"/>
      <c r="D302" s="41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60"/>
    </row>
    <row r="303" spans="1:16" s="34" customFormat="1" x14ac:dyDescent="0.25">
      <c r="A303" s="91"/>
      <c r="B303" s="80"/>
      <c r="C303" s="80"/>
      <c r="D303" s="41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60"/>
    </row>
    <row r="304" spans="1:16" s="34" customFormat="1" x14ac:dyDescent="0.25">
      <c r="A304" s="91"/>
      <c r="B304" s="80"/>
      <c r="C304" s="80"/>
      <c r="D304" s="41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60"/>
    </row>
    <row r="305" spans="1:16" s="34" customFormat="1" x14ac:dyDescent="0.25">
      <c r="A305" s="91"/>
      <c r="B305" s="80"/>
      <c r="C305" s="80"/>
      <c r="D305" s="41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60"/>
    </row>
    <row r="306" spans="1:16" s="34" customFormat="1" x14ac:dyDescent="0.25">
      <c r="A306" s="91"/>
      <c r="B306" s="80"/>
      <c r="C306" s="80"/>
      <c r="D306" s="41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60"/>
    </row>
    <row r="307" spans="1:16" s="34" customFormat="1" x14ac:dyDescent="0.25">
      <c r="A307" s="91"/>
      <c r="B307" s="80"/>
      <c r="C307" s="80"/>
      <c r="D307" s="41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60"/>
    </row>
    <row r="308" spans="1:16" s="34" customFormat="1" x14ac:dyDescent="0.25">
      <c r="A308" s="91"/>
      <c r="B308" s="80"/>
      <c r="C308" s="80"/>
      <c r="D308" s="41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60"/>
    </row>
    <row r="309" spans="1:16" s="34" customFormat="1" x14ac:dyDescent="0.25">
      <c r="A309" s="91"/>
      <c r="B309" s="80"/>
      <c r="C309" s="80"/>
      <c r="D309" s="41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60"/>
    </row>
    <row r="310" spans="1:16" s="34" customFormat="1" x14ac:dyDescent="0.25">
      <c r="A310" s="91"/>
      <c r="B310" s="80"/>
      <c r="C310" s="80"/>
      <c r="D310" s="41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60"/>
    </row>
    <row r="311" spans="1:16" s="34" customFormat="1" x14ac:dyDescent="0.25">
      <c r="A311" s="91"/>
      <c r="B311" s="80"/>
      <c r="C311" s="80"/>
      <c r="D311" s="41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60"/>
    </row>
    <row r="312" spans="1:16" s="34" customFormat="1" x14ac:dyDescent="0.25">
      <c r="A312" s="91"/>
      <c r="B312" s="80"/>
      <c r="C312" s="80"/>
      <c r="D312" s="41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60"/>
    </row>
    <row r="313" spans="1:16" s="34" customFormat="1" x14ac:dyDescent="0.25">
      <c r="A313" s="91"/>
      <c r="B313" s="80"/>
      <c r="C313" s="80"/>
      <c r="D313" s="41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60"/>
    </row>
    <row r="314" spans="1:16" s="34" customFormat="1" x14ac:dyDescent="0.25">
      <c r="A314" s="91"/>
      <c r="B314" s="80"/>
      <c r="C314" s="80"/>
      <c r="D314" s="41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60"/>
    </row>
    <row r="315" spans="1:16" s="34" customFormat="1" x14ac:dyDescent="0.25">
      <c r="A315" s="91"/>
      <c r="B315" s="80"/>
      <c r="C315" s="80"/>
      <c r="D315" s="41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60"/>
    </row>
    <row r="316" spans="1:16" s="34" customFormat="1" x14ac:dyDescent="0.25">
      <c r="A316" s="91"/>
      <c r="B316" s="80"/>
      <c r="C316" s="80"/>
      <c r="D316" s="41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60"/>
    </row>
    <row r="317" spans="1:16" s="34" customFormat="1" x14ac:dyDescent="0.25">
      <c r="A317" s="91"/>
      <c r="B317" s="80"/>
      <c r="C317" s="80"/>
      <c r="D317" s="41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60"/>
    </row>
    <row r="318" spans="1:16" s="34" customFormat="1" x14ac:dyDescent="0.25">
      <c r="A318" s="91"/>
      <c r="B318" s="80"/>
      <c r="C318" s="80"/>
      <c r="D318" s="41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60"/>
    </row>
    <row r="319" spans="1:16" s="34" customFormat="1" x14ac:dyDescent="0.25">
      <c r="A319" s="91"/>
      <c r="B319" s="80"/>
      <c r="C319" s="80"/>
      <c r="D319" s="41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60"/>
    </row>
    <row r="320" spans="1:16" s="34" customFormat="1" x14ac:dyDescent="0.25">
      <c r="A320" s="91"/>
      <c r="B320" s="80"/>
      <c r="C320" s="80"/>
      <c r="D320" s="41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60"/>
    </row>
    <row r="321" spans="1:16" s="34" customFormat="1" x14ac:dyDescent="0.25">
      <c r="A321" s="91"/>
      <c r="B321" s="80"/>
      <c r="C321" s="80"/>
      <c r="D321" s="41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60"/>
    </row>
    <row r="322" spans="1:16" s="34" customFormat="1" x14ac:dyDescent="0.25">
      <c r="A322" s="91"/>
      <c r="B322" s="80"/>
      <c r="C322" s="80"/>
      <c r="D322" s="41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60"/>
    </row>
    <row r="323" spans="1:16" s="34" customFormat="1" x14ac:dyDescent="0.25">
      <c r="A323" s="91"/>
      <c r="B323" s="80"/>
      <c r="C323" s="80"/>
      <c r="D323" s="41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60"/>
    </row>
    <row r="324" spans="1:16" s="34" customFormat="1" x14ac:dyDescent="0.25">
      <c r="A324" s="91"/>
      <c r="B324" s="80"/>
      <c r="C324" s="80"/>
      <c r="D324" s="41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60"/>
    </row>
    <row r="325" spans="1:16" s="34" customFormat="1" x14ac:dyDescent="0.25">
      <c r="A325" s="91"/>
      <c r="B325" s="80"/>
      <c r="C325" s="80"/>
      <c r="D325" s="41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60"/>
    </row>
    <row r="326" spans="1:16" s="34" customFormat="1" x14ac:dyDescent="0.25">
      <c r="A326" s="91"/>
      <c r="B326" s="80"/>
      <c r="C326" s="80"/>
      <c r="D326" s="41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60"/>
    </row>
    <row r="327" spans="1:16" s="34" customFormat="1" x14ac:dyDescent="0.25">
      <c r="A327" s="91"/>
      <c r="B327" s="80"/>
      <c r="C327" s="80"/>
      <c r="D327" s="41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60"/>
    </row>
    <row r="328" spans="1:16" s="34" customFormat="1" x14ac:dyDescent="0.25">
      <c r="A328" s="91"/>
      <c r="B328" s="80"/>
      <c r="C328" s="80"/>
      <c r="D328" s="41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60"/>
    </row>
    <row r="329" spans="1:16" s="34" customFormat="1" x14ac:dyDescent="0.25">
      <c r="A329" s="91"/>
      <c r="B329" s="80"/>
      <c r="C329" s="80"/>
      <c r="D329" s="41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60"/>
    </row>
    <row r="330" spans="1:16" s="34" customFormat="1" x14ac:dyDescent="0.25">
      <c r="A330" s="91"/>
      <c r="B330" s="80"/>
      <c r="C330" s="80"/>
      <c r="D330" s="41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60"/>
    </row>
    <row r="331" spans="1:16" s="34" customFormat="1" x14ac:dyDescent="0.25">
      <c r="A331" s="91"/>
      <c r="B331" s="80"/>
      <c r="C331" s="80"/>
      <c r="D331" s="41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60"/>
    </row>
    <row r="332" spans="1:16" s="34" customFormat="1" x14ac:dyDescent="0.25">
      <c r="A332" s="91"/>
      <c r="B332" s="80"/>
      <c r="C332" s="80"/>
      <c r="D332" s="41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60"/>
    </row>
    <row r="333" spans="1:16" s="34" customFormat="1" x14ac:dyDescent="0.25">
      <c r="A333" s="91"/>
      <c r="B333" s="80"/>
      <c r="C333" s="80"/>
      <c r="D333" s="41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60"/>
    </row>
    <row r="334" spans="1:16" s="34" customFormat="1" x14ac:dyDescent="0.25">
      <c r="A334" s="91"/>
      <c r="B334" s="80"/>
      <c r="C334" s="80"/>
      <c r="D334" s="41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60"/>
    </row>
    <row r="335" spans="1:16" s="34" customFormat="1" x14ac:dyDescent="0.25">
      <c r="A335" s="91"/>
      <c r="B335" s="80"/>
      <c r="C335" s="80"/>
      <c r="D335" s="41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60"/>
    </row>
    <row r="336" spans="1:16" s="34" customFormat="1" x14ac:dyDescent="0.25">
      <c r="A336" s="91"/>
      <c r="B336" s="80"/>
      <c r="C336" s="80"/>
      <c r="D336" s="41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60"/>
    </row>
    <row r="337" spans="1:16" s="34" customFormat="1" x14ac:dyDescent="0.25">
      <c r="A337" s="91"/>
      <c r="B337" s="80"/>
      <c r="C337" s="80"/>
      <c r="D337" s="41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60"/>
    </row>
    <row r="338" spans="1:16" s="34" customFormat="1" x14ac:dyDescent="0.25">
      <c r="A338" s="91"/>
      <c r="B338" s="80"/>
      <c r="C338" s="80"/>
      <c r="D338" s="41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60"/>
    </row>
    <row r="339" spans="1:16" s="34" customFormat="1" x14ac:dyDescent="0.25">
      <c r="A339" s="91"/>
      <c r="B339" s="80"/>
      <c r="C339" s="80"/>
      <c r="D339" s="41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60"/>
    </row>
    <row r="340" spans="1:16" s="34" customFormat="1" x14ac:dyDescent="0.25">
      <c r="A340" s="91"/>
      <c r="B340" s="80"/>
      <c r="C340" s="80"/>
      <c r="D340" s="41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60"/>
    </row>
    <row r="341" spans="1:16" s="34" customFormat="1" x14ac:dyDescent="0.25">
      <c r="A341" s="91"/>
      <c r="B341" s="80"/>
      <c r="C341" s="80"/>
      <c r="D341" s="41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60"/>
    </row>
    <row r="342" spans="1:16" s="34" customFormat="1" x14ac:dyDescent="0.25">
      <c r="A342" s="91"/>
      <c r="B342" s="80"/>
      <c r="C342" s="80"/>
      <c r="D342" s="41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60"/>
    </row>
    <row r="343" spans="1:16" s="34" customFormat="1" x14ac:dyDescent="0.25">
      <c r="A343" s="91"/>
      <c r="B343" s="80"/>
      <c r="C343" s="80"/>
      <c r="D343" s="41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60"/>
    </row>
    <row r="344" spans="1:16" s="34" customFormat="1" x14ac:dyDescent="0.25">
      <c r="A344" s="91"/>
      <c r="B344" s="80"/>
      <c r="C344" s="80"/>
      <c r="D344" s="41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60"/>
    </row>
    <row r="345" spans="1:16" s="34" customFormat="1" x14ac:dyDescent="0.25">
      <c r="A345" s="91"/>
      <c r="B345" s="80"/>
      <c r="C345" s="80"/>
      <c r="D345" s="41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60"/>
    </row>
    <row r="346" spans="1:16" s="34" customFormat="1" x14ac:dyDescent="0.25">
      <c r="A346" s="91"/>
      <c r="B346" s="80"/>
      <c r="C346" s="80"/>
      <c r="D346" s="41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60"/>
    </row>
    <row r="347" spans="1:16" s="34" customFormat="1" x14ac:dyDescent="0.25">
      <c r="A347" s="91"/>
      <c r="B347" s="80"/>
      <c r="C347" s="80"/>
      <c r="D347" s="41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60"/>
    </row>
    <row r="348" spans="1:16" s="34" customFormat="1" x14ac:dyDescent="0.25">
      <c r="A348" s="91"/>
      <c r="B348" s="80"/>
      <c r="C348" s="80"/>
      <c r="D348" s="41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60"/>
    </row>
    <row r="349" spans="1:16" s="34" customFormat="1" x14ac:dyDescent="0.25">
      <c r="A349" s="91"/>
      <c r="B349" s="80"/>
      <c r="C349" s="80"/>
      <c r="D349" s="41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60"/>
    </row>
    <row r="350" spans="1:16" s="34" customFormat="1" x14ac:dyDescent="0.25">
      <c r="A350" s="91"/>
      <c r="B350" s="80"/>
      <c r="C350" s="80"/>
      <c r="D350" s="41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60"/>
    </row>
    <row r="351" spans="1:16" s="34" customFormat="1" x14ac:dyDescent="0.25">
      <c r="A351" s="91"/>
      <c r="B351" s="80"/>
      <c r="C351" s="80"/>
      <c r="D351" s="41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60"/>
    </row>
    <row r="352" spans="1:16" s="34" customFormat="1" x14ac:dyDescent="0.25">
      <c r="A352" s="91"/>
      <c r="B352" s="80"/>
      <c r="C352" s="80"/>
      <c r="D352" s="41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60"/>
    </row>
    <row r="353" spans="1:16" s="34" customFormat="1" x14ac:dyDescent="0.25">
      <c r="A353" s="91"/>
      <c r="B353" s="80"/>
      <c r="C353" s="80"/>
      <c r="D353" s="41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60"/>
    </row>
    <row r="354" spans="1:16" s="34" customFormat="1" x14ac:dyDescent="0.25">
      <c r="A354" s="91"/>
      <c r="B354" s="80"/>
      <c r="C354" s="80"/>
      <c r="D354" s="41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60"/>
    </row>
    <row r="355" spans="1:16" s="34" customFormat="1" x14ac:dyDescent="0.25">
      <c r="A355" s="91"/>
      <c r="B355" s="80"/>
      <c r="C355" s="80"/>
      <c r="D355" s="41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60"/>
    </row>
    <row r="356" spans="1:16" s="34" customFormat="1" x14ac:dyDescent="0.25">
      <c r="A356" s="91"/>
      <c r="B356" s="80"/>
      <c r="C356" s="80"/>
      <c r="D356" s="41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60"/>
    </row>
    <row r="357" spans="1:16" s="34" customFormat="1" x14ac:dyDescent="0.25">
      <c r="A357" s="91"/>
      <c r="B357" s="80"/>
      <c r="C357" s="80"/>
      <c r="D357" s="41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60"/>
    </row>
    <row r="358" spans="1:16" s="34" customFormat="1" x14ac:dyDescent="0.25">
      <c r="A358" s="91"/>
      <c r="B358" s="80"/>
      <c r="C358" s="80"/>
      <c r="D358" s="41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60"/>
    </row>
    <row r="359" spans="1:16" s="34" customFormat="1" x14ac:dyDescent="0.25">
      <c r="A359" s="91"/>
      <c r="B359" s="80"/>
      <c r="C359" s="80"/>
      <c r="D359" s="41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60"/>
    </row>
    <row r="360" spans="1:16" s="34" customFormat="1" x14ac:dyDescent="0.25">
      <c r="A360" s="91"/>
      <c r="B360" s="80"/>
      <c r="C360" s="80"/>
      <c r="D360" s="41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60"/>
    </row>
    <row r="361" spans="1:16" s="34" customFormat="1" x14ac:dyDescent="0.25">
      <c r="A361" s="91"/>
      <c r="B361" s="80"/>
      <c r="C361" s="80"/>
      <c r="D361" s="41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60"/>
    </row>
    <row r="362" spans="1:16" s="34" customFormat="1" x14ac:dyDescent="0.25">
      <c r="A362" s="91"/>
      <c r="B362" s="80"/>
      <c r="C362" s="80"/>
      <c r="D362" s="41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60"/>
    </row>
    <row r="363" spans="1:16" s="34" customFormat="1" x14ac:dyDescent="0.25">
      <c r="A363" s="91"/>
      <c r="B363" s="80"/>
      <c r="C363" s="80"/>
      <c r="D363" s="41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60"/>
    </row>
    <row r="364" spans="1:16" s="34" customFormat="1" x14ac:dyDescent="0.25">
      <c r="A364" s="91"/>
      <c r="B364" s="80"/>
      <c r="C364" s="80"/>
      <c r="D364" s="41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60"/>
    </row>
    <row r="365" spans="1:16" s="34" customFormat="1" x14ac:dyDescent="0.25">
      <c r="A365" s="91"/>
      <c r="B365" s="80"/>
      <c r="C365" s="80"/>
      <c r="D365" s="41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60"/>
    </row>
    <row r="366" spans="1:16" s="34" customFormat="1" x14ac:dyDescent="0.25">
      <c r="A366" s="91"/>
      <c r="B366" s="80"/>
      <c r="C366" s="80"/>
      <c r="D366" s="41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60"/>
    </row>
    <row r="367" spans="1:16" s="34" customFormat="1" x14ac:dyDescent="0.25">
      <c r="A367" s="91"/>
      <c r="B367" s="80"/>
      <c r="C367" s="80"/>
      <c r="D367" s="41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60"/>
    </row>
    <row r="368" spans="1:16" s="34" customFormat="1" x14ac:dyDescent="0.25">
      <c r="A368" s="91"/>
      <c r="B368" s="80"/>
      <c r="C368" s="80"/>
      <c r="D368" s="41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60"/>
    </row>
    <row r="369" spans="1:16" s="34" customFormat="1" x14ac:dyDescent="0.25">
      <c r="A369" s="91"/>
      <c r="B369" s="80"/>
      <c r="C369" s="80"/>
      <c r="D369" s="41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60"/>
    </row>
    <row r="370" spans="1:16" s="34" customFormat="1" x14ac:dyDescent="0.25">
      <c r="A370" s="91"/>
      <c r="B370" s="80"/>
      <c r="C370" s="80"/>
      <c r="D370" s="41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60"/>
    </row>
    <row r="371" spans="1:16" s="34" customFormat="1" x14ac:dyDescent="0.25">
      <c r="A371" s="91"/>
      <c r="B371" s="80"/>
      <c r="C371" s="80"/>
      <c r="D371" s="41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60"/>
    </row>
    <row r="372" spans="1:16" s="34" customFormat="1" x14ac:dyDescent="0.25">
      <c r="A372" s="91"/>
      <c r="B372" s="80"/>
      <c r="C372" s="80"/>
      <c r="D372" s="41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60"/>
    </row>
    <row r="373" spans="1:16" s="34" customFormat="1" x14ac:dyDescent="0.25">
      <c r="A373" s="91"/>
      <c r="B373" s="80"/>
      <c r="C373" s="80"/>
      <c r="D373" s="41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60"/>
    </row>
    <row r="374" spans="1:16" s="34" customFormat="1" x14ac:dyDescent="0.25">
      <c r="A374" s="91"/>
      <c r="B374" s="80"/>
      <c r="C374" s="80"/>
      <c r="D374" s="41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60"/>
    </row>
    <row r="375" spans="1:16" s="34" customFormat="1" x14ac:dyDescent="0.25">
      <c r="A375" s="91"/>
      <c r="B375" s="80"/>
      <c r="C375" s="80"/>
      <c r="D375" s="41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60"/>
    </row>
    <row r="376" spans="1:16" s="34" customFormat="1" x14ac:dyDescent="0.25">
      <c r="A376" s="91"/>
      <c r="B376" s="80"/>
      <c r="C376" s="80"/>
      <c r="D376" s="41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60"/>
    </row>
    <row r="377" spans="1:16" s="34" customFormat="1" x14ac:dyDescent="0.25">
      <c r="A377" s="91"/>
      <c r="B377" s="80"/>
      <c r="C377" s="80"/>
      <c r="D377" s="41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60"/>
    </row>
    <row r="378" spans="1:16" s="34" customFormat="1" x14ac:dyDescent="0.25">
      <c r="A378" s="91"/>
      <c r="B378" s="80"/>
      <c r="C378" s="80"/>
      <c r="D378" s="41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60"/>
    </row>
    <row r="379" spans="1:16" s="34" customFormat="1" x14ac:dyDescent="0.25">
      <c r="A379" s="91"/>
      <c r="B379" s="80"/>
      <c r="C379" s="80"/>
      <c r="D379" s="41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60"/>
    </row>
    <row r="380" spans="1:16" s="34" customFormat="1" x14ac:dyDescent="0.25">
      <c r="A380" s="91"/>
      <c r="B380" s="80"/>
      <c r="C380" s="80"/>
      <c r="D380" s="41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60"/>
    </row>
    <row r="381" spans="1:16" s="34" customFormat="1" x14ac:dyDescent="0.25">
      <c r="A381" s="91"/>
      <c r="B381" s="80"/>
      <c r="C381" s="80"/>
      <c r="D381" s="41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60"/>
    </row>
    <row r="382" spans="1:16" s="34" customFormat="1" x14ac:dyDescent="0.25">
      <c r="A382" s="91"/>
      <c r="B382" s="80"/>
      <c r="C382" s="80"/>
      <c r="D382" s="41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60"/>
    </row>
    <row r="383" spans="1:16" s="34" customFormat="1" x14ac:dyDescent="0.25">
      <c r="A383" s="91"/>
      <c r="B383" s="80"/>
      <c r="C383" s="80"/>
      <c r="D383" s="41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60"/>
    </row>
    <row r="384" spans="1:16" s="34" customFormat="1" x14ac:dyDescent="0.25">
      <c r="A384" s="91"/>
      <c r="B384" s="80"/>
      <c r="C384" s="80"/>
      <c r="D384" s="41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60"/>
    </row>
    <row r="385" spans="1:16" s="34" customFormat="1" x14ac:dyDescent="0.25">
      <c r="A385" s="91"/>
      <c r="B385" s="80"/>
      <c r="C385" s="80"/>
      <c r="D385" s="41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60"/>
    </row>
    <row r="386" spans="1:16" s="34" customFormat="1" x14ac:dyDescent="0.25">
      <c r="A386" s="91"/>
      <c r="B386" s="80"/>
      <c r="C386" s="80"/>
      <c r="D386" s="41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60"/>
    </row>
    <row r="387" spans="1:16" s="34" customFormat="1" x14ac:dyDescent="0.25">
      <c r="A387" s="91"/>
      <c r="B387" s="80"/>
      <c r="C387" s="80"/>
      <c r="D387" s="41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60"/>
    </row>
    <row r="388" spans="1:16" s="34" customFormat="1" x14ac:dyDescent="0.25">
      <c r="A388" s="91"/>
      <c r="B388" s="80"/>
      <c r="C388" s="80"/>
      <c r="D388" s="41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60"/>
    </row>
    <row r="389" spans="1:16" s="34" customFormat="1" x14ac:dyDescent="0.25">
      <c r="A389" s="91"/>
      <c r="B389" s="80"/>
      <c r="C389" s="80"/>
      <c r="D389" s="41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60"/>
    </row>
    <row r="390" spans="1:16" s="34" customFormat="1" x14ac:dyDescent="0.25">
      <c r="A390" s="91"/>
      <c r="B390" s="80"/>
      <c r="C390" s="80"/>
      <c r="D390" s="41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60"/>
    </row>
    <row r="391" spans="1:16" s="34" customFormat="1" x14ac:dyDescent="0.25">
      <c r="A391" s="91"/>
      <c r="B391" s="80"/>
      <c r="C391" s="80"/>
      <c r="D391" s="41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60"/>
    </row>
    <row r="392" spans="1:16" s="34" customFormat="1" x14ac:dyDescent="0.25">
      <c r="A392" s="91"/>
      <c r="B392" s="80"/>
      <c r="C392" s="80"/>
      <c r="D392" s="41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60"/>
    </row>
    <row r="393" spans="1:16" s="34" customFormat="1" x14ac:dyDescent="0.25">
      <c r="A393" s="91"/>
      <c r="B393" s="80"/>
      <c r="C393" s="80"/>
      <c r="D393" s="41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60"/>
    </row>
    <row r="394" spans="1:16" s="34" customFormat="1" x14ac:dyDescent="0.25">
      <c r="A394" s="91"/>
      <c r="B394" s="80"/>
      <c r="C394" s="80"/>
      <c r="D394" s="41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60"/>
    </row>
    <row r="395" spans="1:16" s="34" customFormat="1" x14ac:dyDescent="0.25">
      <c r="A395" s="91"/>
      <c r="B395" s="80"/>
      <c r="C395" s="80"/>
      <c r="D395" s="41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60"/>
    </row>
    <row r="396" spans="1:16" s="34" customFormat="1" x14ac:dyDescent="0.25">
      <c r="A396" s="91"/>
      <c r="B396" s="80"/>
      <c r="C396" s="80"/>
      <c r="D396" s="41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60"/>
    </row>
    <row r="397" spans="1:16" s="34" customFormat="1" x14ac:dyDescent="0.25">
      <c r="A397" s="91"/>
      <c r="B397" s="80"/>
      <c r="C397" s="80"/>
      <c r="D397" s="41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60"/>
    </row>
    <row r="398" spans="1:16" s="34" customFormat="1" x14ac:dyDescent="0.25">
      <c r="A398" s="91"/>
      <c r="B398" s="80"/>
      <c r="C398" s="80"/>
      <c r="D398" s="41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60"/>
    </row>
    <row r="399" spans="1:16" s="34" customFormat="1" x14ac:dyDescent="0.25">
      <c r="A399" s="91"/>
      <c r="B399" s="80"/>
      <c r="C399" s="80"/>
      <c r="D399" s="41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60"/>
    </row>
    <row r="400" spans="1:16" s="34" customFormat="1" x14ac:dyDescent="0.25">
      <c r="A400" s="91"/>
      <c r="B400" s="80"/>
      <c r="C400" s="80"/>
      <c r="D400" s="41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60"/>
    </row>
    <row r="401" spans="1:16" s="34" customFormat="1" x14ac:dyDescent="0.25">
      <c r="A401" s="91"/>
      <c r="B401" s="80"/>
      <c r="C401" s="80"/>
      <c r="D401" s="41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60"/>
    </row>
    <row r="402" spans="1:16" s="34" customFormat="1" x14ac:dyDescent="0.25">
      <c r="A402" s="91"/>
      <c r="B402" s="80"/>
      <c r="C402" s="80"/>
      <c r="D402" s="41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60"/>
    </row>
    <row r="403" spans="1:16" s="34" customFormat="1" x14ac:dyDescent="0.25">
      <c r="A403" s="91"/>
      <c r="B403" s="80"/>
      <c r="C403" s="80"/>
      <c r="D403" s="41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60"/>
    </row>
    <row r="404" spans="1:16" s="34" customFormat="1" x14ac:dyDescent="0.25">
      <c r="A404" s="91"/>
      <c r="B404" s="80"/>
      <c r="C404" s="80"/>
      <c r="D404" s="41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60"/>
    </row>
    <row r="405" spans="1:16" s="34" customFormat="1" x14ac:dyDescent="0.25">
      <c r="A405" s="91"/>
      <c r="B405" s="80"/>
      <c r="C405" s="80"/>
      <c r="D405" s="41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60"/>
    </row>
    <row r="406" spans="1:16" s="34" customFormat="1" x14ac:dyDescent="0.25">
      <c r="A406" s="91"/>
      <c r="B406" s="80"/>
      <c r="C406" s="80"/>
      <c r="D406" s="41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60"/>
    </row>
    <row r="407" spans="1:16" s="34" customFormat="1" x14ac:dyDescent="0.25">
      <c r="A407" s="91"/>
      <c r="B407" s="80"/>
      <c r="C407" s="80"/>
      <c r="D407" s="41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60"/>
    </row>
    <row r="408" spans="1:16" s="34" customFormat="1" x14ac:dyDescent="0.25">
      <c r="A408" s="91"/>
      <c r="B408" s="80"/>
      <c r="C408" s="80"/>
      <c r="D408" s="41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60"/>
    </row>
    <row r="409" spans="1:16" s="34" customFormat="1" x14ac:dyDescent="0.25">
      <c r="A409" s="91"/>
      <c r="B409" s="80"/>
      <c r="C409" s="80"/>
      <c r="D409" s="41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60"/>
    </row>
    <row r="410" spans="1:16" s="34" customFormat="1" x14ac:dyDescent="0.25">
      <c r="A410" s="91"/>
      <c r="B410" s="80"/>
      <c r="C410" s="80"/>
      <c r="D410" s="41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60"/>
    </row>
    <row r="411" spans="1:16" s="34" customFormat="1" x14ac:dyDescent="0.25">
      <c r="A411" s="91"/>
      <c r="B411" s="80"/>
      <c r="C411" s="80"/>
      <c r="D411" s="41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60"/>
    </row>
    <row r="412" spans="1:16" s="34" customFormat="1" x14ac:dyDescent="0.25">
      <c r="A412" s="91"/>
      <c r="B412" s="80"/>
      <c r="C412" s="80"/>
      <c r="D412" s="41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60"/>
    </row>
    <row r="413" spans="1:16" s="34" customFormat="1" x14ac:dyDescent="0.25">
      <c r="A413" s="91"/>
      <c r="B413" s="80"/>
      <c r="C413" s="80"/>
      <c r="D413" s="41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60"/>
    </row>
    <row r="414" spans="1:16" s="34" customFormat="1" x14ac:dyDescent="0.25">
      <c r="A414" s="91"/>
      <c r="B414" s="80"/>
      <c r="C414" s="80"/>
      <c r="D414" s="41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60"/>
    </row>
    <row r="415" spans="1:16" s="34" customFormat="1" x14ac:dyDescent="0.25">
      <c r="A415" s="91"/>
      <c r="B415" s="80"/>
      <c r="C415" s="80"/>
      <c r="D415" s="41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60"/>
    </row>
    <row r="416" spans="1:16" s="34" customFormat="1" x14ac:dyDescent="0.25">
      <c r="A416" s="91"/>
      <c r="B416" s="80"/>
      <c r="C416" s="80"/>
      <c r="D416" s="41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60"/>
    </row>
    <row r="417" spans="1:16" s="34" customFormat="1" x14ac:dyDescent="0.25">
      <c r="A417" s="91"/>
      <c r="B417" s="80"/>
      <c r="C417" s="80"/>
      <c r="D417" s="41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60"/>
    </row>
    <row r="418" spans="1:16" s="34" customFormat="1" x14ac:dyDescent="0.25">
      <c r="A418" s="91"/>
      <c r="B418" s="80"/>
      <c r="C418" s="80"/>
      <c r="D418" s="41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60"/>
    </row>
    <row r="419" spans="1:16" s="34" customFormat="1" x14ac:dyDescent="0.25">
      <c r="A419" s="91"/>
      <c r="B419" s="80"/>
      <c r="C419" s="80"/>
      <c r="D419" s="41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60"/>
    </row>
    <row r="420" spans="1:16" s="34" customFormat="1" x14ac:dyDescent="0.25">
      <c r="A420" s="91"/>
      <c r="B420" s="80"/>
      <c r="C420" s="80"/>
      <c r="D420" s="41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60"/>
    </row>
    <row r="421" spans="1:16" s="34" customFormat="1" x14ac:dyDescent="0.25">
      <c r="A421" s="91"/>
      <c r="B421" s="80"/>
      <c r="C421" s="80"/>
      <c r="D421" s="41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60"/>
    </row>
    <row r="422" spans="1:16" s="34" customFormat="1" x14ac:dyDescent="0.25">
      <c r="A422" s="91"/>
      <c r="B422" s="80"/>
      <c r="C422" s="80"/>
      <c r="D422" s="41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60"/>
    </row>
    <row r="423" spans="1:16" s="34" customFormat="1" x14ac:dyDescent="0.25">
      <c r="A423" s="91"/>
      <c r="B423" s="80"/>
      <c r="C423" s="80"/>
      <c r="D423" s="41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60"/>
    </row>
    <row r="424" spans="1:16" s="34" customFormat="1" x14ac:dyDescent="0.25">
      <c r="A424" s="91"/>
      <c r="B424" s="80"/>
      <c r="C424" s="80"/>
      <c r="D424" s="41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60"/>
    </row>
    <row r="425" spans="1:16" s="34" customFormat="1" x14ac:dyDescent="0.25">
      <c r="A425" s="91"/>
      <c r="B425" s="80"/>
      <c r="C425" s="80"/>
      <c r="D425" s="41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60"/>
    </row>
    <row r="426" spans="1:16" s="34" customFormat="1" x14ac:dyDescent="0.25">
      <c r="A426" s="91"/>
      <c r="B426" s="80"/>
      <c r="C426" s="80"/>
      <c r="D426" s="41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60"/>
    </row>
    <row r="427" spans="1:16" s="34" customFormat="1" x14ac:dyDescent="0.25">
      <c r="A427" s="91"/>
      <c r="B427" s="80"/>
      <c r="C427" s="80"/>
      <c r="D427" s="41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60"/>
    </row>
    <row r="428" spans="1:16" s="34" customFormat="1" x14ac:dyDescent="0.25">
      <c r="A428" s="91"/>
      <c r="B428" s="80"/>
      <c r="C428" s="80"/>
      <c r="D428" s="41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60"/>
    </row>
    <row r="429" spans="1:16" s="34" customFormat="1" x14ac:dyDescent="0.25">
      <c r="A429" s="91"/>
      <c r="B429" s="80"/>
      <c r="C429" s="80"/>
      <c r="D429" s="41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60"/>
    </row>
    <row r="430" spans="1:16" s="34" customFormat="1" x14ac:dyDescent="0.25">
      <c r="A430" s="91"/>
      <c r="B430" s="80"/>
      <c r="C430" s="80"/>
      <c r="D430" s="41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60"/>
    </row>
    <row r="431" spans="1:16" s="34" customFormat="1" x14ac:dyDescent="0.25">
      <c r="A431" s="91"/>
      <c r="B431" s="80"/>
      <c r="C431" s="80"/>
      <c r="D431" s="41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60"/>
    </row>
    <row r="432" spans="1:16" s="34" customFormat="1" x14ac:dyDescent="0.25">
      <c r="A432" s="91"/>
      <c r="B432" s="80"/>
      <c r="C432" s="80"/>
      <c r="D432" s="41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60"/>
    </row>
    <row r="433" spans="1:16" s="34" customFormat="1" x14ac:dyDescent="0.25">
      <c r="A433" s="91"/>
      <c r="B433" s="80"/>
      <c r="C433" s="80"/>
      <c r="D433" s="41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60"/>
    </row>
    <row r="434" spans="1:16" s="34" customFormat="1" x14ac:dyDescent="0.25">
      <c r="A434" s="91"/>
      <c r="B434" s="80"/>
      <c r="C434" s="80"/>
      <c r="D434" s="41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60"/>
    </row>
    <row r="435" spans="1:16" s="34" customFormat="1" x14ac:dyDescent="0.25">
      <c r="A435" s="91"/>
      <c r="B435" s="80"/>
      <c r="C435" s="80"/>
      <c r="D435" s="41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60"/>
    </row>
    <row r="436" spans="1:16" s="34" customFormat="1" x14ac:dyDescent="0.25">
      <c r="A436" s="91"/>
      <c r="B436" s="80"/>
      <c r="C436" s="80"/>
      <c r="D436" s="41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60"/>
    </row>
    <row r="437" spans="1:16" s="34" customFormat="1" x14ac:dyDescent="0.25">
      <c r="A437" s="91"/>
      <c r="B437" s="80"/>
      <c r="C437" s="80"/>
      <c r="D437" s="41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60"/>
    </row>
    <row r="438" spans="1:16" s="34" customFormat="1" x14ac:dyDescent="0.25">
      <c r="A438" s="91"/>
      <c r="B438" s="80"/>
      <c r="C438" s="80"/>
      <c r="D438" s="41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60"/>
    </row>
    <row r="439" spans="1:16" s="34" customFormat="1" x14ac:dyDescent="0.25">
      <c r="A439" s="91"/>
      <c r="B439" s="80"/>
      <c r="C439" s="80"/>
      <c r="D439" s="41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60"/>
    </row>
    <row r="440" spans="1:16" s="34" customFormat="1" x14ac:dyDescent="0.25">
      <c r="A440" s="91"/>
      <c r="B440" s="80"/>
      <c r="C440" s="80"/>
      <c r="D440" s="41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60"/>
    </row>
    <row r="441" spans="1:16" s="34" customFormat="1" x14ac:dyDescent="0.25">
      <c r="A441" s="91"/>
      <c r="B441" s="80"/>
      <c r="C441" s="80"/>
      <c r="D441" s="41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60"/>
    </row>
    <row r="442" spans="1:16" s="34" customFormat="1" x14ac:dyDescent="0.25">
      <c r="A442" s="91"/>
      <c r="B442" s="80"/>
      <c r="C442" s="80"/>
      <c r="D442" s="41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60"/>
    </row>
    <row r="443" spans="1:16" s="34" customFormat="1" x14ac:dyDescent="0.25">
      <c r="A443" s="91"/>
      <c r="B443" s="80"/>
      <c r="C443" s="80"/>
      <c r="D443" s="41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60"/>
    </row>
    <row r="444" spans="1:16" s="34" customFormat="1" x14ac:dyDescent="0.25">
      <c r="A444" s="91"/>
      <c r="B444" s="80"/>
      <c r="C444" s="80"/>
      <c r="D444" s="41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60"/>
    </row>
    <row r="445" spans="1:16" s="34" customFormat="1" x14ac:dyDescent="0.25">
      <c r="A445" s="91"/>
      <c r="B445" s="80"/>
      <c r="C445" s="80"/>
      <c r="D445" s="41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60"/>
    </row>
    <row r="446" spans="1:16" s="34" customFormat="1" x14ac:dyDescent="0.25">
      <c r="A446" s="91"/>
      <c r="B446" s="80"/>
      <c r="C446" s="80"/>
      <c r="D446" s="41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60"/>
    </row>
    <row r="447" spans="1:16" s="34" customFormat="1" x14ac:dyDescent="0.25">
      <c r="A447" s="91"/>
      <c r="B447" s="80"/>
      <c r="C447" s="80"/>
      <c r="D447" s="41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60"/>
    </row>
    <row r="448" spans="1:16" s="34" customFormat="1" x14ac:dyDescent="0.25">
      <c r="A448" s="91"/>
      <c r="B448" s="80"/>
      <c r="C448" s="80"/>
      <c r="D448" s="41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60"/>
    </row>
    <row r="449" spans="1:16" s="34" customFormat="1" x14ac:dyDescent="0.25">
      <c r="A449" s="91"/>
      <c r="B449" s="80"/>
      <c r="C449" s="80"/>
      <c r="D449" s="41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60"/>
    </row>
    <row r="450" spans="1:16" s="34" customFormat="1" x14ac:dyDescent="0.25">
      <c r="A450" s="91"/>
      <c r="B450" s="80"/>
      <c r="C450" s="80"/>
      <c r="D450" s="41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60"/>
    </row>
    <row r="451" spans="1:16" s="34" customFormat="1" x14ac:dyDescent="0.25">
      <c r="A451" s="91"/>
      <c r="B451" s="80"/>
      <c r="C451" s="80"/>
      <c r="D451" s="41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60"/>
    </row>
    <row r="452" spans="1:16" s="34" customFormat="1" x14ac:dyDescent="0.25">
      <c r="A452" s="91"/>
      <c r="B452" s="80"/>
      <c r="C452" s="80"/>
      <c r="D452" s="41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60"/>
    </row>
    <row r="453" spans="1:16" s="34" customFormat="1" x14ac:dyDescent="0.25">
      <c r="A453" s="91"/>
      <c r="B453" s="80"/>
      <c r="C453" s="80"/>
      <c r="D453" s="41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60"/>
    </row>
    <row r="454" spans="1:16" s="34" customFormat="1" x14ac:dyDescent="0.25">
      <c r="A454" s="91"/>
      <c r="B454" s="80"/>
      <c r="C454" s="80"/>
      <c r="D454" s="41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60"/>
    </row>
    <row r="455" spans="1:16" s="34" customFormat="1" x14ac:dyDescent="0.25">
      <c r="A455" s="91"/>
      <c r="B455" s="80"/>
      <c r="C455" s="80"/>
      <c r="D455" s="41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60"/>
    </row>
    <row r="456" spans="1:16" s="34" customFormat="1" x14ac:dyDescent="0.25">
      <c r="A456" s="91"/>
      <c r="B456" s="80"/>
      <c r="C456" s="80"/>
      <c r="D456" s="41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60"/>
    </row>
    <row r="457" spans="1:16" s="34" customFormat="1" x14ac:dyDescent="0.25">
      <c r="A457" s="91"/>
      <c r="B457" s="80"/>
      <c r="C457" s="80"/>
      <c r="D457" s="41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60"/>
    </row>
    <row r="458" spans="1:16" s="34" customFormat="1" x14ac:dyDescent="0.25">
      <c r="A458" s="91"/>
      <c r="B458" s="80"/>
      <c r="C458" s="80"/>
      <c r="D458" s="41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60"/>
    </row>
    <row r="459" spans="1:16" s="34" customFormat="1" x14ac:dyDescent="0.25">
      <c r="A459" s="91"/>
      <c r="B459" s="80"/>
      <c r="C459" s="80"/>
      <c r="D459" s="41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60"/>
    </row>
    <row r="460" spans="1:16" s="34" customFormat="1" x14ac:dyDescent="0.25">
      <c r="A460" s="91"/>
      <c r="B460" s="80"/>
      <c r="C460" s="80"/>
      <c r="D460" s="41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60"/>
    </row>
    <row r="461" spans="1:16" s="34" customFormat="1" x14ac:dyDescent="0.25">
      <c r="A461" s="91"/>
      <c r="B461" s="80"/>
      <c r="C461" s="80"/>
      <c r="D461" s="41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60"/>
    </row>
    <row r="462" spans="1:16" s="34" customFormat="1" x14ac:dyDescent="0.25">
      <c r="A462" s="91"/>
      <c r="B462" s="80"/>
      <c r="C462" s="80"/>
      <c r="D462" s="41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60"/>
    </row>
    <row r="463" spans="1:16" s="34" customFormat="1" x14ac:dyDescent="0.25">
      <c r="A463" s="91"/>
      <c r="B463" s="80"/>
      <c r="C463" s="80"/>
      <c r="D463" s="41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60"/>
    </row>
    <row r="464" spans="1:16" s="34" customFormat="1" x14ac:dyDescent="0.25">
      <c r="A464" s="91"/>
      <c r="B464" s="80"/>
      <c r="C464" s="80"/>
      <c r="D464" s="41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60"/>
    </row>
    <row r="465" spans="1:16" s="34" customFormat="1" x14ac:dyDescent="0.25">
      <c r="A465" s="91"/>
      <c r="B465" s="80"/>
      <c r="C465" s="80"/>
      <c r="D465" s="41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60"/>
    </row>
    <row r="466" spans="1:16" s="34" customFormat="1" x14ac:dyDescent="0.25">
      <c r="A466" s="91"/>
      <c r="B466" s="80"/>
      <c r="C466" s="80"/>
      <c r="D466" s="41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60"/>
    </row>
    <row r="467" spans="1:16" s="34" customFormat="1" x14ac:dyDescent="0.25">
      <c r="A467" s="91"/>
      <c r="B467" s="80"/>
      <c r="C467" s="80"/>
      <c r="D467" s="41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60"/>
    </row>
    <row r="468" spans="1:16" s="34" customFormat="1" x14ac:dyDescent="0.25">
      <c r="A468" s="91"/>
      <c r="B468" s="80"/>
      <c r="C468" s="80"/>
      <c r="D468" s="41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60"/>
    </row>
    <row r="469" spans="1:16" s="34" customFormat="1" x14ac:dyDescent="0.25">
      <c r="A469" s="91"/>
      <c r="B469" s="80"/>
      <c r="C469" s="80"/>
      <c r="D469" s="41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60"/>
    </row>
    <row r="470" spans="1:16" s="34" customFormat="1" x14ac:dyDescent="0.25">
      <c r="A470" s="91"/>
      <c r="B470" s="80"/>
      <c r="C470" s="80"/>
      <c r="D470" s="41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60"/>
    </row>
    <row r="471" spans="1:16" s="34" customFormat="1" x14ac:dyDescent="0.25">
      <c r="A471" s="91"/>
      <c r="B471" s="80"/>
      <c r="C471" s="80"/>
      <c r="D471" s="41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60"/>
    </row>
    <row r="472" spans="1:16" s="34" customFormat="1" x14ac:dyDescent="0.25">
      <c r="A472" s="91"/>
      <c r="B472" s="80"/>
      <c r="C472" s="80"/>
      <c r="D472" s="41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60"/>
    </row>
    <row r="473" spans="1:16" s="34" customFormat="1" x14ac:dyDescent="0.25">
      <c r="A473" s="91"/>
      <c r="B473" s="80"/>
      <c r="C473" s="80"/>
      <c r="D473" s="41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60"/>
    </row>
    <row r="474" spans="1:16" s="34" customFormat="1" x14ac:dyDescent="0.25">
      <c r="A474" s="91"/>
      <c r="B474" s="80"/>
      <c r="C474" s="80"/>
      <c r="D474" s="41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60"/>
    </row>
    <row r="475" spans="1:16" s="34" customFormat="1" x14ac:dyDescent="0.25">
      <c r="A475" s="91"/>
      <c r="B475" s="80"/>
      <c r="C475" s="80"/>
      <c r="D475" s="41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60"/>
    </row>
    <row r="476" spans="1:16" s="34" customFormat="1" x14ac:dyDescent="0.25">
      <c r="A476" s="91"/>
      <c r="B476" s="80"/>
      <c r="C476" s="80"/>
      <c r="D476" s="41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60"/>
    </row>
    <row r="477" spans="1:16" s="34" customFormat="1" x14ac:dyDescent="0.25">
      <c r="A477" s="91"/>
      <c r="B477" s="80"/>
      <c r="C477" s="80"/>
      <c r="D477" s="41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60"/>
    </row>
    <row r="478" spans="1:16" s="34" customFormat="1" x14ac:dyDescent="0.25">
      <c r="A478" s="91"/>
      <c r="B478" s="80"/>
      <c r="C478" s="80"/>
      <c r="D478" s="41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60"/>
    </row>
    <row r="479" spans="1:16" s="34" customFormat="1" x14ac:dyDescent="0.25">
      <c r="A479" s="91"/>
      <c r="B479" s="80"/>
      <c r="C479" s="80"/>
      <c r="D479" s="41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60"/>
    </row>
    <row r="480" spans="1:16" s="34" customFormat="1" x14ac:dyDescent="0.25">
      <c r="A480" s="91"/>
      <c r="B480" s="80"/>
      <c r="C480" s="80"/>
      <c r="D480" s="41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60"/>
    </row>
    <row r="481" spans="1:16" s="34" customFormat="1" x14ac:dyDescent="0.25">
      <c r="A481" s="91"/>
      <c r="B481" s="80"/>
      <c r="C481" s="80"/>
      <c r="D481" s="41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60"/>
    </row>
    <row r="482" spans="1:16" s="34" customFormat="1" x14ac:dyDescent="0.25">
      <c r="A482" s="91"/>
      <c r="B482" s="80"/>
      <c r="C482" s="80"/>
      <c r="D482" s="41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60"/>
    </row>
    <row r="483" spans="1:16" s="34" customFormat="1" x14ac:dyDescent="0.25">
      <c r="A483" s="91"/>
      <c r="B483" s="80"/>
      <c r="C483" s="80"/>
      <c r="D483" s="41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60"/>
    </row>
    <row r="484" spans="1:16" s="34" customFormat="1" x14ac:dyDescent="0.25">
      <c r="A484" s="91"/>
      <c r="B484" s="80"/>
      <c r="C484" s="80"/>
      <c r="D484" s="41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60"/>
    </row>
    <row r="485" spans="1:16" s="34" customFormat="1" x14ac:dyDescent="0.25">
      <c r="A485" s="91"/>
      <c r="B485" s="80"/>
      <c r="C485" s="80"/>
      <c r="D485" s="41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60"/>
    </row>
    <row r="486" spans="1:16" s="34" customFormat="1" x14ac:dyDescent="0.25">
      <c r="A486" s="91"/>
      <c r="B486" s="80"/>
      <c r="C486" s="80"/>
      <c r="D486" s="41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60"/>
    </row>
    <row r="487" spans="1:16" s="34" customFormat="1" x14ac:dyDescent="0.25">
      <c r="A487" s="91"/>
      <c r="B487" s="80"/>
      <c r="C487" s="80"/>
      <c r="D487" s="41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60"/>
    </row>
    <row r="488" spans="1:16" s="34" customFormat="1" x14ac:dyDescent="0.25">
      <c r="A488" s="91"/>
      <c r="B488" s="80"/>
      <c r="C488" s="80"/>
      <c r="D488" s="41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60"/>
    </row>
    <row r="489" spans="1:16" s="34" customFormat="1" x14ac:dyDescent="0.25">
      <c r="A489" s="91"/>
      <c r="B489" s="80"/>
      <c r="C489" s="80"/>
      <c r="D489" s="41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60"/>
    </row>
    <row r="490" spans="1:16" s="34" customFormat="1" x14ac:dyDescent="0.25">
      <c r="A490" s="91"/>
      <c r="B490" s="80"/>
      <c r="C490" s="80"/>
      <c r="D490" s="41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60"/>
    </row>
    <row r="491" spans="1:16" s="34" customFormat="1" x14ac:dyDescent="0.25">
      <c r="A491" s="91"/>
      <c r="B491" s="80"/>
      <c r="C491" s="80"/>
      <c r="D491" s="41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60"/>
    </row>
    <row r="492" spans="1:16" s="34" customFormat="1" x14ac:dyDescent="0.25">
      <c r="A492" s="91"/>
      <c r="B492" s="80"/>
      <c r="C492" s="80"/>
      <c r="D492" s="41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60"/>
    </row>
    <row r="493" spans="1:16" s="34" customFormat="1" x14ac:dyDescent="0.25">
      <c r="A493" s="91"/>
      <c r="B493" s="80"/>
      <c r="C493" s="80"/>
      <c r="D493" s="41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60"/>
    </row>
    <row r="494" spans="1:16" s="34" customFormat="1" x14ac:dyDescent="0.25">
      <c r="A494" s="91"/>
      <c r="B494" s="80"/>
      <c r="C494" s="80"/>
      <c r="D494" s="41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60"/>
    </row>
    <row r="495" spans="1:16" s="34" customFormat="1" x14ac:dyDescent="0.25">
      <c r="A495" s="91"/>
      <c r="B495" s="80"/>
      <c r="C495" s="80"/>
      <c r="D495" s="41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60"/>
    </row>
    <row r="496" spans="1:16" s="34" customFormat="1" x14ac:dyDescent="0.25">
      <c r="A496" s="91"/>
      <c r="B496" s="80"/>
      <c r="C496" s="80"/>
      <c r="D496" s="41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60"/>
    </row>
    <row r="497" spans="1:16" s="34" customFormat="1" x14ac:dyDescent="0.25">
      <c r="A497" s="91"/>
      <c r="B497" s="80"/>
      <c r="C497" s="80"/>
      <c r="D497" s="41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60"/>
    </row>
    <row r="498" spans="1:16" s="34" customFormat="1" x14ac:dyDescent="0.25">
      <c r="A498" s="91"/>
      <c r="B498" s="80"/>
      <c r="C498" s="80"/>
      <c r="D498" s="41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60"/>
    </row>
    <row r="499" spans="1:16" s="34" customFormat="1" x14ac:dyDescent="0.25">
      <c r="A499" s="91"/>
      <c r="B499" s="80"/>
      <c r="C499" s="80"/>
      <c r="D499" s="41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60"/>
    </row>
    <row r="500" spans="1:16" s="34" customFormat="1" x14ac:dyDescent="0.25">
      <c r="A500" s="91"/>
      <c r="B500" s="80"/>
      <c r="C500" s="80"/>
      <c r="D500" s="41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60"/>
    </row>
    <row r="501" spans="1:16" s="34" customFormat="1" x14ac:dyDescent="0.25">
      <c r="A501" s="91"/>
      <c r="B501" s="80"/>
      <c r="C501" s="80"/>
      <c r="D501" s="41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60"/>
    </row>
    <row r="502" spans="1:16" s="34" customFormat="1" x14ac:dyDescent="0.25">
      <c r="A502" s="91"/>
      <c r="B502" s="80"/>
      <c r="C502" s="80"/>
      <c r="D502" s="41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60"/>
    </row>
    <row r="503" spans="1:16" s="34" customFormat="1" x14ac:dyDescent="0.25">
      <c r="A503" s="91"/>
      <c r="B503" s="80"/>
      <c r="C503" s="80"/>
      <c r="D503" s="41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60"/>
    </row>
    <row r="504" spans="1:16" s="34" customFormat="1" x14ac:dyDescent="0.25">
      <c r="A504" s="91"/>
      <c r="B504" s="80"/>
      <c r="C504" s="80"/>
      <c r="D504" s="41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60"/>
    </row>
    <row r="505" spans="1:16" s="34" customFormat="1" x14ac:dyDescent="0.25">
      <c r="A505" s="91"/>
      <c r="B505" s="80"/>
      <c r="C505" s="80"/>
      <c r="D505" s="41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60"/>
    </row>
    <row r="506" spans="1:16" s="34" customFormat="1" x14ac:dyDescent="0.25">
      <c r="A506" s="91"/>
      <c r="B506" s="80"/>
      <c r="C506" s="80"/>
      <c r="D506" s="41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60"/>
    </row>
    <row r="507" spans="1:16" s="34" customFormat="1" x14ac:dyDescent="0.25">
      <c r="A507" s="91"/>
      <c r="B507" s="80"/>
      <c r="C507" s="80"/>
      <c r="D507" s="41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60"/>
    </row>
    <row r="508" spans="1:16" s="34" customFormat="1" x14ac:dyDescent="0.25">
      <c r="A508" s="91"/>
      <c r="B508" s="80"/>
      <c r="C508" s="80"/>
      <c r="D508" s="41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60"/>
    </row>
    <row r="509" spans="1:16" s="34" customFormat="1" x14ac:dyDescent="0.25">
      <c r="A509" s="91"/>
      <c r="B509" s="80"/>
      <c r="C509" s="80"/>
      <c r="D509" s="41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60"/>
    </row>
    <row r="510" spans="1:16" s="34" customFormat="1" x14ac:dyDescent="0.25">
      <c r="A510" s="91"/>
      <c r="B510" s="80"/>
      <c r="C510" s="80"/>
      <c r="D510" s="41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60"/>
    </row>
    <row r="511" spans="1:16" s="34" customFormat="1" x14ac:dyDescent="0.25">
      <c r="A511" s="91"/>
      <c r="B511" s="80"/>
      <c r="C511" s="80"/>
      <c r="D511" s="41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60"/>
    </row>
    <row r="512" spans="1:16" s="34" customFormat="1" x14ac:dyDescent="0.25">
      <c r="A512" s="91"/>
      <c r="B512" s="80"/>
      <c r="C512" s="80"/>
      <c r="D512" s="41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60"/>
    </row>
    <row r="513" spans="1:16" s="34" customFormat="1" x14ac:dyDescent="0.25">
      <c r="A513" s="91"/>
      <c r="B513" s="80"/>
      <c r="C513" s="80"/>
      <c r="D513" s="41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60"/>
    </row>
    <row r="514" spans="1:16" s="34" customFormat="1" x14ac:dyDescent="0.25">
      <c r="A514" s="91"/>
      <c r="B514" s="80"/>
      <c r="C514" s="80"/>
      <c r="D514" s="41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60"/>
    </row>
    <row r="515" spans="1:16" s="34" customFormat="1" x14ac:dyDescent="0.25">
      <c r="A515" s="91"/>
      <c r="B515" s="80"/>
      <c r="C515" s="80"/>
      <c r="D515" s="41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60"/>
    </row>
    <row r="516" spans="1:16" s="34" customFormat="1" x14ac:dyDescent="0.25">
      <c r="A516" s="91"/>
      <c r="B516" s="80"/>
      <c r="C516" s="80"/>
      <c r="D516" s="41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60"/>
    </row>
    <row r="517" spans="1:16" s="34" customFormat="1" x14ac:dyDescent="0.25">
      <c r="A517" s="91"/>
      <c r="B517" s="80"/>
      <c r="C517" s="80"/>
      <c r="D517" s="41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60"/>
    </row>
    <row r="518" spans="1:16" s="34" customFormat="1" x14ac:dyDescent="0.25">
      <c r="A518" s="91"/>
      <c r="B518" s="80"/>
      <c r="C518" s="80"/>
      <c r="D518" s="41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60"/>
    </row>
    <row r="519" spans="1:16" s="34" customFormat="1" x14ac:dyDescent="0.25">
      <c r="A519" s="91"/>
      <c r="B519" s="80"/>
      <c r="C519" s="80"/>
      <c r="D519" s="41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60"/>
    </row>
    <row r="520" spans="1:16" s="34" customFormat="1" x14ac:dyDescent="0.25">
      <c r="A520" s="91"/>
      <c r="B520" s="80"/>
      <c r="C520" s="80"/>
      <c r="D520" s="41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60"/>
    </row>
    <row r="521" spans="1:16" s="34" customFormat="1" x14ac:dyDescent="0.25">
      <c r="A521" s="91"/>
      <c r="B521" s="80"/>
      <c r="C521" s="80"/>
      <c r="D521" s="41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60"/>
    </row>
    <row r="522" spans="1:16" s="34" customFormat="1" x14ac:dyDescent="0.25">
      <c r="A522" s="91"/>
      <c r="B522" s="80"/>
      <c r="C522" s="80"/>
      <c r="D522" s="41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60"/>
    </row>
    <row r="523" spans="1:16" s="34" customFormat="1" x14ac:dyDescent="0.25">
      <c r="A523" s="91"/>
      <c r="B523" s="80"/>
      <c r="C523" s="80"/>
      <c r="D523" s="41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60"/>
    </row>
    <row r="524" spans="1:16" s="34" customFormat="1" x14ac:dyDescent="0.25">
      <c r="A524" s="91"/>
      <c r="B524" s="80"/>
      <c r="C524" s="80"/>
      <c r="D524" s="41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60"/>
    </row>
    <row r="525" spans="1:16" s="34" customFormat="1" x14ac:dyDescent="0.25">
      <c r="A525" s="91"/>
      <c r="B525" s="80"/>
      <c r="C525" s="80"/>
      <c r="D525" s="41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60"/>
    </row>
    <row r="526" spans="1:16" s="34" customFormat="1" x14ac:dyDescent="0.25">
      <c r="A526" s="91"/>
      <c r="B526" s="80"/>
      <c r="C526" s="80"/>
      <c r="D526" s="41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60"/>
    </row>
    <row r="527" spans="1:16" s="34" customFormat="1" x14ac:dyDescent="0.25">
      <c r="A527" s="91"/>
      <c r="B527" s="80"/>
      <c r="C527" s="80"/>
      <c r="D527" s="41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60"/>
    </row>
    <row r="528" spans="1:16" s="34" customFormat="1" x14ac:dyDescent="0.25">
      <c r="A528" s="91"/>
      <c r="B528" s="80"/>
      <c r="C528" s="80"/>
      <c r="D528" s="41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60"/>
    </row>
    <row r="529" spans="1:16" s="34" customFormat="1" x14ac:dyDescent="0.25">
      <c r="A529" s="91"/>
      <c r="B529" s="80"/>
      <c r="C529" s="80"/>
      <c r="D529" s="41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60"/>
    </row>
    <row r="530" spans="1:16" s="34" customFormat="1" x14ac:dyDescent="0.25">
      <c r="A530" s="91"/>
      <c r="B530" s="80"/>
      <c r="C530" s="80"/>
      <c r="D530" s="41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60"/>
    </row>
    <row r="531" spans="1:16" s="34" customFormat="1" x14ac:dyDescent="0.25">
      <c r="A531" s="91"/>
      <c r="B531" s="80"/>
      <c r="C531" s="80"/>
      <c r="D531" s="41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60"/>
    </row>
    <row r="532" spans="1:16" s="34" customFormat="1" x14ac:dyDescent="0.25">
      <c r="A532" s="91"/>
      <c r="B532" s="80"/>
      <c r="C532" s="80"/>
      <c r="D532" s="41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60"/>
    </row>
    <row r="533" spans="1:16" s="34" customFormat="1" x14ac:dyDescent="0.25">
      <c r="A533" s="91"/>
      <c r="B533" s="80"/>
      <c r="C533" s="80"/>
      <c r="D533" s="41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60"/>
    </row>
    <row r="534" spans="1:16" s="34" customFormat="1" x14ac:dyDescent="0.25">
      <c r="A534" s="91"/>
      <c r="B534" s="80"/>
      <c r="C534" s="80"/>
      <c r="D534" s="41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60"/>
    </row>
    <row r="535" spans="1:16" s="34" customFormat="1" x14ac:dyDescent="0.25">
      <c r="A535" s="91"/>
      <c r="B535" s="80"/>
      <c r="C535" s="80"/>
      <c r="D535" s="41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60"/>
    </row>
    <row r="536" spans="1:16" s="34" customFormat="1" x14ac:dyDescent="0.25">
      <c r="A536" s="91"/>
      <c r="B536" s="80"/>
      <c r="C536" s="80"/>
      <c r="D536" s="41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60"/>
    </row>
    <row r="537" spans="1:16" s="34" customFormat="1" x14ac:dyDescent="0.25">
      <c r="A537" s="91"/>
      <c r="B537" s="80"/>
      <c r="C537" s="80"/>
      <c r="D537" s="41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60"/>
    </row>
    <row r="538" spans="1:16" s="34" customFormat="1" x14ac:dyDescent="0.25">
      <c r="A538" s="91"/>
      <c r="B538" s="80"/>
      <c r="C538" s="80"/>
      <c r="D538" s="41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60"/>
    </row>
    <row r="539" spans="1:16" s="34" customFormat="1" x14ac:dyDescent="0.25">
      <c r="A539" s="91"/>
      <c r="B539" s="80"/>
      <c r="C539" s="80"/>
      <c r="D539" s="41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60"/>
    </row>
    <row r="540" spans="1:16" s="34" customFormat="1" x14ac:dyDescent="0.25">
      <c r="A540" s="91"/>
      <c r="B540" s="80"/>
      <c r="C540" s="80"/>
      <c r="D540" s="41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60"/>
    </row>
    <row r="541" spans="1:16" s="34" customFormat="1" x14ac:dyDescent="0.25">
      <c r="A541" s="91"/>
      <c r="B541" s="80"/>
      <c r="C541" s="80"/>
      <c r="D541" s="41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60"/>
    </row>
    <row r="542" spans="1:16" s="34" customFormat="1" x14ac:dyDescent="0.25">
      <c r="A542" s="91"/>
      <c r="B542" s="80"/>
      <c r="C542" s="80"/>
      <c r="D542" s="41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60"/>
    </row>
    <row r="543" spans="1:16" s="34" customFormat="1" x14ac:dyDescent="0.25">
      <c r="A543" s="91"/>
      <c r="B543" s="80"/>
      <c r="C543" s="80"/>
      <c r="D543" s="41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60"/>
    </row>
    <row r="544" spans="1:16" s="34" customFormat="1" x14ac:dyDescent="0.25">
      <c r="A544" s="91"/>
      <c r="B544" s="80"/>
      <c r="C544" s="80"/>
      <c r="D544" s="41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60"/>
    </row>
    <row r="545" spans="1:16" s="34" customFormat="1" x14ac:dyDescent="0.25">
      <c r="A545" s="91"/>
      <c r="B545" s="80"/>
      <c r="C545" s="80"/>
      <c r="D545" s="41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60"/>
    </row>
    <row r="546" spans="1:16" s="34" customFormat="1" x14ac:dyDescent="0.25">
      <c r="A546" s="91"/>
      <c r="B546" s="80"/>
      <c r="C546" s="80"/>
      <c r="D546" s="41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60"/>
    </row>
    <row r="547" spans="1:16" s="34" customFormat="1" x14ac:dyDescent="0.25">
      <c r="A547" s="91"/>
      <c r="B547" s="80"/>
      <c r="C547" s="80"/>
      <c r="D547" s="41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60"/>
    </row>
    <row r="548" spans="1:16" s="34" customFormat="1" x14ac:dyDescent="0.25">
      <c r="A548" s="91"/>
      <c r="B548" s="80"/>
      <c r="C548" s="80"/>
      <c r="D548" s="41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60"/>
    </row>
    <row r="549" spans="1:16" s="34" customFormat="1" x14ac:dyDescent="0.25">
      <c r="A549" s="91"/>
      <c r="B549" s="80"/>
      <c r="C549" s="80"/>
      <c r="D549" s="41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60"/>
    </row>
    <row r="550" spans="1:16" s="34" customFormat="1" x14ac:dyDescent="0.25">
      <c r="A550" s="91"/>
      <c r="B550" s="80"/>
      <c r="C550" s="80"/>
      <c r="D550" s="41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60"/>
    </row>
    <row r="551" spans="1:16" s="34" customFormat="1" x14ac:dyDescent="0.25">
      <c r="A551" s="91"/>
      <c r="B551" s="80"/>
      <c r="C551" s="80"/>
      <c r="D551" s="41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60"/>
    </row>
    <row r="552" spans="1:16" s="34" customFormat="1" x14ac:dyDescent="0.25">
      <c r="A552" s="91"/>
      <c r="B552" s="80"/>
      <c r="C552" s="80"/>
      <c r="D552" s="41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60"/>
    </row>
    <row r="553" spans="1:16" s="34" customFormat="1" x14ac:dyDescent="0.25">
      <c r="A553" s="91"/>
      <c r="B553" s="80"/>
      <c r="C553" s="80"/>
      <c r="D553" s="41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60"/>
    </row>
    <row r="554" spans="1:16" s="34" customFormat="1" x14ac:dyDescent="0.25">
      <c r="A554" s="91"/>
      <c r="B554" s="80"/>
      <c r="C554" s="80"/>
      <c r="D554" s="41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60"/>
    </row>
    <row r="555" spans="1:16" s="34" customFormat="1" x14ac:dyDescent="0.25">
      <c r="A555" s="91"/>
      <c r="B555" s="80"/>
      <c r="C555" s="80"/>
      <c r="D555" s="41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60"/>
    </row>
    <row r="556" spans="1:16" s="34" customFormat="1" x14ac:dyDescent="0.25">
      <c r="A556" s="91"/>
      <c r="B556" s="80"/>
      <c r="C556" s="80"/>
      <c r="D556" s="41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60"/>
    </row>
    <row r="557" spans="1:16" s="34" customFormat="1" x14ac:dyDescent="0.25">
      <c r="A557" s="91"/>
      <c r="B557" s="80"/>
      <c r="C557" s="80"/>
      <c r="D557" s="41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60"/>
    </row>
    <row r="558" spans="1:16" s="34" customFormat="1" x14ac:dyDescent="0.25">
      <c r="A558" s="91"/>
      <c r="B558" s="80"/>
      <c r="C558" s="80"/>
      <c r="D558" s="41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60"/>
    </row>
    <row r="559" spans="1:16" s="34" customFormat="1" x14ac:dyDescent="0.25">
      <c r="A559" s="91"/>
      <c r="B559" s="80"/>
      <c r="C559" s="80"/>
      <c r="D559" s="41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60"/>
    </row>
    <row r="560" spans="1:16" s="34" customFormat="1" x14ac:dyDescent="0.25">
      <c r="A560" s="91"/>
      <c r="B560" s="80"/>
      <c r="C560" s="80"/>
      <c r="D560" s="41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60"/>
    </row>
    <row r="561" spans="1:16" s="34" customFormat="1" x14ac:dyDescent="0.25">
      <c r="A561" s="91"/>
      <c r="B561" s="80"/>
      <c r="C561" s="80"/>
      <c r="D561" s="41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60"/>
    </row>
    <row r="562" spans="1:16" s="34" customFormat="1" x14ac:dyDescent="0.25">
      <c r="A562" s="91"/>
      <c r="B562" s="80"/>
      <c r="C562" s="80"/>
      <c r="D562" s="41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60"/>
    </row>
    <row r="563" spans="1:16" s="34" customFormat="1" x14ac:dyDescent="0.25">
      <c r="A563" s="91"/>
      <c r="B563" s="80"/>
      <c r="C563" s="80"/>
      <c r="D563" s="41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60"/>
    </row>
    <row r="564" spans="1:16" s="34" customFormat="1" x14ac:dyDescent="0.25">
      <c r="A564" s="91"/>
      <c r="B564" s="80"/>
      <c r="C564" s="80"/>
      <c r="D564" s="41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60"/>
    </row>
    <row r="565" spans="1:16" s="34" customFormat="1" x14ac:dyDescent="0.25">
      <c r="A565" s="91"/>
      <c r="B565" s="80"/>
      <c r="C565" s="80"/>
      <c r="D565" s="41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60"/>
    </row>
    <row r="566" spans="1:16" s="34" customFormat="1" x14ac:dyDescent="0.25">
      <c r="A566" s="91"/>
      <c r="B566" s="80"/>
      <c r="C566" s="80"/>
      <c r="D566" s="41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60"/>
    </row>
    <row r="567" spans="1:16" s="34" customFormat="1" x14ac:dyDescent="0.25">
      <c r="A567" s="91"/>
      <c r="B567" s="80"/>
      <c r="C567" s="80"/>
      <c r="D567" s="41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60"/>
    </row>
    <row r="568" spans="1:16" s="34" customFormat="1" x14ac:dyDescent="0.25">
      <c r="A568" s="91"/>
      <c r="B568" s="80"/>
      <c r="C568" s="80"/>
      <c r="D568" s="41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60"/>
    </row>
    <row r="569" spans="1:16" s="34" customFormat="1" x14ac:dyDescent="0.25">
      <c r="A569" s="91"/>
      <c r="B569" s="80"/>
      <c r="C569" s="80"/>
      <c r="D569" s="41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60"/>
    </row>
    <row r="570" spans="1:16" s="34" customFormat="1" x14ac:dyDescent="0.25">
      <c r="A570" s="91"/>
      <c r="B570" s="80"/>
      <c r="C570" s="80"/>
      <c r="D570" s="41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60"/>
    </row>
    <row r="571" spans="1:16" s="34" customFormat="1" x14ac:dyDescent="0.25">
      <c r="A571" s="91"/>
      <c r="B571" s="80"/>
      <c r="C571" s="80"/>
      <c r="D571" s="41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60"/>
    </row>
    <row r="572" spans="1:16" s="34" customFormat="1" x14ac:dyDescent="0.25">
      <c r="A572" s="91"/>
      <c r="B572" s="80"/>
      <c r="C572" s="80"/>
      <c r="D572" s="41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60"/>
    </row>
    <row r="573" spans="1:16" s="34" customFormat="1" x14ac:dyDescent="0.25">
      <c r="A573" s="91"/>
      <c r="B573" s="80"/>
      <c r="C573" s="80"/>
      <c r="D573" s="41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60"/>
    </row>
    <row r="574" spans="1:16" s="34" customFormat="1" x14ac:dyDescent="0.25">
      <c r="A574" s="91"/>
      <c r="B574" s="80"/>
      <c r="C574" s="80"/>
      <c r="D574" s="41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60"/>
    </row>
    <row r="575" spans="1:16" s="34" customFormat="1" x14ac:dyDescent="0.25">
      <c r="A575" s="91"/>
      <c r="B575" s="80"/>
      <c r="C575" s="80"/>
      <c r="D575" s="41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60"/>
    </row>
    <row r="576" spans="1:16" s="34" customFormat="1" x14ac:dyDescent="0.25">
      <c r="A576" s="91"/>
      <c r="B576" s="80"/>
      <c r="C576" s="80"/>
      <c r="D576" s="41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60"/>
    </row>
    <row r="577" spans="1:16" s="34" customFormat="1" x14ac:dyDescent="0.25">
      <c r="A577" s="91"/>
      <c r="B577" s="80"/>
      <c r="C577" s="80"/>
      <c r="D577" s="41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60"/>
    </row>
    <row r="578" spans="1:16" s="34" customFormat="1" x14ac:dyDescent="0.25">
      <c r="A578" s="91"/>
      <c r="B578" s="80"/>
      <c r="C578" s="80"/>
      <c r="D578" s="41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60"/>
    </row>
    <row r="579" spans="1:16" s="34" customFormat="1" x14ac:dyDescent="0.25">
      <c r="A579" s="91"/>
      <c r="B579" s="80"/>
      <c r="C579" s="80"/>
      <c r="D579" s="41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60"/>
    </row>
    <row r="580" spans="1:16" s="34" customFormat="1" x14ac:dyDescent="0.25">
      <c r="A580" s="91"/>
      <c r="B580" s="80"/>
      <c r="C580" s="80"/>
      <c r="D580" s="41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60"/>
    </row>
    <row r="581" spans="1:16" s="34" customFormat="1" x14ac:dyDescent="0.25">
      <c r="A581" s="91"/>
      <c r="B581" s="80"/>
      <c r="C581" s="80"/>
      <c r="D581" s="41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60"/>
    </row>
    <row r="582" spans="1:16" s="34" customFormat="1" x14ac:dyDescent="0.25">
      <c r="A582" s="91"/>
      <c r="B582" s="80"/>
      <c r="C582" s="80"/>
      <c r="D582" s="41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60"/>
    </row>
    <row r="583" spans="1:16" s="34" customFormat="1" x14ac:dyDescent="0.25">
      <c r="A583" s="91"/>
      <c r="B583" s="80"/>
      <c r="C583" s="80"/>
      <c r="D583" s="41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60"/>
    </row>
    <row r="584" spans="1:16" s="34" customFormat="1" x14ac:dyDescent="0.25">
      <c r="A584" s="91"/>
      <c r="B584" s="80"/>
      <c r="C584" s="80"/>
      <c r="D584" s="41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60"/>
    </row>
    <row r="585" spans="1:16" s="34" customFormat="1" x14ac:dyDescent="0.25">
      <c r="A585" s="91"/>
      <c r="B585" s="80"/>
      <c r="C585" s="80"/>
      <c r="D585" s="41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60"/>
    </row>
    <row r="586" spans="1:16" s="34" customFormat="1" x14ac:dyDescent="0.25">
      <c r="A586" s="91"/>
      <c r="B586" s="80"/>
      <c r="C586" s="80"/>
      <c r="D586" s="41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60"/>
    </row>
    <row r="587" spans="1:16" s="34" customFormat="1" x14ac:dyDescent="0.25">
      <c r="A587" s="91"/>
      <c r="B587" s="80"/>
      <c r="C587" s="80"/>
      <c r="D587" s="41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60"/>
    </row>
    <row r="588" spans="1:16" s="34" customFormat="1" x14ac:dyDescent="0.25">
      <c r="A588" s="91"/>
      <c r="B588" s="80"/>
      <c r="C588" s="80"/>
      <c r="D588" s="41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60"/>
    </row>
    <row r="589" spans="1:16" s="34" customFormat="1" x14ac:dyDescent="0.25">
      <c r="A589" s="91"/>
      <c r="B589" s="80"/>
      <c r="C589" s="80"/>
      <c r="D589" s="41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60"/>
    </row>
    <row r="590" spans="1:16" s="34" customFormat="1" x14ac:dyDescent="0.25">
      <c r="A590" s="91"/>
      <c r="B590" s="80"/>
      <c r="C590" s="80"/>
      <c r="D590" s="41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60"/>
    </row>
    <row r="591" spans="1:16" s="34" customFormat="1" x14ac:dyDescent="0.25">
      <c r="A591" s="91"/>
      <c r="B591" s="80"/>
      <c r="C591" s="80"/>
      <c r="D591" s="41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60"/>
    </row>
    <row r="592" spans="1:16" s="34" customFormat="1" x14ac:dyDescent="0.25">
      <c r="A592" s="91"/>
      <c r="B592" s="80"/>
      <c r="C592" s="80"/>
      <c r="D592" s="41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60"/>
    </row>
    <row r="593" spans="1:16" s="34" customFormat="1" x14ac:dyDescent="0.25">
      <c r="A593" s="91"/>
      <c r="B593" s="80"/>
      <c r="C593" s="80"/>
      <c r="D593" s="41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60"/>
    </row>
    <row r="594" spans="1:16" s="34" customFormat="1" x14ac:dyDescent="0.25">
      <c r="A594" s="91"/>
      <c r="B594" s="80"/>
      <c r="C594" s="80"/>
      <c r="D594" s="41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60"/>
    </row>
    <row r="595" spans="1:16" s="34" customFormat="1" x14ac:dyDescent="0.25">
      <c r="A595" s="91"/>
      <c r="B595" s="80"/>
      <c r="C595" s="80"/>
      <c r="D595" s="41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60"/>
    </row>
    <row r="596" spans="1:16" s="34" customFormat="1" x14ac:dyDescent="0.25">
      <c r="A596" s="91"/>
      <c r="B596" s="80"/>
      <c r="C596" s="80"/>
      <c r="D596" s="41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60"/>
    </row>
    <row r="597" spans="1:16" s="34" customFormat="1" x14ac:dyDescent="0.25">
      <c r="A597" s="91"/>
      <c r="B597" s="80"/>
      <c r="C597" s="80"/>
      <c r="D597" s="41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60"/>
    </row>
    <row r="598" spans="1:16" s="34" customFormat="1" x14ac:dyDescent="0.25">
      <c r="A598" s="91"/>
      <c r="B598" s="80"/>
      <c r="C598" s="80"/>
      <c r="D598" s="41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60"/>
    </row>
    <row r="599" spans="1:16" s="34" customFormat="1" x14ac:dyDescent="0.25">
      <c r="A599" s="91"/>
      <c r="B599" s="80"/>
      <c r="C599" s="80"/>
      <c r="D599" s="41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60"/>
    </row>
    <row r="600" spans="1:16" s="34" customFormat="1" x14ac:dyDescent="0.25">
      <c r="A600" s="91"/>
      <c r="B600" s="80"/>
      <c r="C600" s="80"/>
      <c r="D600" s="41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60"/>
    </row>
    <row r="601" spans="1:16" s="34" customFormat="1" x14ac:dyDescent="0.25">
      <c r="A601" s="91"/>
      <c r="B601" s="80"/>
      <c r="C601" s="80"/>
      <c r="D601" s="41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60"/>
    </row>
    <row r="602" spans="1:16" s="34" customFormat="1" x14ac:dyDescent="0.25">
      <c r="A602" s="91"/>
      <c r="B602" s="80"/>
      <c r="C602" s="80"/>
      <c r="D602" s="41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60"/>
    </row>
    <row r="603" spans="1:16" s="34" customFormat="1" x14ac:dyDescent="0.25">
      <c r="A603" s="91"/>
      <c r="B603" s="80"/>
      <c r="C603" s="80"/>
      <c r="D603" s="41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60"/>
    </row>
    <row r="604" spans="1:16" s="34" customFormat="1" x14ac:dyDescent="0.25">
      <c r="A604" s="91"/>
      <c r="B604" s="80"/>
      <c r="C604" s="80"/>
      <c r="D604" s="41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60"/>
    </row>
    <row r="605" spans="1:16" s="34" customFormat="1" x14ac:dyDescent="0.25">
      <c r="A605" s="91"/>
      <c r="B605" s="80"/>
      <c r="C605" s="80"/>
      <c r="D605" s="41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60"/>
    </row>
    <row r="606" spans="1:16" s="34" customFormat="1" x14ac:dyDescent="0.25">
      <c r="A606" s="91"/>
      <c r="B606" s="80"/>
      <c r="C606" s="80"/>
      <c r="D606" s="41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60"/>
    </row>
    <row r="607" spans="1:16" s="34" customFormat="1" x14ac:dyDescent="0.25">
      <c r="A607" s="91"/>
      <c r="B607" s="80"/>
      <c r="C607" s="80"/>
      <c r="D607" s="41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60"/>
    </row>
    <row r="608" spans="1:16" s="34" customFormat="1" x14ac:dyDescent="0.25">
      <c r="A608" s="91"/>
      <c r="B608" s="80"/>
      <c r="C608" s="80"/>
      <c r="D608" s="41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60"/>
    </row>
    <row r="609" spans="1:16" s="34" customFormat="1" x14ac:dyDescent="0.25">
      <c r="A609" s="91"/>
      <c r="B609" s="80"/>
      <c r="C609" s="80"/>
      <c r="D609" s="41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60"/>
    </row>
    <row r="610" spans="1:16" s="34" customFormat="1" x14ac:dyDescent="0.25">
      <c r="A610" s="91"/>
      <c r="B610" s="80"/>
      <c r="C610" s="80"/>
      <c r="D610" s="41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60"/>
    </row>
    <row r="611" spans="1:16" s="34" customFormat="1" x14ac:dyDescent="0.25">
      <c r="A611" s="91"/>
      <c r="B611" s="80"/>
      <c r="C611" s="80"/>
      <c r="D611" s="41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60"/>
    </row>
    <row r="612" spans="1:16" s="34" customFormat="1" x14ac:dyDescent="0.25">
      <c r="A612" s="91"/>
      <c r="B612" s="80"/>
      <c r="C612" s="80"/>
      <c r="D612" s="41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60"/>
    </row>
    <row r="613" spans="1:16" s="34" customFormat="1" x14ac:dyDescent="0.25">
      <c r="A613" s="91"/>
      <c r="B613" s="80"/>
      <c r="C613" s="80"/>
      <c r="D613" s="41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60"/>
    </row>
    <row r="614" spans="1:16" s="34" customFormat="1" x14ac:dyDescent="0.25">
      <c r="A614" s="91"/>
      <c r="B614" s="80"/>
      <c r="C614" s="80"/>
      <c r="D614" s="41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60"/>
    </row>
    <row r="615" spans="1:16" s="34" customFormat="1" x14ac:dyDescent="0.25">
      <c r="A615" s="91"/>
      <c r="B615" s="80"/>
      <c r="C615" s="80"/>
      <c r="D615" s="41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60"/>
    </row>
    <row r="616" spans="1:16" s="34" customFormat="1" x14ac:dyDescent="0.25">
      <c r="A616" s="91"/>
      <c r="B616" s="80"/>
      <c r="C616" s="80"/>
      <c r="D616" s="41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60"/>
    </row>
    <row r="617" spans="1:16" s="34" customFormat="1" x14ac:dyDescent="0.25">
      <c r="A617" s="91"/>
      <c r="B617" s="80"/>
      <c r="C617" s="80"/>
      <c r="D617" s="41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60"/>
    </row>
    <row r="618" spans="1:16" s="34" customFormat="1" x14ac:dyDescent="0.25">
      <c r="A618" s="91"/>
      <c r="B618" s="80"/>
      <c r="C618" s="80"/>
      <c r="D618" s="41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60"/>
    </row>
    <row r="619" spans="1:16" s="34" customFormat="1" x14ac:dyDescent="0.25">
      <c r="A619" s="91"/>
      <c r="B619" s="80"/>
      <c r="C619" s="80"/>
      <c r="D619" s="41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60"/>
    </row>
    <row r="620" spans="1:16" s="34" customFormat="1" x14ac:dyDescent="0.25">
      <c r="A620" s="91"/>
      <c r="B620" s="80"/>
      <c r="C620" s="80"/>
      <c r="D620" s="41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60"/>
    </row>
    <row r="621" spans="1:16" s="34" customFormat="1" x14ac:dyDescent="0.25">
      <c r="A621" s="91"/>
      <c r="B621" s="80"/>
      <c r="C621" s="80"/>
      <c r="D621" s="41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60"/>
    </row>
    <row r="622" spans="1:16" s="34" customFormat="1" x14ac:dyDescent="0.25">
      <c r="A622" s="91"/>
      <c r="B622" s="80"/>
      <c r="C622" s="80"/>
      <c r="D622" s="41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60"/>
    </row>
    <row r="623" spans="1:16" s="34" customFormat="1" x14ac:dyDescent="0.25">
      <c r="A623" s="91"/>
      <c r="B623" s="80"/>
      <c r="C623" s="80"/>
      <c r="D623" s="41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60"/>
    </row>
    <row r="624" spans="1:16" s="34" customFormat="1" x14ac:dyDescent="0.25">
      <c r="A624" s="91"/>
      <c r="B624" s="80"/>
      <c r="C624" s="80"/>
      <c r="D624" s="41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60"/>
    </row>
    <row r="625" spans="1:16" s="34" customFormat="1" x14ac:dyDescent="0.25">
      <c r="A625" s="91"/>
      <c r="B625" s="80"/>
      <c r="C625" s="80"/>
      <c r="D625" s="41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60"/>
    </row>
    <row r="626" spans="1:16" s="34" customFormat="1" x14ac:dyDescent="0.25">
      <c r="A626" s="91"/>
      <c r="B626" s="80"/>
      <c r="C626" s="80"/>
      <c r="D626" s="41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60"/>
    </row>
    <row r="627" spans="1:16" s="34" customFormat="1" x14ac:dyDescent="0.25">
      <c r="A627" s="91"/>
      <c r="B627" s="80"/>
      <c r="C627" s="80"/>
      <c r="D627" s="41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60"/>
    </row>
    <row r="628" spans="1:16" s="34" customFormat="1" x14ac:dyDescent="0.25">
      <c r="A628" s="91"/>
      <c r="B628" s="80"/>
      <c r="C628" s="80"/>
      <c r="D628" s="41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60"/>
    </row>
    <row r="629" spans="1:16" s="34" customFormat="1" x14ac:dyDescent="0.25">
      <c r="A629" s="91"/>
      <c r="B629" s="80"/>
      <c r="C629" s="80"/>
      <c r="D629" s="41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60"/>
    </row>
    <row r="630" spans="1:16" s="34" customFormat="1" x14ac:dyDescent="0.25">
      <c r="A630" s="91"/>
      <c r="B630" s="80"/>
      <c r="C630" s="80"/>
      <c r="D630" s="41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60"/>
    </row>
    <row r="631" spans="1:16" s="34" customFormat="1" x14ac:dyDescent="0.25">
      <c r="A631" s="91"/>
      <c r="B631" s="80"/>
      <c r="C631" s="80"/>
      <c r="D631" s="41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60"/>
    </row>
    <row r="632" spans="1:16" s="34" customFormat="1" x14ac:dyDescent="0.25">
      <c r="A632" s="91"/>
      <c r="B632" s="80"/>
      <c r="C632" s="80"/>
      <c r="D632" s="41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60"/>
    </row>
    <row r="633" spans="1:16" s="34" customFormat="1" x14ac:dyDescent="0.25">
      <c r="A633" s="91"/>
      <c r="B633" s="80"/>
      <c r="C633" s="80"/>
      <c r="D633" s="41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60"/>
    </row>
    <row r="634" spans="1:16" s="34" customFormat="1" x14ac:dyDescent="0.25">
      <c r="A634" s="91"/>
      <c r="B634" s="80"/>
      <c r="C634" s="80"/>
      <c r="D634" s="41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60"/>
    </row>
    <row r="635" spans="1:16" s="34" customFormat="1" x14ac:dyDescent="0.25">
      <c r="A635" s="91"/>
      <c r="B635" s="80"/>
      <c r="C635" s="80"/>
      <c r="D635" s="41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60"/>
    </row>
    <row r="636" spans="1:16" s="34" customFormat="1" x14ac:dyDescent="0.25">
      <c r="A636" s="91"/>
      <c r="B636" s="80"/>
      <c r="C636" s="80"/>
      <c r="D636" s="41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60"/>
    </row>
    <row r="637" spans="1:16" s="34" customFormat="1" x14ac:dyDescent="0.25">
      <c r="A637" s="91"/>
      <c r="B637" s="80"/>
      <c r="C637" s="80"/>
      <c r="D637" s="41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60"/>
    </row>
    <row r="638" spans="1:16" s="34" customFormat="1" x14ac:dyDescent="0.25">
      <c r="A638" s="91"/>
      <c r="B638" s="80"/>
      <c r="C638" s="80"/>
      <c r="D638" s="41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60"/>
    </row>
    <row r="639" spans="1:16" s="34" customFormat="1" x14ac:dyDescent="0.25">
      <c r="A639" s="91"/>
      <c r="B639" s="80"/>
      <c r="C639" s="80"/>
      <c r="D639" s="41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60"/>
    </row>
    <row r="640" spans="1:16" s="34" customFormat="1" x14ac:dyDescent="0.25">
      <c r="A640" s="91"/>
      <c r="B640" s="80"/>
      <c r="C640" s="80"/>
      <c r="D640" s="41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60"/>
    </row>
    <row r="641" spans="1:16" s="34" customFormat="1" x14ac:dyDescent="0.25">
      <c r="A641" s="91"/>
      <c r="B641" s="80"/>
      <c r="C641" s="80"/>
      <c r="D641" s="41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60"/>
    </row>
    <row r="642" spans="1:16" s="34" customFormat="1" x14ac:dyDescent="0.25">
      <c r="A642" s="91"/>
      <c r="B642" s="80"/>
      <c r="C642" s="80"/>
      <c r="D642" s="41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60"/>
    </row>
    <row r="643" spans="1:16" s="34" customFormat="1" x14ac:dyDescent="0.25">
      <c r="A643" s="91"/>
      <c r="B643" s="80"/>
      <c r="C643" s="80"/>
      <c r="D643" s="41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60"/>
    </row>
    <row r="644" spans="1:16" s="34" customFormat="1" x14ac:dyDescent="0.25">
      <c r="A644" s="91"/>
      <c r="B644" s="80"/>
      <c r="C644" s="80"/>
      <c r="D644" s="41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60"/>
    </row>
    <row r="645" spans="1:16" s="34" customFormat="1" x14ac:dyDescent="0.25">
      <c r="A645" s="91"/>
      <c r="B645" s="80"/>
      <c r="C645" s="80"/>
      <c r="D645" s="41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60"/>
    </row>
    <row r="646" spans="1:16" s="34" customFormat="1" x14ac:dyDescent="0.25">
      <c r="A646" s="91"/>
      <c r="B646" s="80"/>
      <c r="C646" s="80"/>
      <c r="D646" s="41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60"/>
    </row>
    <row r="647" spans="1:16" s="34" customFormat="1" x14ac:dyDescent="0.25">
      <c r="A647" s="91"/>
      <c r="B647" s="80"/>
      <c r="C647" s="80"/>
      <c r="D647" s="41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60"/>
    </row>
    <row r="648" spans="1:16" s="34" customFormat="1" x14ac:dyDescent="0.25">
      <c r="A648" s="91"/>
      <c r="B648" s="80"/>
      <c r="C648" s="80"/>
      <c r="D648" s="41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60"/>
    </row>
    <row r="649" spans="1:16" s="34" customFormat="1" x14ac:dyDescent="0.25">
      <c r="A649" s="91"/>
      <c r="B649" s="80"/>
      <c r="C649" s="80"/>
      <c r="D649" s="41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60"/>
    </row>
    <row r="650" spans="1:16" s="34" customFormat="1" x14ac:dyDescent="0.25">
      <c r="A650" s="91"/>
      <c r="B650" s="80"/>
      <c r="C650" s="80"/>
      <c r="D650" s="41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60"/>
    </row>
    <row r="651" spans="1:16" s="34" customFormat="1" x14ac:dyDescent="0.25">
      <c r="A651" s="91"/>
      <c r="B651" s="80"/>
      <c r="C651" s="80"/>
      <c r="D651" s="41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60"/>
    </row>
    <row r="652" spans="1:16" s="34" customFormat="1" x14ac:dyDescent="0.25">
      <c r="A652" s="91"/>
      <c r="B652" s="80"/>
      <c r="C652" s="80"/>
      <c r="D652" s="41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60"/>
    </row>
    <row r="653" spans="1:16" s="34" customFormat="1" x14ac:dyDescent="0.25">
      <c r="A653" s="91"/>
      <c r="B653" s="80"/>
      <c r="C653" s="80"/>
      <c r="D653" s="41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60"/>
    </row>
    <row r="654" spans="1:16" s="34" customFormat="1" x14ac:dyDescent="0.25">
      <c r="A654" s="91"/>
      <c r="B654" s="80"/>
      <c r="C654" s="80"/>
      <c r="D654" s="41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60"/>
    </row>
    <row r="655" spans="1:16" s="34" customFormat="1" x14ac:dyDescent="0.25">
      <c r="A655" s="91"/>
      <c r="B655" s="80"/>
      <c r="C655" s="80"/>
      <c r="D655" s="41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60"/>
    </row>
    <row r="656" spans="1:16" s="34" customFormat="1" x14ac:dyDescent="0.25">
      <c r="A656" s="91"/>
      <c r="B656" s="80"/>
      <c r="C656" s="80"/>
      <c r="D656" s="41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60"/>
    </row>
    <row r="657" spans="1:16" s="34" customFormat="1" x14ac:dyDescent="0.25">
      <c r="A657" s="91"/>
      <c r="B657" s="80"/>
      <c r="C657" s="80"/>
      <c r="D657" s="41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60"/>
    </row>
    <row r="658" spans="1:16" s="34" customFormat="1" x14ac:dyDescent="0.25">
      <c r="A658" s="91"/>
      <c r="B658" s="80"/>
      <c r="C658" s="80"/>
      <c r="D658" s="41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60"/>
    </row>
    <row r="659" spans="1:16" s="34" customFormat="1" x14ac:dyDescent="0.25">
      <c r="A659" s="91"/>
      <c r="B659" s="80"/>
      <c r="C659" s="80"/>
      <c r="D659" s="41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60"/>
    </row>
    <row r="660" spans="1:16" s="34" customFormat="1" x14ac:dyDescent="0.25">
      <c r="A660" s="91"/>
      <c r="B660" s="80"/>
      <c r="C660" s="80"/>
      <c r="D660" s="41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60"/>
    </row>
    <row r="661" spans="1:16" s="34" customFormat="1" x14ac:dyDescent="0.25">
      <c r="A661" s="91"/>
      <c r="B661" s="80"/>
      <c r="C661" s="80"/>
      <c r="D661" s="41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60"/>
    </row>
    <row r="662" spans="1:16" s="34" customFormat="1" x14ac:dyDescent="0.25">
      <c r="A662" s="91"/>
      <c r="B662" s="80"/>
      <c r="C662" s="80"/>
      <c r="D662" s="41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60"/>
    </row>
    <row r="663" spans="1:16" s="34" customFormat="1" x14ac:dyDescent="0.25">
      <c r="A663" s="91"/>
      <c r="B663" s="80"/>
      <c r="C663" s="80"/>
      <c r="D663" s="41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60"/>
    </row>
    <row r="664" spans="1:16" s="34" customFormat="1" x14ac:dyDescent="0.25">
      <c r="A664" s="91"/>
      <c r="B664" s="80"/>
      <c r="C664" s="80"/>
      <c r="D664" s="41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60"/>
    </row>
    <row r="665" spans="1:16" s="34" customFormat="1" x14ac:dyDescent="0.25">
      <c r="A665" s="91"/>
      <c r="B665" s="80"/>
      <c r="C665" s="80"/>
      <c r="D665" s="41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60"/>
    </row>
    <row r="666" spans="1:16" s="34" customFormat="1" x14ac:dyDescent="0.25">
      <c r="A666" s="91"/>
      <c r="B666" s="80"/>
      <c r="C666" s="80"/>
      <c r="D666" s="41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60"/>
    </row>
    <row r="667" spans="1:16" s="34" customFormat="1" x14ac:dyDescent="0.25">
      <c r="A667" s="91"/>
      <c r="B667" s="80"/>
      <c r="C667" s="80"/>
      <c r="D667" s="41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60"/>
    </row>
    <row r="668" spans="1:16" s="34" customFormat="1" x14ac:dyDescent="0.25">
      <c r="A668" s="91"/>
      <c r="B668" s="80"/>
      <c r="C668" s="80"/>
      <c r="D668" s="41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60"/>
    </row>
    <row r="669" spans="1:16" s="34" customFormat="1" x14ac:dyDescent="0.25">
      <c r="A669" s="91"/>
      <c r="B669" s="80"/>
      <c r="C669" s="80"/>
      <c r="D669" s="41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60"/>
    </row>
    <row r="670" spans="1:16" s="34" customFormat="1" x14ac:dyDescent="0.25">
      <c r="A670" s="91"/>
      <c r="B670" s="80"/>
      <c r="C670" s="80"/>
      <c r="D670" s="41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60"/>
    </row>
    <row r="671" spans="1:16" s="34" customFormat="1" x14ac:dyDescent="0.25">
      <c r="A671" s="91"/>
      <c r="B671" s="80"/>
      <c r="C671" s="80"/>
      <c r="D671" s="41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60"/>
    </row>
    <row r="672" spans="1:16" s="34" customFormat="1" x14ac:dyDescent="0.25">
      <c r="A672" s="91"/>
      <c r="B672" s="80"/>
      <c r="C672" s="80"/>
      <c r="D672" s="41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60"/>
    </row>
    <row r="673" spans="1:16" s="34" customFormat="1" x14ac:dyDescent="0.25">
      <c r="A673" s="91"/>
      <c r="B673" s="80"/>
      <c r="C673" s="80"/>
      <c r="D673" s="41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60"/>
    </row>
    <row r="674" spans="1:16" s="34" customFormat="1" x14ac:dyDescent="0.25">
      <c r="A674" s="91"/>
      <c r="B674" s="80"/>
      <c r="C674" s="80"/>
      <c r="D674" s="41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60"/>
    </row>
    <row r="675" spans="1:16" s="34" customFormat="1" x14ac:dyDescent="0.25">
      <c r="A675" s="91"/>
      <c r="B675" s="80"/>
      <c r="C675" s="80"/>
      <c r="D675" s="41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60"/>
    </row>
    <row r="676" spans="1:16" s="34" customFormat="1" x14ac:dyDescent="0.25">
      <c r="A676" s="91"/>
      <c r="B676" s="80"/>
      <c r="C676" s="80"/>
      <c r="D676" s="41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60"/>
    </row>
    <row r="677" spans="1:16" s="34" customFormat="1" x14ac:dyDescent="0.25">
      <c r="A677" s="91"/>
      <c r="B677" s="80"/>
      <c r="C677" s="80"/>
      <c r="D677" s="41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60"/>
    </row>
    <row r="678" spans="1:16" s="34" customFormat="1" x14ac:dyDescent="0.25">
      <c r="A678" s="91"/>
      <c r="B678" s="80"/>
      <c r="C678" s="80"/>
      <c r="D678" s="41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60"/>
    </row>
    <row r="679" spans="1:16" s="34" customFormat="1" x14ac:dyDescent="0.25">
      <c r="A679" s="91"/>
      <c r="B679" s="80"/>
      <c r="C679" s="80"/>
      <c r="D679" s="41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60"/>
    </row>
    <row r="680" spans="1:16" s="34" customFormat="1" x14ac:dyDescent="0.25">
      <c r="A680" s="91"/>
      <c r="B680" s="80"/>
      <c r="C680" s="80"/>
      <c r="D680" s="41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60"/>
    </row>
    <row r="681" spans="1:16" s="34" customFormat="1" x14ac:dyDescent="0.25">
      <c r="A681" s="91"/>
      <c r="B681" s="80"/>
      <c r="C681" s="80"/>
      <c r="D681" s="41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60"/>
    </row>
    <row r="682" spans="1:16" s="34" customFormat="1" x14ac:dyDescent="0.25">
      <c r="A682" s="91"/>
      <c r="B682" s="80"/>
      <c r="C682" s="80"/>
      <c r="D682" s="41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60"/>
    </row>
    <row r="683" spans="1:16" s="34" customFormat="1" x14ac:dyDescent="0.25">
      <c r="A683" s="91"/>
      <c r="B683" s="80"/>
      <c r="C683" s="80"/>
      <c r="D683" s="41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60"/>
    </row>
    <row r="684" spans="1:16" s="34" customFormat="1" x14ac:dyDescent="0.25">
      <c r="A684" s="91"/>
      <c r="B684" s="80"/>
      <c r="C684" s="80"/>
      <c r="D684" s="41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60"/>
    </row>
    <row r="685" spans="1:16" s="34" customFormat="1" x14ac:dyDescent="0.25">
      <c r="A685" s="91"/>
      <c r="B685" s="80"/>
      <c r="C685" s="80"/>
      <c r="D685" s="41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60"/>
    </row>
    <row r="686" spans="1:16" s="34" customFormat="1" x14ac:dyDescent="0.25">
      <c r="A686" s="91"/>
      <c r="B686" s="80"/>
      <c r="C686" s="80"/>
      <c r="D686" s="41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60"/>
    </row>
    <row r="687" spans="1:16" s="34" customFormat="1" x14ac:dyDescent="0.25">
      <c r="A687" s="91"/>
      <c r="B687" s="80"/>
      <c r="C687" s="80"/>
      <c r="D687" s="41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60"/>
    </row>
    <row r="688" spans="1:16" s="34" customFormat="1" x14ac:dyDescent="0.25">
      <c r="A688" s="91"/>
      <c r="B688" s="80"/>
      <c r="C688" s="80"/>
      <c r="D688" s="41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60"/>
    </row>
    <row r="689" spans="1:16" s="34" customFormat="1" x14ac:dyDescent="0.25">
      <c r="A689" s="91"/>
      <c r="B689" s="80"/>
      <c r="C689" s="80"/>
      <c r="D689" s="41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60"/>
    </row>
    <row r="690" spans="1:16" s="34" customFormat="1" x14ac:dyDescent="0.25">
      <c r="A690" s="91"/>
      <c r="B690" s="80"/>
      <c r="C690" s="80"/>
      <c r="D690" s="41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60"/>
    </row>
    <row r="691" spans="1:16" s="34" customFormat="1" x14ac:dyDescent="0.25">
      <c r="A691" s="91"/>
      <c r="B691" s="80"/>
      <c r="C691" s="80"/>
      <c r="D691" s="41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60"/>
    </row>
    <row r="692" spans="1:16" s="34" customFormat="1" x14ac:dyDescent="0.25">
      <c r="A692" s="91"/>
      <c r="B692" s="80"/>
      <c r="C692" s="80"/>
      <c r="D692" s="41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60"/>
    </row>
    <row r="693" spans="1:16" s="34" customFormat="1" x14ac:dyDescent="0.25">
      <c r="A693" s="91"/>
      <c r="B693" s="80"/>
      <c r="C693" s="80"/>
      <c r="D693" s="41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60"/>
    </row>
    <row r="694" spans="1:16" s="34" customFormat="1" x14ac:dyDescent="0.25">
      <c r="A694" s="91"/>
      <c r="B694" s="80"/>
      <c r="C694" s="80"/>
      <c r="D694" s="41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60"/>
    </row>
    <row r="695" spans="1:16" s="34" customFormat="1" x14ac:dyDescent="0.25">
      <c r="A695" s="91"/>
      <c r="B695" s="80"/>
      <c r="C695" s="80"/>
      <c r="D695" s="41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60"/>
    </row>
    <row r="696" spans="1:16" s="34" customFormat="1" x14ac:dyDescent="0.25">
      <c r="A696" s="91"/>
      <c r="B696" s="80"/>
      <c r="C696" s="80"/>
      <c r="D696" s="41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60"/>
    </row>
    <row r="697" spans="1:16" s="34" customFormat="1" x14ac:dyDescent="0.25">
      <c r="A697" s="91"/>
      <c r="B697" s="80"/>
      <c r="C697" s="80"/>
      <c r="D697" s="41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60"/>
    </row>
    <row r="698" spans="1:16" s="34" customFormat="1" x14ac:dyDescent="0.25">
      <c r="A698" s="91"/>
      <c r="B698" s="80"/>
      <c r="C698" s="80"/>
      <c r="D698" s="41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60"/>
    </row>
    <row r="699" spans="1:16" s="34" customFormat="1" x14ac:dyDescent="0.25">
      <c r="A699" s="91"/>
      <c r="B699" s="80"/>
      <c r="C699" s="80"/>
      <c r="D699" s="41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60"/>
    </row>
    <row r="700" spans="1:16" s="34" customFormat="1" x14ac:dyDescent="0.25">
      <c r="A700" s="91"/>
      <c r="B700" s="80"/>
      <c r="C700" s="80"/>
      <c r="D700" s="41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60"/>
    </row>
    <row r="701" spans="1:16" s="34" customFormat="1" x14ac:dyDescent="0.25">
      <c r="A701" s="91"/>
      <c r="B701" s="80"/>
      <c r="C701" s="80"/>
      <c r="D701" s="41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60"/>
    </row>
    <row r="702" spans="1:16" s="34" customFormat="1" x14ac:dyDescent="0.25">
      <c r="A702" s="91"/>
      <c r="B702" s="80"/>
      <c r="C702" s="80"/>
      <c r="D702" s="41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60"/>
    </row>
    <row r="703" spans="1:16" s="34" customFormat="1" x14ac:dyDescent="0.25">
      <c r="A703" s="91"/>
      <c r="B703" s="80"/>
      <c r="C703" s="80"/>
      <c r="D703" s="41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60"/>
    </row>
    <row r="704" spans="1:16" s="34" customFormat="1" x14ac:dyDescent="0.25">
      <c r="A704" s="91"/>
      <c r="B704" s="80"/>
      <c r="C704" s="80"/>
      <c r="D704" s="41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60"/>
    </row>
    <row r="705" spans="1:16" s="34" customFormat="1" x14ac:dyDescent="0.25">
      <c r="A705" s="91"/>
      <c r="B705" s="80"/>
      <c r="C705" s="80"/>
      <c r="D705" s="41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60"/>
    </row>
    <row r="706" spans="1:16" s="34" customFormat="1" x14ac:dyDescent="0.25">
      <c r="A706" s="91"/>
      <c r="B706" s="80"/>
      <c r="C706" s="80"/>
      <c r="D706" s="41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60"/>
    </row>
  </sheetData>
  <mergeCells count="21">
    <mergeCell ref="J16:J17"/>
    <mergeCell ref="K16:K17"/>
    <mergeCell ref="E16:E17"/>
    <mergeCell ref="F16:F17"/>
    <mergeCell ref="E15:I15"/>
    <mergeCell ref="L1:O1"/>
    <mergeCell ref="L4:P4"/>
    <mergeCell ref="L3:P3"/>
    <mergeCell ref="N212:P212"/>
    <mergeCell ref="L16:L17"/>
    <mergeCell ref="M16:N16"/>
    <mergeCell ref="O16:O17"/>
    <mergeCell ref="A11:P11"/>
    <mergeCell ref="A15:A17"/>
    <mergeCell ref="C15:C17"/>
    <mergeCell ref="B15:B17"/>
    <mergeCell ref="D15:D17"/>
    <mergeCell ref="G16:H16"/>
    <mergeCell ref="J15:O15"/>
    <mergeCell ref="I16:I17"/>
    <mergeCell ref="P15:P17"/>
  </mergeCells>
  <phoneticPr fontId="3" type="noConversion"/>
  <printOptions horizontalCentered="1"/>
  <pageMargins left="0.15748031496062992" right="7.874015748031496E-2" top="0.70866141732283472" bottom="0.35433070866141736" header="0.47244094488188981" footer="0.19685039370078741"/>
  <pageSetup paperSize="9" scale="45" fitToHeight="100" orientation="landscape" useFirstPageNumber="1" r:id="rId1"/>
  <headerFooter scaleWithDoc="0" alignWithMargins="0">
    <oddFooter>&amp;R&amp;9Сторінка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showGridLines="0" showZeros="0" view="pageBreakPreview" topLeftCell="C139" zoomScale="59" zoomScaleNormal="65" zoomScaleSheetLayoutView="59" workbookViewId="0">
      <selection activeCell="E112" sqref="E112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2.5" style="4" customWidth="1"/>
    <col min="5" max="5" width="24" style="4" customWidth="1"/>
    <col min="6" max="6" width="20.5" style="4" customWidth="1"/>
    <col min="7" max="7" width="21.6640625" style="4" customWidth="1"/>
    <col min="8" max="8" width="20" style="4" customWidth="1"/>
    <col min="9" max="9" width="20.5" style="4" customWidth="1"/>
    <col min="10" max="10" width="20.33203125" style="4" customWidth="1"/>
    <col min="11" max="11" width="20.1640625" style="4" customWidth="1"/>
    <col min="12" max="12" width="18.1640625" style="4" customWidth="1"/>
    <col min="13" max="13" width="17.5" style="4" customWidth="1"/>
    <col min="14" max="14" width="22.5" style="4" customWidth="1"/>
    <col min="15" max="15" width="22" style="4" customWidth="1"/>
    <col min="16" max="16384" width="9.1640625" style="4"/>
  </cols>
  <sheetData>
    <row r="1" spans="1:16" ht="31.5" x14ac:dyDescent="0.25">
      <c r="J1" s="132"/>
      <c r="K1" s="151" t="s">
        <v>472</v>
      </c>
      <c r="L1" s="151"/>
      <c r="M1" s="151"/>
      <c r="N1" s="151"/>
      <c r="O1" s="123"/>
    </row>
    <row r="2" spans="1:16" ht="31.5" x14ac:dyDescent="0.25">
      <c r="J2" s="132"/>
      <c r="K2" s="123" t="s">
        <v>453</v>
      </c>
      <c r="L2" s="123"/>
      <c r="M2" s="123"/>
      <c r="N2" s="123"/>
      <c r="O2" s="94"/>
      <c r="P2" s="34"/>
    </row>
    <row r="3" spans="1:16" ht="31.5" x14ac:dyDescent="0.25">
      <c r="J3" s="132"/>
      <c r="K3" s="153" t="s">
        <v>454</v>
      </c>
      <c r="L3" s="153"/>
      <c r="M3" s="153"/>
      <c r="N3" s="153"/>
      <c r="O3" s="153"/>
      <c r="P3" s="34"/>
    </row>
    <row r="4" spans="1:16" ht="31.5" x14ac:dyDescent="0.25">
      <c r="J4" s="132"/>
      <c r="K4" s="152" t="s">
        <v>455</v>
      </c>
      <c r="L4" s="152"/>
      <c r="M4" s="152"/>
      <c r="N4" s="152"/>
      <c r="O4" s="152"/>
      <c r="P4" s="34"/>
    </row>
    <row r="5" spans="1:16" ht="31.5" x14ac:dyDescent="0.25">
      <c r="J5" s="132"/>
      <c r="K5" s="123" t="s">
        <v>456</v>
      </c>
      <c r="L5" s="123"/>
      <c r="M5" s="123"/>
      <c r="N5" s="123"/>
      <c r="O5" s="123"/>
      <c r="P5" s="34"/>
    </row>
    <row r="6" spans="1:16" ht="31.5" x14ac:dyDescent="0.25">
      <c r="J6" s="132"/>
      <c r="K6" s="123" t="s">
        <v>462</v>
      </c>
      <c r="L6" s="123"/>
      <c r="M6" s="123"/>
      <c r="N6" s="123"/>
      <c r="O6" s="123"/>
      <c r="P6" s="34"/>
    </row>
    <row r="7" spans="1:16" ht="31.5" x14ac:dyDescent="0.25">
      <c r="J7" s="132"/>
      <c r="K7" s="123" t="s">
        <v>470</v>
      </c>
      <c r="L7" s="123"/>
      <c r="M7" s="123"/>
      <c r="N7" s="123"/>
      <c r="O7" s="123"/>
      <c r="P7" s="34"/>
    </row>
    <row r="8" spans="1:16" ht="31.5" x14ac:dyDescent="0.25">
      <c r="J8" s="132"/>
      <c r="K8" s="149" t="s">
        <v>461</v>
      </c>
      <c r="L8" s="149"/>
      <c r="M8" s="149"/>
      <c r="N8" s="149"/>
      <c r="O8" s="149"/>
      <c r="P8" s="34"/>
    </row>
    <row r="9" spans="1:16" ht="26.25" customHeight="1" x14ac:dyDescent="0.4">
      <c r="J9" s="135"/>
      <c r="K9" s="113" t="s">
        <v>473</v>
      </c>
      <c r="L9" s="113"/>
      <c r="M9" s="113"/>
      <c r="N9" s="113"/>
      <c r="O9" s="113"/>
      <c r="P9" s="116"/>
    </row>
    <row r="10" spans="1:16" ht="26.25" customHeight="1" x14ac:dyDescent="0.25">
      <c r="J10" s="124"/>
      <c r="K10" s="124"/>
      <c r="L10" s="124"/>
      <c r="M10" s="124"/>
      <c r="N10" s="124"/>
      <c r="O10" s="124"/>
      <c r="P10" s="124"/>
    </row>
    <row r="11" spans="1:16" ht="29.25" customHeight="1" x14ac:dyDescent="0.4">
      <c r="J11" s="123"/>
      <c r="K11" s="113"/>
      <c r="L11" s="113"/>
      <c r="M11" s="113"/>
      <c r="N11" s="113"/>
      <c r="O11" s="114"/>
      <c r="P11" s="34"/>
    </row>
    <row r="12" spans="1:16" ht="65.25" customHeight="1" x14ac:dyDescent="0.25">
      <c r="A12" s="158" t="s">
        <v>436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6" ht="31.5" customHeight="1" x14ac:dyDescent="0.25">
      <c r="A13" s="160" t="s">
        <v>424</v>
      </c>
      <c r="B13" s="160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6" ht="21" customHeight="1" x14ac:dyDescent="0.25">
      <c r="A14" s="161" t="s">
        <v>445</v>
      </c>
      <c r="B14" s="16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6" s="17" customFormat="1" ht="24" customHeight="1" x14ac:dyDescent="0.3">
      <c r="A15" s="14"/>
      <c r="B15" s="15"/>
      <c r="C15" s="16"/>
      <c r="O15" s="122" t="s">
        <v>420</v>
      </c>
    </row>
    <row r="16" spans="1:16" s="82" customFormat="1" ht="21.75" customHeight="1" x14ac:dyDescent="0.25">
      <c r="A16" s="159" t="s">
        <v>398</v>
      </c>
      <c r="B16" s="159" t="s">
        <v>384</v>
      </c>
      <c r="C16" s="159" t="s">
        <v>400</v>
      </c>
      <c r="D16" s="155" t="s">
        <v>265</v>
      </c>
      <c r="E16" s="155"/>
      <c r="F16" s="155"/>
      <c r="G16" s="155"/>
      <c r="H16" s="155"/>
      <c r="I16" s="155" t="s">
        <v>266</v>
      </c>
      <c r="J16" s="155"/>
      <c r="K16" s="155"/>
      <c r="L16" s="155"/>
      <c r="M16" s="155"/>
      <c r="N16" s="155"/>
      <c r="O16" s="155" t="s">
        <v>267</v>
      </c>
    </row>
    <row r="17" spans="1:15" s="82" customFormat="1" ht="29.25" customHeight="1" x14ac:dyDescent="0.25">
      <c r="A17" s="159"/>
      <c r="B17" s="159"/>
      <c r="C17" s="159"/>
      <c r="D17" s="155" t="s">
        <v>385</v>
      </c>
      <c r="E17" s="155" t="s">
        <v>268</v>
      </c>
      <c r="F17" s="155"/>
      <c r="G17" s="155"/>
      <c r="H17" s="155" t="s">
        <v>270</v>
      </c>
      <c r="I17" s="155" t="s">
        <v>385</v>
      </c>
      <c r="J17" s="155" t="s">
        <v>386</v>
      </c>
      <c r="K17" s="155" t="s">
        <v>268</v>
      </c>
      <c r="L17" s="155" t="s">
        <v>269</v>
      </c>
      <c r="M17" s="155"/>
      <c r="N17" s="155" t="s">
        <v>270</v>
      </c>
      <c r="O17" s="155"/>
    </row>
    <row r="18" spans="1:15" s="82" customFormat="1" ht="75.75" customHeight="1" x14ac:dyDescent="0.25">
      <c r="A18" s="159"/>
      <c r="B18" s="159"/>
      <c r="C18" s="159"/>
      <c r="D18" s="155"/>
      <c r="E18" s="155"/>
      <c r="F18" s="79" t="s">
        <v>271</v>
      </c>
      <c r="G18" s="79" t="s">
        <v>272</v>
      </c>
      <c r="H18" s="155"/>
      <c r="I18" s="155"/>
      <c r="J18" s="155"/>
      <c r="K18" s="155"/>
      <c r="L18" s="79" t="s">
        <v>271</v>
      </c>
      <c r="M18" s="79" t="s">
        <v>272</v>
      </c>
      <c r="N18" s="155"/>
      <c r="O18" s="155"/>
    </row>
    <row r="19" spans="1:15" s="82" customFormat="1" ht="27.75" customHeight="1" x14ac:dyDescent="0.25">
      <c r="A19" s="7" t="s">
        <v>57</v>
      </c>
      <c r="B19" s="8"/>
      <c r="C19" s="9" t="s">
        <v>58</v>
      </c>
      <c r="D19" s="61">
        <f t="shared" ref="D19:O19" si="0">D20+D21</f>
        <v>237179000</v>
      </c>
      <c r="E19" s="61">
        <f t="shared" si="0"/>
        <v>237179000</v>
      </c>
      <c r="F19" s="61">
        <f t="shared" si="0"/>
        <v>179411600</v>
      </c>
      <c r="G19" s="61">
        <f t="shared" si="0"/>
        <v>4717900</v>
      </c>
      <c r="H19" s="61">
        <f t="shared" si="0"/>
        <v>0</v>
      </c>
      <c r="I19" s="61">
        <f t="shared" si="0"/>
        <v>4615200</v>
      </c>
      <c r="J19" s="61">
        <f t="shared" si="0"/>
        <v>1415200</v>
      </c>
      <c r="K19" s="61">
        <f t="shared" si="0"/>
        <v>3200000</v>
      </c>
      <c r="L19" s="61">
        <f t="shared" si="0"/>
        <v>2348000</v>
      </c>
      <c r="M19" s="61">
        <f t="shared" si="0"/>
        <v>90600</v>
      </c>
      <c r="N19" s="61">
        <f t="shared" si="0"/>
        <v>1415200</v>
      </c>
      <c r="O19" s="61">
        <f t="shared" si="0"/>
        <v>241794200</v>
      </c>
    </row>
    <row r="20" spans="1:15" ht="57.75" customHeight="1" x14ac:dyDescent="0.25">
      <c r="A20" s="46" t="s">
        <v>140</v>
      </c>
      <c r="B20" s="46" t="s">
        <v>60</v>
      </c>
      <c r="C20" s="6" t="s">
        <v>141</v>
      </c>
      <c r="D20" s="62">
        <f>'дод 3'!E20+'дод 3'!E55+'дод 3'!E82+'дод 3'!E100+'дод 3'!E122+'дод 3'!E127+'дод 3'!E138+'дод 3'!E165+'дод 3'!E168+'дод 3'!E182+'дод 3'!E187+'дод 3'!E190+'дод 3'!E198</f>
        <v>236869000</v>
      </c>
      <c r="E20" s="62">
        <f>'дод 3'!F20+'дод 3'!F55+'дод 3'!F82+'дод 3'!F100+'дод 3'!F122+'дод 3'!F127+'дод 3'!F138+'дод 3'!F165+'дод 3'!F168+'дод 3'!F182+'дод 3'!F187+'дод 3'!F190+'дод 3'!F198</f>
        <v>236869000</v>
      </c>
      <c r="F20" s="62">
        <f>'дод 3'!G20+'дод 3'!G55+'дод 3'!G82+'дод 3'!G100+'дод 3'!G122+'дод 3'!G127+'дод 3'!G138+'дод 3'!G165+'дод 3'!G168+'дод 3'!G182+'дод 3'!G187+'дод 3'!G190+'дод 3'!G198</f>
        <v>179411600</v>
      </c>
      <c r="G20" s="62">
        <f>'дод 3'!H20+'дод 3'!H55+'дод 3'!H82+'дод 3'!H100+'дод 3'!H122+'дод 3'!H127+'дод 3'!H138+'дод 3'!H165+'дод 3'!H168+'дод 3'!H182+'дод 3'!H187+'дод 3'!H190+'дод 3'!H198</f>
        <v>4717900</v>
      </c>
      <c r="H20" s="62">
        <f>'дод 3'!I20+'дод 3'!I55+'дод 3'!I82+'дод 3'!I100+'дод 3'!I122+'дод 3'!I127+'дод 3'!I138+'дод 3'!I165+'дод 3'!I168+'дод 3'!I182+'дод 3'!I187+'дод 3'!I190+'дод 3'!I198</f>
        <v>0</v>
      </c>
      <c r="I20" s="62">
        <f>'дод 3'!J20+'дод 3'!J55+'дод 3'!J82+'дод 3'!J100+'дод 3'!J122+'дод 3'!J127+'дод 3'!J138+'дод 3'!J165+'дод 3'!J168+'дод 3'!J182+'дод 3'!J187+'дод 3'!J190+'дод 3'!J198</f>
        <v>4615200</v>
      </c>
      <c r="J20" s="62">
        <f>'дод 3'!K20+'дод 3'!K55+'дод 3'!K82+'дод 3'!K100+'дод 3'!K122+'дод 3'!K127+'дод 3'!K138+'дод 3'!K165+'дод 3'!K168+'дод 3'!K182+'дод 3'!K187+'дод 3'!K190+'дод 3'!K198</f>
        <v>1415200</v>
      </c>
      <c r="K20" s="62">
        <f>'дод 3'!L20+'дод 3'!L55+'дод 3'!L82+'дод 3'!L100+'дод 3'!L122+'дод 3'!L127+'дод 3'!L138+'дод 3'!L165+'дод 3'!L168+'дод 3'!L182+'дод 3'!L187+'дод 3'!L190+'дод 3'!L198</f>
        <v>3200000</v>
      </c>
      <c r="L20" s="62">
        <f>'дод 3'!M20+'дод 3'!M55+'дод 3'!M82+'дод 3'!M100+'дод 3'!M122+'дод 3'!M127+'дод 3'!M138+'дод 3'!M165+'дод 3'!M168+'дод 3'!M182+'дод 3'!M187+'дод 3'!M190+'дод 3'!M198</f>
        <v>2348000</v>
      </c>
      <c r="M20" s="62">
        <f>'дод 3'!N20+'дод 3'!N55+'дод 3'!N82+'дод 3'!N100+'дод 3'!N122+'дод 3'!N127+'дод 3'!N138+'дод 3'!N165+'дод 3'!N168+'дод 3'!N182+'дод 3'!N187+'дод 3'!N190+'дод 3'!N198</f>
        <v>90600</v>
      </c>
      <c r="N20" s="62">
        <f>'дод 3'!O20+'дод 3'!O55+'дод 3'!O82+'дод 3'!O100+'дод 3'!O122+'дод 3'!O127+'дод 3'!O138+'дод 3'!O165+'дод 3'!O168+'дод 3'!O182+'дод 3'!O187+'дод 3'!O190+'дод 3'!O198</f>
        <v>1415200</v>
      </c>
      <c r="O20" s="62">
        <f>'дод 3'!P20+'дод 3'!P55+'дод 3'!P82+'дод 3'!P100+'дод 3'!P122+'дод 3'!P127+'дод 3'!P138+'дод 3'!P165+'дод 3'!P168+'дод 3'!P182+'дод 3'!P187+'дод 3'!P190+'дод 3'!P198</f>
        <v>241484200</v>
      </c>
    </row>
    <row r="21" spans="1:15" ht="27" customHeight="1" x14ac:dyDescent="0.25">
      <c r="A21" s="46" t="s">
        <v>59</v>
      </c>
      <c r="B21" s="46" t="s">
        <v>113</v>
      </c>
      <c r="C21" s="6" t="s">
        <v>284</v>
      </c>
      <c r="D21" s="62">
        <f>'дод 3'!E21</f>
        <v>310000</v>
      </c>
      <c r="E21" s="62">
        <f>'дод 3'!F21</f>
        <v>310000</v>
      </c>
      <c r="F21" s="62">
        <f>'дод 3'!G21</f>
        <v>0</v>
      </c>
      <c r="G21" s="62">
        <f>'дод 3'!H21</f>
        <v>0</v>
      </c>
      <c r="H21" s="62">
        <f>'дод 3'!I21</f>
        <v>0</v>
      </c>
      <c r="I21" s="62">
        <f>'дод 3'!J21</f>
        <v>0</v>
      </c>
      <c r="J21" s="62">
        <f>'дод 3'!K21</f>
        <v>0</v>
      </c>
      <c r="K21" s="62">
        <f>'дод 3'!L21</f>
        <v>0</v>
      </c>
      <c r="L21" s="62">
        <f>'дод 3'!M21</f>
        <v>0</v>
      </c>
      <c r="M21" s="62">
        <f>'дод 3'!N21</f>
        <v>0</v>
      </c>
      <c r="N21" s="62">
        <f>'дод 3'!O21</f>
        <v>0</v>
      </c>
      <c r="O21" s="62">
        <f>'дод 3'!P21</f>
        <v>310000</v>
      </c>
    </row>
    <row r="22" spans="1:15" s="82" customFormat="1" ht="24" customHeight="1" x14ac:dyDescent="0.25">
      <c r="A22" s="47" t="s">
        <v>61</v>
      </c>
      <c r="B22" s="48"/>
      <c r="C22" s="9" t="s">
        <v>62</v>
      </c>
      <c r="D22" s="61">
        <f>D24+D26+D28+D30+D31+D32+D34+D35+D36+D37</f>
        <v>990641784</v>
      </c>
      <c r="E22" s="61">
        <f t="shared" ref="E22:O22" si="1">E24+E26+E28+E30+E31+E32+E34+E35+E36+E37</f>
        <v>990641784</v>
      </c>
      <c r="F22" s="61">
        <f t="shared" si="1"/>
        <v>674606927</v>
      </c>
      <c r="G22" s="61">
        <f t="shared" si="1"/>
        <v>81762131</v>
      </c>
      <c r="H22" s="61">
        <f t="shared" si="1"/>
        <v>0</v>
      </c>
      <c r="I22" s="61">
        <f t="shared" si="1"/>
        <v>88382586.640000001</v>
      </c>
      <c r="J22" s="61">
        <f t="shared" si="1"/>
        <v>32286438.640000001</v>
      </c>
      <c r="K22" s="61">
        <f t="shared" si="1"/>
        <v>55986428</v>
      </c>
      <c r="L22" s="61">
        <f t="shared" si="1"/>
        <v>6476192</v>
      </c>
      <c r="M22" s="61">
        <f t="shared" si="1"/>
        <v>3124191</v>
      </c>
      <c r="N22" s="61">
        <f t="shared" si="1"/>
        <v>32396158.640000001</v>
      </c>
      <c r="O22" s="61">
        <f t="shared" si="1"/>
        <v>1079024370.6399999</v>
      </c>
    </row>
    <row r="23" spans="1:15" s="83" customFormat="1" ht="24" customHeight="1" x14ac:dyDescent="0.25">
      <c r="A23" s="47"/>
      <c r="B23" s="48"/>
      <c r="C23" s="2" t="s">
        <v>308</v>
      </c>
      <c r="D23" s="61">
        <f>+D27+D29+D33+D25+D38</f>
        <v>382256478</v>
      </c>
      <c r="E23" s="61">
        <f t="shared" ref="E23:O23" si="2">+E27+E29+E33+E25+E38</f>
        <v>382256478</v>
      </c>
      <c r="F23" s="61">
        <f t="shared" si="2"/>
        <v>307191100</v>
      </c>
      <c r="G23" s="61">
        <f t="shared" si="2"/>
        <v>0</v>
      </c>
      <c r="H23" s="61">
        <f t="shared" si="2"/>
        <v>0</v>
      </c>
      <c r="I23" s="61">
        <f t="shared" si="2"/>
        <v>1486539</v>
      </c>
      <c r="J23" s="61">
        <f t="shared" si="2"/>
        <v>1486539</v>
      </c>
      <c r="K23" s="61">
        <f t="shared" si="2"/>
        <v>0</v>
      </c>
      <c r="L23" s="61">
        <f t="shared" si="2"/>
        <v>0</v>
      </c>
      <c r="M23" s="61">
        <f t="shared" si="2"/>
        <v>0</v>
      </c>
      <c r="N23" s="61">
        <f t="shared" si="2"/>
        <v>1486539</v>
      </c>
      <c r="O23" s="61">
        <f t="shared" si="2"/>
        <v>383743017</v>
      </c>
    </row>
    <row r="24" spans="1:15" ht="27" customHeight="1" x14ac:dyDescent="0.25">
      <c r="A24" s="46" t="s">
        <v>63</v>
      </c>
      <c r="B24" s="46" t="s">
        <v>64</v>
      </c>
      <c r="C24" s="6" t="s">
        <v>171</v>
      </c>
      <c r="D24" s="62">
        <f>'дод 3'!E56</f>
        <v>243244632</v>
      </c>
      <c r="E24" s="62">
        <f>'дод 3'!F56</f>
        <v>243244632</v>
      </c>
      <c r="F24" s="62">
        <f>'дод 3'!G56</f>
        <v>159483510</v>
      </c>
      <c r="G24" s="62">
        <f>'дод 3'!H56</f>
        <v>26923940</v>
      </c>
      <c r="H24" s="62">
        <f>'дод 3'!I56</f>
        <v>0</v>
      </c>
      <c r="I24" s="62">
        <f>'дод 3'!J56</f>
        <v>22916603</v>
      </c>
      <c r="J24" s="62">
        <f>'дод 3'!K56</f>
        <v>6590947</v>
      </c>
      <c r="K24" s="62">
        <f>'дод 3'!L56</f>
        <v>16325656</v>
      </c>
      <c r="L24" s="62">
        <f>'дод 3'!M56</f>
        <v>0</v>
      </c>
      <c r="M24" s="62">
        <f>'дод 3'!N56</f>
        <v>0</v>
      </c>
      <c r="N24" s="62">
        <f>'дод 3'!O56</f>
        <v>6590947</v>
      </c>
      <c r="O24" s="62">
        <f>'дод 3'!P56</f>
        <v>266161235</v>
      </c>
    </row>
    <row r="25" spans="1:15" ht="27" customHeight="1" x14ac:dyDescent="0.25">
      <c r="A25" s="46"/>
      <c r="B25" s="46"/>
      <c r="C25" s="3" t="s">
        <v>308</v>
      </c>
      <c r="D25" s="62">
        <f>'дод 3'!E57</f>
        <v>162879</v>
      </c>
      <c r="E25" s="62">
        <f>'дод 3'!F57</f>
        <v>162879</v>
      </c>
      <c r="F25" s="62">
        <f>'дод 3'!G57</f>
        <v>133510</v>
      </c>
      <c r="G25" s="62">
        <f>'дод 3'!H57</f>
        <v>0</v>
      </c>
      <c r="H25" s="62">
        <f>'дод 3'!I57</f>
        <v>0</v>
      </c>
      <c r="I25" s="62">
        <f>'дод 3'!J57</f>
        <v>80600</v>
      </c>
      <c r="J25" s="62">
        <f>'дод 3'!K57</f>
        <v>80600</v>
      </c>
      <c r="K25" s="62">
        <f>'дод 3'!L57</f>
        <v>0</v>
      </c>
      <c r="L25" s="62">
        <f>'дод 3'!M57</f>
        <v>0</v>
      </c>
      <c r="M25" s="62">
        <f>'дод 3'!N57</f>
        <v>0</v>
      </c>
      <c r="N25" s="62">
        <f>'дод 3'!O57</f>
        <v>80600</v>
      </c>
      <c r="O25" s="62">
        <f>'дод 3'!P57</f>
        <v>243479</v>
      </c>
    </row>
    <row r="26" spans="1:15" ht="55.5" customHeight="1" x14ac:dyDescent="0.25">
      <c r="A26" s="46" t="s">
        <v>65</v>
      </c>
      <c r="B26" s="46" t="s">
        <v>66</v>
      </c>
      <c r="C26" s="6" t="s">
        <v>429</v>
      </c>
      <c r="D26" s="62">
        <f>'дод 3'!E58</f>
        <v>539963903</v>
      </c>
      <c r="E26" s="62">
        <f>'дод 3'!F58</f>
        <v>539963903</v>
      </c>
      <c r="F26" s="62">
        <f>'дод 3'!G58</f>
        <v>378056547</v>
      </c>
      <c r="G26" s="62">
        <f>'дод 3'!H58</f>
        <v>38154564</v>
      </c>
      <c r="H26" s="62">
        <f>'дод 3'!I58</f>
        <v>0</v>
      </c>
      <c r="I26" s="62">
        <f>'дод 3'!J58</f>
        <v>53104835.640000001</v>
      </c>
      <c r="J26" s="62">
        <f>'дод 3'!K58</f>
        <v>24193088.640000001</v>
      </c>
      <c r="K26" s="62">
        <f>'дод 3'!L58</f>
        <v>28911747</v>
      </c>
      <c r="L26" s="62">
        <f>'дод 3'!M58</f>
        <v>1713303</v>
      </c>
      <c r="M26" s="62">
        <f>'дод 3'!N58</f>
        <v>147329</v>
      </c>
      <c r="N26" s="62">
        <f>'дод 3'!O58</f>
        <v>24193088.640000001</v>
      </c>
      <c r="O26" s="62">
        <f>'дод 3'!P58</f>
        <v>593068738.63999999</v>
      </c>
    </row>
    <row r="27" spans="1:15" ht="28.5" customHeight="1" x14ac:dyDescent="0.25">
      <c r="A27" s="46"/>
      <c r="B27" s="46"/>
      <c r="C27" s="3" t="s">
        <v>308</v>
      </c>
      <c r="D27" s="62">
        <f>'дод 3'!E59</f>
        <v>356792090</v>
      </c>
      <c r="E27" s="62">
        <f>'дод 3'!F59</f>
        <v>356792090</v>
      </c>
      <c r="F27" s="62">
        <f>'дод 3'!G59</f>
        <v>286331520</v>
      </c>
      <c r="G27" s="62">
        <f>'дод 3'!H59</f>
        <v>0</v>
      </c>
      <c r="H27" s="62">
        <f>'дод 3'!I59</f>
        <v>0</v>
      </c>
      <c r="I27" s="62">
        <f>'дод 3'!J59</f>
        <v>1384710</v>
      </c>
      <c r="J27" s="62">
        <f>'дод 3'!K59</f>
        <v>1384710</v>
      </c>
      <c r="K27" s="62">
        <f>'дод 3'!L59</f>
        <v>0</v>
      </c>
      <c r="L27" s="62">
        <f>'дод 3'!M59</f>
        <v>0</v>
      </c>
      <c r="M27" s="62">
        <f>'дод 3'!N59</f>
        <v>0</v>
      </c>
      <c r="N27" s="62">
        <f>'дод 3'!O59</f>
        <v>1384710</v>
      </c>
      <c r="O27" s="62">
        <f>'дод 3'!P59</f>
        <v>358176800</v>
      </c>
    </row>
    <row r="28" spans="1:15" ht="75" customHeight="1" x14ac:dyDescent="0.25">
      <c r="A28" s="46">
        <v>1030</v>
      </c>
      <c r="B28" s="46" t="s">
        <v>70</v>
      </c>
      <c r="C28" s="6" t="s">
        <v>430</v>
      </c>
      <c r="D28" s="62">
        <f>'дод 3'!E60</f>
        <v>9444719</v>
      </c>
      <c r="E28" s="62">
        <f>'дод 3'!F60</f>
        <v>9444719</v>
      </c>
      <c r="F28" s="62">
        <f>'дод 3'!G60</f>
        <v>6532300</v>
      </c>
      <c r="G28" s="62">
        <f>'дод 3'!H60</f>
        <v>709270</v>
      </c>
      <c r="H28" s="62">
        <f>'дод 3'!I60</f>
        <v>0</v>
      </c>
      <c r="I28" s="62">
        <f>'дод 3'!J60</f>
        <v>213403</v>
      </c>
      <c r="J28" s="62">
        <f>'дод 3'!K60</f>
        <v>213403</v>
      </c>
      <c r="K28" s="62">
        <f>'дод 3'!L60</f>
        <v>0</v>
      </c>
      <c r="L28" s="62">
        <f>'дод 3'!M60</f>
        <v>0</v>
      </c>
      <c r="M28" s="62">
        <f>'дод 3'!N60</f>
        <v>0</v>
      </c>
      <c r="N28" s="62">
        <f>'дод 3'!O60</f>
        <v>213403</v>
      </c>
      <c r="O28" s="62">
        <f>'дод 3'!P60</f>
        <v>9658122</v>
      </c>
    </row>
    <row r="29" spans="1:15" ht="21.75" customHeight="1" x14ac:dyDescent="0.25">
      <c r="A29" s="46"/>
      <c r="B29" s="46"/>
      <c r="C29" s="3" t="s">
        <v>308</v>
      </c>
      <c r="D29" s="62">
        <f>'дод 3'!E61</f>
        <v>6240139</v>
      </c>
      <c r="E29" s="62">
        <f>'дод 3'!F61</f>
        <v>6240139</v>
      </c>
      <c r="F29" s="62">
        <f>'дод 3'!G61</f>
        <v>5102000</v>
      </c>
      <c r="G29" s="62">
        <f>'дод 3'!H61</f>
        <v>0</v>
      </c>
      <c r="H29" s="62">
        <f>'дод 3'!I61</f>
        <v>0</v>
      </c>
      <c r="I29" s="62">
        <f>'дод 3'!J61</f>
        <v>21229</v>
      </c>
      <c r="J29" s="62">
        <f>'дод 3'!K61</f>
        <v>21229</v>
      </c>
      <c r="K29" s="62">
        <f>'дод 3'!L61</f>
        <v>0</v>
      </c>
      <c r="L29" s="62">
        <f>'дод 3'!M61</f>
        <v>0</v>
      </c>
      <c r="M29" s="62">
        <f>'дод 3'!N61</f>
        <v>0</v>
      </c>
      <c r="N29" s="62">
        <f>'дод 3'!O61</f>
        <v>21229</v>
      </c>
      <c r="O29" s="62">
        <f>'дод 3'!P61</f>
        <v>6261368</v>
      </c>
    </row>
    <row r="30" spans="1:15" ht="40.5" customHeight="1" x14ac:dyDescent="0.25">
      <c r="A30" s="46" t="s">
        <v>71</v>
      </c>
      <c r="B30" s="46" t="s">
        <v>72</v>
      </c>
      <c r="C30" s="6" t="s">
        <v>432</v>
      </c>
      <c r="D30" s="62">
        <f>'дод 3'!E62</f>
        <v>28048440</v>
      </c>
      <c r="E30" s="62">
        <f>'дод 3'!F62</f>
        <v>28048440</v>
      </c>
      <c r="F30" s="62">
        <f>'дод 3'!G62</f>
        <v>19715700</v>
      </c>
      <c r="G30" s="62">
        <f>'дод 3'!H62</f>
        <v>3358190</v>
      </c>
      <c r="H30" s="62">
        <f>'дод 3'!I62</f>
        <v>0</v>
      </c>
      <c r="I30" s="62">
        <f>'дод 3'!J62</f>
        <v>300000</v>
      </c>
      <c r="J30" s="62">
        <f>'дод 3'!K62</f>
        <v>300000</v>
      </c>
      <c r="K30" s="62">
        <f>'дод 3'!L62</f>
        <v>0</v>
      </c>
      <c r="L30" s="62">
        <f>'дод 3'!M62</f>
        <v>0</v>
      </c>
      <c r="M30" s="62">
        <f>'дод 3'!N62</f>
        <v>0</v>
      </c>
      <c r="N30" s="62">
        <f>'дод 3'!O62</f>
        <v>300000</v>
      </c>
      <c r="O30" s="62">
        <f>'дод 3'!P62</f>
        <v>28348440</v>
      </c>
    </row>
    <row r="31" spans="1:15" ht="30.75" customHeight="1" x14ac:dyDescent="0.25">
      <c r="A31" s="46" t="s">
        <v>73</v>
      </c>
      <c r="B31" s="46" t="s">
        <v>72</v>
      </c>
      <c r="C31" s="6" t="s">
        <v>433</v>
      </c>
      <c r="D31" s="62">
        <f>'дод 3'!E128</f>
        <v>39114600</v>
      </c>
      <c r="E31" s="62">
        <f>'дод 3'!F128</f>
        <v>39114600</v>
      </c>
      <c r="F31" s="62">
        <f>'дод 3'!G128</f>
        <v>30830000</v>
      </c>
      <c r="G31" s="62">
        <f>'дод 3'!H128</f>
        <v>793600</v>
      </c>
      <c r="H31" s="62">
        <f>'дод 3'!I128</f>
        <v>0</v>
      </c>
      <c r="I31" s="62">
        <f>'дод 3'!J128</f>
        <v>3336640</v>
      </c>
      <c r="J31" s="62">
        <f>'дод 3'!K128</f>
        <v>557000</v>
      </c>
      <c r="K31" s="62">
        <f>'дод 3'!L128</f>
        <v>2774920</v>
      </c>
      <c r="L31" s="62">
        <f>'дод 3'!M128</f>
        <v>2267316</v>
      </c>
      <c r="M31" s="62">
        <f>'дод 3'!N128</f>
        <v>0</v>
      </c>
      <c r="N31" s="62">
        <f>'дод 3'!O128</f>
        <v>561720</v>
      </c>
      <c r="O31" s="62">
        <f>'дод 3'!P128</f>
        <v>42451240</v>
      </c>
    </row>
    <row r="32" spans="1:15" ht="39.75" customHeight="1" x14ac:dyDescent="0.25">
      <c r="A32" s="46" t="s">
        <v>261</v>
      </c>
      <c r="B32" s="46" t="s">
        <v>74</v>
      </c>
      <c r="C32" s="6" t="s">
        <v>434</v>
      </c>
      <c r="D32" s="62">
        <f>'дод 3'!E63</f>
        <v>116807900</v>
      </c>
      <c r="E32" s="62">
        <f>'дод 3'!F63</f>
        <v>116807900</v>
      </c>
      <c r="F32" s="62">
        <f>'дод 3'!G63</f>
        <v>69744500</v>
      </c>
      <c r="G32" s="62">
        <f>'дод 3'!H63</f>
        <v>11007217</v>
      </c>
      <c r="H32" s="62">
        <f>'дод 3'!I63</f>
        <v>0</v>
      </c>
      <c r="I32" s="62">
        <f>'дод 3'!J63</f>
        <v>8079105</v>
      </c>
      <c r="J32" s="62">
        <f>'дод 3'!K63</f>
        <v>0</v>
      </c>
      <c r="K32" s="62">
        <f>'дод 3'!L63</f>
        <v>7974105</v>
      </c>
      <c r="L32" s="62">
        <f>'дод 3'!M63</f>
        <v>2495573</v>
      </c>
      <c r="M32" s="62">
        <f>'дод 3'!N63</f>
        <v>2976862</v>
      </c>
      <c r="N32" s="62">
        <f>'дод 3'!O63</f>
        <v>105000</v>
      </c>
      <c r="O32" s="62">
        <f>'дод 3'!P63</f>
        <v>124887005</v>
      </c>
    </row>
    <row r="33" spans="1:15" ht="21" customHeight="1" x14ac:dyDescent="0.25">
      <c r="A33" s="46"/>
      <c r="B33" s="46"/>
      <c r="C33" s="3" t="s">
        <v>308</v>
      </c>
      <c r="D33" s="62">
        <f>'дод 3'!E64</f>
        <v>17825000</v>
      </c>
      <c r="E33" s="62">
        <f>'дод 3'!F64</f>
        <v>17825000</v>
      </c>
      <c r="F33" s="62">
        <f>'дод 3'!G64</f>
        <v>14610650</v>
      </c>
      <c r="G33" s="62">
        <f>'дод 3'!H64</f>
        <v>0</v>
      </c>
      <c r="H33" s="62">
        <f>'дод 3'!I64</f>
        <v>0</v>
      </c>
      <c r="I33" s="62">
        <f>'дод 3'!J64</f>
        <v>0</v>
      </c>
      <c r="J33" s="62">
        <f>'дод 3'!K64</f>
        <v>0</v>
      </c>
      <c r="K33" s="62">
        <f>'дод 3'!L64</f>
        <v>0</v>
      </c>
      <c r="L33" s="62">
        <f>'дод 3'!M64</f>
        <v>0</v>
      </c>
      <c r="M33" s="62">
        <f>'дод 3'!N64</f>
        <v>0</v>
      </c>
      <c r="N33" s="62">
        <f>'дод 3'!O64</f>
        <v>0</v>
      </c>
      <c r="O33" s="62">
        <f>'дод 3'!P64</f>
        <v>17825000</v>
      </c>
    </row>
    <row r="34" spans="1:15" ht="33" customHeight="1" x14ac:dyDescent="0.25">
      <c r="A34" s="46" t="s">
        <v>142</v>
      </c>
      <c r="B34" s="46" t="s">
        <v>75</v>
      </c>
      <c r="C34" s="6" t="s">
        <v>435</v>
      </c>
      <c r="D34" s="62">
        <f>'дод 3'!E65</f>
        <v>2893730</v>
      </c>
      <c r="E34" s="62">
        <f>'дод 3'!F65</f>
        <v>2893730</v>
      </c>
      <c r="F34" s="62">
        <f>'дод 3'!G65</f>
        <v>2237500</v>
      </c>
      <c r="G34" s="62">
        <f>'дод 3'!H65</f>
        <v>120380</v>
      </c>
      <c r="H34" s="62">
        <f>'дод 3'!I65</f>
        <v>0</v>
      </c>
      <c r="I34" s="62">
        <f>'дод 3'!J65</f>
        <v>0</v>
      </c>
      <c r="J34" s="62">
        <f>'дод 3'!K65</f>
        <v>0</v>
      </c>
      <c r="K34" s="62">
        <f>'дод 3'!L65</f>
        <v>0</v>
      </c>
      <c r="L34" s="62">
        <f>'дод 3'!M65</f>
        <v>0</v>
      </c>
      <c r="M34" s="62">
        <f>'дод 3'!N65</f>
        <v>0</v>
      </c>
      <c r="N34" s="62">
        <f>'дод 3'!O65</f>
        <v>0</v>
      </c>
      <c r="O34" s="62">
        <f>'дод 3'!P65</f>
        <v>2893730</v>
      </c>
    </row>
    <row r="35" spans="1:15" ht="36" customHeight="1" x14ac:dyDescent="0.25">
      <c r="A35" s="46" t="s">
        <v>327</v>
      </c>
      <c r="B35" s="46" t="s">
        <v>75</v>
      </c>
      <c r="C35" s="6" t="s">
        <v>329</v>
      </c>
      <c r="D35" s="62">
        <f>'дод 3'!E66</f>
        <v>9388520</v>
      </c>
      <c r="E35" s="62">
        <f>'дод 3'!F66</f>
        <v>9388520</v>
      </c>
      <c r="F35" s="62">
        <f>'дод 3'!G66</f>
        <v>6782550</v>
      </c>
      <c r="G35" s="62">
        <f>'дод 3'!H66</f>
        <v>613500</v>
      </c>
      <c r="H35" s="62">
        <f>'дод 3'!I66</f>
        <v>0</v>
      </c>
      <c r="I35" s="62">
        <f>'дод 3'!J66</f>
        <v>432000</v>
      </c>
      <c r="J35" s="62">
        <f>'дод 3'!K66</f>
        <v>432000</v>
      </c>
      <c r="K35" s="62">
        <f>'дод 3'!L66</f>
        <v>0</v>
      </c>
      <c r="L35" s="62">
        <f>'дод 3'!M66</f>
        <v>0</v>
      </c>
      <c r="M35" s="62">
        <f>'дод 3'!N66</f>
        <v>0</v>
      </c>
      <c r="N35" s="62">
        <f>'дод 3'!O66</f>
        <v>432000</v>
      </c>
      <c r="O35" s="62">
        <f>'дод 3'!P66</f>
        <v>9820520</v>
      </c>
    </row>
    <row r="36" spans="1:15" ht="25.5" customHeight="1" x14ac:dyDescent="0.25">
      <c r="A36" s="46" t="s">
        <v>328</v>
      </c>
      <c r="B36" s="46" t="s">
        <v>75</v>
      </c>
      <c r="C36" s="6" t="s">
        <v>330</v>
      </c>
      <c r="D36" s="62">
        <f>'дод 3'!E67</f>
        <v>107400</v>
      </c>
      <c r="E36" s="62">
        <f>'дод 3'!F67</f>
        <v>107400</v>
      </c>
      <c r="F36" s="62">
        <f>'дод 3'!G67</f>
        <v>0</v>
      </c>
      <c r="G36" s="62">
        <f>'дод 3'!H67</f>
        <v>0</v>
      </c>
      <c r="H36" s="62">
        <f>'дод 3'!I67</f>
        <v>0</v>
      </c>
      <c r="I36" s="62">
        <f>'дод 3'!J67</f>
        <v>0</v>
      </c>
      <c r="J36" s="62">
        <f>'дод 3'!K67</f>
        <v>0</v>
      </c>
      <c r="K36" s="62">
        <f>'дод 3'!L67</f>
        <v>0</v>
      </c>
      <c r="L36" s="62">
        <f>'дод 3'!M67</f>
        <v>0</v>
      </c>
      <c r="M36" s="62">
        <f>'дод 3'!N67</f>
        <v>0</v>
      </c>
      <c r="N36" s="62">
        <f>'дод 3'!O67</f>
        <v>0</v>
      </c>
      <c r="O36" s="62">
        <f>'дод 3'!P67</f>
        <v>107400</v>
      </c>
    </row>
    <row r="37" spans="1:15" ht="25.5" customHeight="1" x14ac:dyDescent="0.25">
      <c r="A37" s="46" t="s">
        <v>391</v>
      </c>
      <c r="B37" s="46" t="s">
        <v>75</v>
      </c>
      <c r="C37" s="42" t="s">
        <v>390</v>
      </c>
      <c r="D37" s="62">
        <f>SUM('дод 3'!E68)</f>
        <v>1627940</v>
      </c>
      <c r="E37" s="62">
        <f>SUM('дод 3'!F68)</f>
        <v>1627940</v>
      </c>
      <c r="F37" s="62">
        <f>SUM('дод 3'!G68)</f>
        <v>1224320</v>
      </c>
      <c r="G37" s="62">
        <f>SUM('дод 3'!H68)</f>
        <v>81470</v>
      </c>
      <c r="H37" s="62">
        <f>SUM('дод 3'!I68)</f>
        <v>0</v>
      </c>
      <c r="I37" s="62">
        <f>SUM('дод 3'!J68)</f>
        <v>0</v>
      </c>
      <c r="J37" s="62">
        <f>SUM('дод 3'!K68)</f>
        <v>0</v>
      </c>
      <c r="K37" s="62">
        <f>SUM('дод 3'!L68)</f>
        <v>0</v>
      </c>
      <c r="L37" s="62">
        <f>SUM('дод 3'!M68)</f>
        <v>0</v>
      </c>
      <c r="M37" s="62">
        <f>SUM('дод 3'!N68)</f>
        <v>0</v>
      </c>
      <c r="N37" s="62">
        <f>SUM('дод 3'!O68)</f>
        <v>0</v>
      </c>
      <c r="O37" s="62">
        <f>SUM('дод 3'!P68)</f>
        <v>1627940</v>
      </c>
    </row>
    <row r="38" spans="1:15" ht="15.75" customHeight="1" x14ac:dyDescent="0.25">
      <c r="A38" s="46"/>
      <c r="B38" s="46"/>
      <c r="C38" s="3" t="s">
        <v>308</v>
      </c>
      <c r="D38" s="62">
        <f>'дод 3'!E69</f>
        <v>1236370</v>
      </c>
      <c r="E38" s="62">
        <f>'дод 3'!F69</f>
        <v>1236370</v>
      </c>
      <c r="F38" s="62">
        <f>'дод 3'!G69</f>
        <v>1013420</v>
      </c>
      <c r="G38" s="62">
        <f>'дод 3'!H69</f>
        <v>0</v>
      </c>
      <c r="H38" s="62">
        <f>'дод 3'!I69</f>
        <v>0</v>
      </c>
      <c r="I38" s="62">
        <f>'дод 3'!J69</f>
        <v>0</v>
      </c>
      <c r="J38" s="62">
        <f>'дод 3'!K69</f>
        <v>0</v>
      </c>
      <c r="K38" s="62">
        <f>'дод 3'!L69</f>
        <v>0</v>
      </c>
      <c r="L38" s="62">
        <f>'дод 3'!M69</f>
        <v>0</v>
      </c>
      <c r="M38" s="62">
        <f>'дод 3'!N69</f>
        <v>0</v>
      </c>
      <c r="N38" s="62">
        <f>'дод 3'!O69</f>
        <v>0</v>
      </c>
      <c r="O38" s="62">
        <f>'дод 3'!P69</f>
        <v>1236370</v>
      </c>
    </row>
    <row r="39" spans="1:15" s="82" customFormat="1" ht="19.5" customHeight="1" x14ac:dyDescent="0.25">
      <c r="A39" s="47" t="s">
        <v>76</v>
      </c>
      <c r="B39" s="48"/>
      <c r="C39" s="9" t="s">
        <v>77</v>
      </c>
      <c r="D39" s="61">
        <f>D41+D43+D45+D47+D49+D51+D52</f>
        <v>228980248</v>
      </c>
      <c r="E39" s="61">
        <f t="shared" ref="E39:O39" si="3">E41+E43+E45+E47+E49+E51+E52</f>
        <v>228980248</v>
      </c>
      <c r="F39" s="61">
        <f t="shared" si="3"/>
        <v>0</v>
      </c>
      <c r="G39" s="61">
        <f t="shared" si="3"/>
        <v>0</v>
      </c>
      <c r="H39" s="61">
        <f t="shared" si="3"/>
        <v>0</v>
      </c>
      <c r="I39" s="61">
        <f t="shared" si="3"/>
        <v>78966100</v>
      </c>
      <c r="J39" s="61">
        <f t="shared" si="3"/>
        <v>78966100</v>
      </c>
      <c r="K39" s="61">
        <f t="shared" si="3"/>
        <v>0</v>
      </c>
      <c r="L39" s="61">
        <f t="shared" si="3"/>
        <v>0</v>
      </c>
      <c r="M39" s="61">
        <f t="shared" si="3"/>
        <v>0</v>
      </c>
      <c r="N39" s="61">
        <f t="shared" si="3"/>
        <v>78966100</v>
      </c>
      <c r="O39" s="61">
        <f t="shared" si="3"/>
        <v>307946348</v>
      </c>
    </row>
    <row r="40" spans="1:15" s="82" customFormat="1" ht="23.25" customHeight="1" x14ac:dyDescent="0.25">
      <c r="A40" s="47"/>
      <c r="B40" s="48"/>
      <c r="C40" s="2" t="s">
        <v>308</v>
      </c>
      <c r="D40" s="61">
        <f>D42+D44+D46+D48+D50</f>
        <v>61502848</v>
      </c>
      <c r="E40" s="61">
        <f t="shared" ref="E40:O40" si="4">E42+E44+E46+E48+E50</f>
        <v>61502848</v>
      </c>
      <c r="F40" s="61">
        <f t="shared" si="4"/>
        <v>0</v>
      </c>
      <c r="G40" s="61">
        <f t="shared" si="4"/>
        <v>0</v>
      </c>
      <c r="H40" s="61">
        <f t="shared" si="4"/>
        <v>0</v>
      </c>
      <c r="I40" s="61">
        <f t="shared" si="4"/>
        <v>0</v>
      </c>
      <c r="J40" s="61">
        <f t="shared" si="4"/>
        <v>0</v>
      </c>
      <c r="K40" s="61">
        <f t="shared" si="4"/>
        <v>0</v>
      </c>
      <c r="L40" s="61">
        <f t="shared" si="4"/>
        <v>0</v>
      </c>
      <c r="M40" s="61">
        <f t="shared" si="4"/>
        <v>0</v>
      </c>
      <c r="N40" s="61">
        <f t="shared" si="4"/>
        <v>0</v>
      </c>
      <c r="O40" s="61">
        <f t="shared" si="4"/>
        <v>61502848</v>
      </c>
    </row>
    <row r="41" spans="1:15" ht="31.5" x14ac:dyDescent="0.25">
      <c r="A41" s="46" t="s">
        <v>78</v>
      </c>
      <c r="B41" s="46" t="s">
        <v>79</v>
      </c>
      <c r="C41" s="6" t="s">
        <v>38</v>
      </c>
      <c r="D41" s="62">
        <f>'дод 3'!E83</f>
        <v>120917491</v>
      </c>
      <c r="E41" s="62">
        <f>'дод 3'!F83</f>
        <v>120917491</v>
      </c>
      <c r="F41" s="62">
        <f>'дод 3'!G83</f>
        <v>0</v>
      </c>
      <c r="G41" s="62">
        <f>'дод 3'!H83</f>
        <v>0</v>
      </c>
      <c r="H41" s="62">
        <f>'дод 3'!I83</f>
        <v>0</v>
      </c>
      <c r="I41" s="62">
        <f>'дод 3'!J83</f>
        <v>46795500</v>
      </c>
      <c r="J41" s="62">
        <f>'дод 3'!K83</f>
        <v>46795500</v>
      </c>
      <c r="K41" s="62">
        <f>'дод 3'!L83</f>
        <v>0</v>
      </c>
      <c r="L41" s="62">
        <f>'дод 3'!M83</f>
        <v>0</v>
      </c>
      <c r="M41" s="62">
        <f>'дод 3'!N83</f>
        <v>0</v>
      </c>
      <c r="N41" s="62">
        <f>'дод 3'!O83</f>
        <v>46795500</v>
      </c>
      <c r="O41" s="62">
        <f>'дод 3'!P83</f>
        <v>167712991</v>
      </c>
    </row>
    <row r="42" spans="1:15" ht="15.75" customHeight="1" x14ac:dyDescent="0.25">
      <c r="A42" s="46"/>
      <c r="B42" s="46"/>
      <c r="C42" s="3" t="s">
        <v>308</v>
      </c>
      <c r="D42" s="62">
        <f>'дод 3'!E84</f>
        <v>48187871</v>
      </c>
      <c r="E42" s="62">
        <f>'дод 3'!F84</f>
        <v>48187871</v>
      </c>
      <c r="F42" s="62">
        <f>'дод 3'!G84</f>
        <v>0</v>
      </c>
      <c r="G42" s="62">
        <f>'дод 3'!H84</f>
        <v>0</v>
      </c>
      <c r="H42" s="62">
        <f>'дод 3'!I84</f>
        <v>0</v>
      </c>
      <c r="I42" s="62">
        <f>'дод 3'!J84</f>
        <v>0</v>
      </c>
      <c r="J42" s="62">
        <f>'дод 3'!K84</f>
        <v>0</v>
      </c>
      <c r="K42" s="62">
        <f>'дод 3'!L84</f>
        <v>0</v>
      </c>
      <c r="L42" s="62">
        <f>'дод 3'!M84</f>
        <v>0</v>
      </c>
      <c r="M42" s="62">
        <f>'дод 3'!N84</f>
        <v>0</v>
      </c>
      <c r="N42" s="62">
        <f>'дод 3'!O84</f>
        <v>0</v>
      </c>
      <c r="O42" s="62">
        <f>'дод 3'!P84</f>
        <v>48187871</v>
      </c>
    </row>
    <row r="43" spans="1:15" ht="42.75" customHeight="1" x14ac:dyDescent="0.25">
      <c r="A43" s="46" t="s">
        <v>143</v>
      </c>
      <c r="B43" s="46" t="s">
        <v>80</v>
      </c>
      <c r="C43" s="6" t="s">
        <v>144</v>
      </c>
      <c r="D43" s="62">
        <f>'дод 3'!E85</f>
        <v>15420473</v>
      </c>
      <c r="E43" s="62">
        <f>'дод 3'!F85</f>
        <v>15420473</v>
      </c>
      <c r="F43" s="62">
        <f>'дод 3'!G85</f>
        <v>0</v>
      </c>
      <c r="G43" s="62">
        <f>'дод 3'!H85</f>
        <v>0</v>
      </c>
      <c r="H43" s="62">
        <f>'дод 3'!I85</f>
        <v>0</v>
      </c>
      <c r="I43" s="62">
        <f>'дод 3'!J85</f>
        <v>15040600</v>
      </c>
      <c r="J43" s="62">
        <f>'дод 3'!K85</f>
        <v>15040600</v>
      </c>
      <c r="K43" s="62">
        <f>'дод 3'!L85</f>
        <v>0</v>
      </c>
      <c r="L43" s="62">
        <f>'дод 3'!M85</f>
        <v>0</v>
      </c>
      <c r="M43" s="62">
        <f>'дод 3'!N85</f>
        <v>0</v>
      </c>
      <c r="N43" s="62">
        <f>'дод 3'!O85</f>
        <v>15040600</v>
      </c>
      <c r="O43" s="62">
        <f>'дод 3'!P85</f>
        <v>30461073</v>
      </c>
    </row>
    <row r="44" spans="1:15" ht="24" customHeight="1" x14ac:dyDescent="0.25">
      <c r="A44" s="46"/>
      <c r="B44" s="46"/>
      <c r="C44" s="3" t="s">
        <v>308</v>
      </c>
      <c r="D44" s="62">
        <f>'дод 3'!E86</f>
        <v>6347600</v>
      </c>
      <c r="E44" s="62">
        <f>'дод 3'!F86</f>
        <v>6347600</v>
      </c>
      <c r="F44" s="62">
        <f>'дод 3'!G86</f>
        <v>0</v>
      </c>
      <c r="G44" s="62">
        <f>'дод 3'!H86</f>
        <v>0</v>
      </c>
      <c r="H44" s="62">
        <f>'дод 3'!I86</f>
        <v>0</v>
      </c>
      <c r="I44" s="62">
        <f>'дод 3'!J86</f>
        <v>0</v>
      </c>
      <c r="J44" s="62">
        <f>'дод 3'!K86</f>
        <v>0</v>
      </c>
      <c r="K44" s="62">
        <f>'дод 3'!L86</f>
        <v>0</v>
      </c>
      <c r="L44" s="62">
        <f>'дод 3'!M86</f>
        <v>0</v>
      </c>
      <c r="M44" s="62">
        <f>'дод 3'!N86</f>
        <v>0</v>
      </c>
      <c r="N44" s="62">
        <f>'дод 3'!O86</f>
        <v>0</v>
      </c>
      <c r="O44" s="62">
        <f>'дод 3'!P86</f>
        <v>6347600</v>
      </c>
    </row>
    <row r="45" spans="1:15" ht="25.5" customHeight="1" x14ac:dyDescent="0.25">
      <c r="A45" s="46" t="s">
        <v>145</v>
      </c>
      <c r="B45" s="46" t="s">
        <v>81</v>
      </c>
      <c r="C45" s="6" t="s">
        <v>146</v>
      </c>
      <c r="D45" s="62">
        <f>'дод 3'!E87</f>
        <v>6663426</v>
      </c>
      <c r="E45" s="62">
        <f>'дод 3'!F87</f>
        <v>6663426</v>
      </c>
      <c r="F45" s="62">
        <f>'дод 3'!G87</f>
        <v>0</v>
      </c>
      <c r="G45" s="62">
        <f>'дод 3'!H87</f>
        <v>0</v>
      </c>
      <c r="H45" s="62">
        <f>'дод 3'!I87</f>
        <v>0</v>
      </c>
      <c r="I45" s="62">
        <f>'дод 3'!J87</f>
        <v>1130000</v>
      </c>
      <c r="J45" s="62">
        <f>'дод 3'!K87</f>
        <v>1130000</v>
      </c>
      <c r="K45" s="62">
        <f>'дод 3'!L87</f>
        <v>0</v>
      </c>
      <c r="L45" s="62">
        <f>'дод 3'!M87</f>
        <v>0</v>
      </c>
      <c r="M45" s="62">
        <f>'дод 3'!N87</f>
        <v>0</v>
      </c>
      <c r="N45" s="62">
        <f>'дод 3'!O87</f>
        <v>1130000</v>
      </c>
      <c r="O45" s="62">
        <f>'дод 3'!P87</f>
        <v>7793426</v>
      </c>
    </row>
    <row r="46" spans="1:15" ht="25.5" customHeight="1" x14ac:dyDescent="0.25">
      <c r="A46" s="46"/>
      <c r="B46" s="46"/>
      <c r="C46" s="3" t="s">
        <v>308</v>
      </c>
      <c r="D46" s="62">
        <f>'дод 3'!E88</f>
        <v>1132200</v>
      </c>
      <c r="E46" s="62">
        <f>'дод 3'!F88</f>
        <v>1132200</v>
      </c>
      <c r="F46" s="62">
        <f>'дод 3'!G88</f>
        <v>0</v>
      </c>
      <c r="G46" s="62">
        <f>'дод 3'!H88</f>
        <v>0</v>
      </c>
      <c r="H46" s="62">
        <f>'дод 3'!I88</f>
        <v>0</v>
      </c>
      <c r="I46" s="62">
        <f>'дод 3'!J88</f>
        <v>0</v>
      </c>
      <c r="J46" s="62">
        <f>'дод 3'!K88</f>
        <v>0</v>
      </c>
      <c r="K46" s="62">
        <f>'дод 3'!L88</f>
        <v>0</v>
      </c>
      <c r="L46" s="62">
        <f>'дод 3'!M88</f>
        <v>0</v>
      </c>
      <c r="M46" s="62">
        <f>'дод 3'!N88</f>
        <v>0</v>
      </c>
      <c r="N46" s="62">
        <f>'дод 3'!O88</f>
        <v>0</v>
      </c>
      <c r="O46" s="62">
        <f>'дод 3'!P88</f>
        <v>1132200</v>
      </c>
    </row>
    <row r="47" spans="1:15" ht="54" customHeight="1" x14ac:dyDescent="0.25">
      <c r="A47" s="46" t="s">
        <v>147</v>
      </c>
      <c r="B47" s="46" t="s">
        <v>365</v>
      </c>
      <c r="C47" s="6" t="s">
        <v>148</v>
      </c>
      <c r="D47" s="62">
        <f>'дод 3'!E89</f>
        <v>1984936</v>
      </c>
      <c r="E47" s="62">
        <f>'дод 3'!F89</f>
        <v>1984936</v>
      </c>
      <c r="F47" s="62">
        <f>'дод 3'!G89</f>
        <v>0</v>
      </c>
      <c r="G47" s="62">
        <f>'дод 3'!H89</f>
        <v>0</v>
      </c>
      <c r="H47" s="62">
        <f>'дод 3'!I89</f>
        <v>0</v>
      </c>
      <c r="I47" s="62">
        <f>'дод 3'!J89</f>
        <v>0</v>
      </c>
      <c r="J47" s="62">
        <f>'дод 3'!K89</f>
        <v>0</v>
      </c>
      <c r="K47" s="62">
        <f>'дод 3'!L89</f>
        <v>0</v>
      </c>
      <c r="L47" s="62">
        <f>'дод 3'!M89</f>
        <v>0</v>
      </c>
      <c r="M47" s="62">
        <f>'дод 3'!N89</f>
        <v>0</v>
      </c>
      <c r="N47" s="62">
        <f>'дод 3'!O89</f>
        <v>0</v>
      </c>
      <c r="O47" s="62">
        <f>'дод 3'!P89</f>
        <v>1984936</v>
      </c>
    </row>
    <row r="48" spans="1:15" ht="24.75" customHeight="1" x14ac:dyDescent="0.25">
      <c r="A48" s="49"/>
      <c r="B48" s="46"/>
      <c r="C48" s="3" t="s">
        <v>308</v>
      </c>
      <c r="D48" s="62">
        <f>'дод 3'!E90</f>
        <v>2468</v>
      </c>
      <c r="E48" s="62">
        <f>'дод 3'!F90</f>
        <v>2468</v>
      </c>
      <c r="F48" s="62">
        <f>'дод 3'!G90</f>
        <v>0</v>
      </c>
      <c r="G48" s="62">
        <f>'дод 3'!H90</f>
        <v>0</v>
      </c>
      <c r="H48" s="62">
        <f>'дод 3'!I90</f>
        <v>0</v>
      </c>
      <c r="I48" s="62">
        <f>'дод 3'!J90</f>
        <v>0</v>
      </c>
      <c r="J48" s="62">
        <f>'дод 3'!K90</f>
        <v>0</v>
      </c>
      <c r="K48" s="62">
        <f>'дод 3'!L90</f>
        <v>0</v>
      </c>
      <c r="L48" s="62">
        <f>'дод 3'!M90</f>
        <v>0</v>
      </c>
      <c r="M48" s="62">
        <f>'дод 3'!N90</f>
        <v>0</v>
      </c>
      <c r="N48" s="62">
        <f>'дод 3'!O90</f>
        <v>0</v>
      </c>
      <c r="O48" s="62">
        <f>'дод 3'!P90</f>
        <v>2468</v>
      </c>
    </row>
    <row r="49" spans="1:15" ht="36.75" customHeight="1" x14ac:dyDescent="0.25">
      <c r="A49" s="49">
        <v>2144</v>
      </c>
      <c r="B49" s="46" t="s">
        <v>82</v>
      </c>
      <c r="C49" s="6" t="s">
        <v>149</v>
      </c>
      <c r="D49" s="62">
        <f>'дод 3'!E91</f>
        <v>7432709</v>
      </c>
      <c r="E49" s="62">
        <f>'дод 3'!F91</f>
        <v>7432709</v>
      </c>
      <c r="F49" s="62">
        <f>'дод 3'!G91</f>
        <v>0</v>
      </c>
      <c r="G49" s="62">
        <f>'дод 3'!H91</f>
        <v>0</v>
      </c>
      <c r="H49" s="62">
        <f>'дод 3'!I91</f>
        <v>0</v>
      </c>
      <c r="I49" s="62">
        <f>'дод 3'!J91</f>
        <v>0</v>
      </c>
      <c r="J49" s="62">
        <f>'дод 3'!K91</f>
        <v>0</v>
      </c>
      <c r="K49" s="62">
        <f>'дод 3'!L91</f>
        <v>0</v>
      </c>
      <c r="L49" s="62">
        <f>'дод 3'!M91</f>
        <v>0</v>
      </c>
      <c r="M49" s="62">
        <f>'дод 3'!N91</f>
        <v>0</v>
      </c>
      <c r="N49" s="62">
        <f>'дод 3'!O91</f>
        <v>0</v>
      </c>
      <c r="O49" s="62">
        <f>'дод 3'!P91</f>
        <v>7432709</v>
      </c>
    </row>
    <row r="50" spans="1:15" ht="24.75" customHeight="1" x14ac:dyDescent="0.25">
      <c r="A50" s="49"/>
      <c r="B50" s="46"/>
      <c r="C50" s="3" t="s">
        <v>308</v>
      </c>
      <c r="D50" s="62">
        <f>'дод 3'!E92</f>
        <v>5832709</v>
      </c>
      <c r="E50" s="62">
        <f>'дод 3'!F92</f>
        <v>5832709</v>
      </c>
      <c r="F50" s="62">
        <f>'дод 3'!G92</f>
        <v>0</v>
      </c>
      <c r="G50" s="62">
        <f>'дод 3'!H92</f>
        <v>0</v>
      </c>
      <c r="H50" s="62">
        <f>'дод 3'!I92</f>
        <v>0</v>
      </c>
      <c r="I50" s="62">
        <f>'дод 3'!J92</f>
        <v>0</v>
      </c>
      <c r="J50" s="62">
        <f>'дод 3'!K92</f>
        <v>0</v>
      </c>
      <c r="K50" s="62">
        <f>'дод 3'!L92</f>
        <v>0</v>
      </c>
      <c r="L50" s="62">
        <f>'дод 3'!M92</f>
        <v>0</v>
      </c>
      <c r="M50" s="62">
        <f>'дод 3'!N92</f>
        <v>0</v>
      </c>
      <c r="N50" s="62">
        <f>'дод 3'!O92</f>
        <v>0</v>
      </c>
      <c r="O50" s="62">
        <f>'дод 3'!P92</f>
        <v>5832709</v>
      </c>
    </row>
    <row r="51" spans="1:15" ht="37.5" customHeight="1" x14ac:dyDescent="0.25">
      <c r="A51" s="46" t="s">
        <v>331</v>
      </c>
      <c r="B51" s="46" t="s">
        <v>82</v>
      </c>
      <c r="C51" s="3" t="s">
        <v>333</v>
      </c>
      <c r="D51" s="62">
        <f>'дод 3'!E93</f>
        <v>2894213</v>
      </c>
      <c r="E51" s="62">
        <f>'дод 3'!F93</f>
        <v>2894213</v>
      </c>
      <c r="F51" s="62">
        <f>'дод 3'!G93</f>
        <v>0</v>
      </c>
      <c r="G51" s="62">
        <f>'дод 3'!H93</f>
        <v>0</v>
      </c>
      <c r="H51" s="62">
        <f>'дод 3'!I93</f>
        <v>0</v>
      </c>
      <c r="I51" s="62">
        <f>'дод 3'!J93</f>
        <v>0</v>
      </c>
      <c r="J51" s="62">
        <f>'дод 3'!K93</f>
        <v>0</v>
      </c>
      <c r="K51" s="62">
        <f>'дод 3'!L93</f>
        <v>0</v>
      </c>
      <c r="L51" s="62">
        <f>'дод 3'!M93</f>
        <v>0</v>
      </c>
      <c r="M51" s="62">
        <f>'дод 3'!N93</f>
        <v>0</v>
      </c>
      <c r="N51" s="62">
        <f>'дод 3'!O93</f>
        <v>0</v>
      </c>
      <c r="O51" s="62">
        <f>'дод 3'!P93</f>
        <v>2894213</v>
      </c>
    </row>
    <row r="52" spans="1:15" ht="21.75" customHeight="1" x14ac:dyDescent="0.25">
      <c r="A52" s="46" t="s">
        <v>332</v>
      </c>
      <c r="B52" s="46" t="s">
        <v>82</v>
      </c>
      <c r="C52" s="3" t="s">
        <v>334</v>
      </c>
      <c r="D52" s="62">
        <f>'дод 3'!E94</f>
        <v>73667000</v>
      </c>
      <c r="E52" s="62">
        <f>'дод 3'!F94</f>
        <v>73667000</v>
      </c>
      <c r="F52" s="62">
        <f>'дод 3'!G94</f>
        <v>0</v>
      </c>
      <c r="G52" s="62">
        <f>'дод 3'!H94</f>
        <v>0</v>
      </c>
      <c r="H52" s="62">
        <f>'дод 3'!I94</f>
        <v>0</v>
      </c>
      <c r="I52" s="62">
        <f>'дод 3'!J94</f>
        <v>16000000</v>
      </c>
      <c r="J52" s="62">
        <f>'дод 3'!K94</f>
        <v>16000000</v>
      </c>
      <c r="K52" s="62">
        <f>'дод 3'!L94</f>
        <v>0</v>
      </c>
      <c r="L52" s="62">
        <f>'дод 3'!M94</f>
        <v>0</v>
      </c>
      <c r="M52" s="62">
        <f>'дод 3'!N94</f>
        <v>0</v>
      </c>
      <c r="N52" s="62">
        <f>'дод 3'!O94</f>
        <v>16000000</v>
      </c>
      <c r="O52" s="62">
        <f>'дод 3'!P94</f>
        <v>89667000</v>
      </c>
    </row>
    <row r="53" spans="1:15" s="82" customFormat="1" ht="34.5" customHeight="1" x14ac:dyDescent="0.25">
      <c r="A53" s="47" t="s">
        <v>83</v>
      </c>
      <c r="B53" s="50"/>
      <c r="C53" s="2" t="s">
        <v>84</v>
      </c>
      <c r="D53" s="61">
        <f>SUM(D54+D55+D56+D57+D58+D59+D60+D61+D62+D63+D64+D65+D66+D67+D68+D69+D70+D71+D72+D73+D74+D75+D76)</f>
        <v>128887081.63</v>
      </c>
      <c r="E53" s="61">
        <f t="shared" ref="E53:O53" si="5">SUM(E54+E55+E56+E57+E58+E59+E60+E61+E62+E63+E64+E65+E66+E67+E68+E69+E70+E71+E72+E73+E74+E75+E76)</f>
        <v>128887081.63</v>
      </c>
      <c r="F53" s="61">
        <f t="shared" si="5"/>
        <v>16632985</v>
      </c>
      <c r="G53" s="61">
        <f t="shared" si="5"/>
        <v>887160</v>
      </c>
      <c r="H53" s="61">
        <f t="shared" si="5"/>
        <v>0</v>
      </c>
      <c r="I53" s="61">
        <f t="shared" si="5"/>
        <v>1287640</v>
      </c>
      <c r="J53" s="61">
        <f t="shared" si="5"/>
        <v>1179540</v>
      </c>
      <c r="K53" s="61">
        <f t="shared" si="5"/>
        <v>108100</v>
      </c>
      <c r="L53" s="61">
        <f t="shared" si="5"/>
        <v>85100</v>
      </c>
      <c r="M53" s="61">
        <f t="shared" si="5"/>
        <v>0</v>
      </c>
      <c r="N53" s="61">
        <f t="shared" si="5"/>
        <v>1179540</v>
      </c>
      <c r="O53" s="61">
        <f t="shared" si="5"/>
        <v>130174721.63</v>
      </c>
    </row>
    <row r="54" spans="1:15" ht="45" customHeight="1" x14ac:dyDescent="0.25">
      <c r="A54" s="46" t="s">
        <v>118</v>
      </c>
      <c r="B54" s="46" t="s">
        <v>67</v>
      </c>
      <c r="C54" s="3" t="s">
        <v>150</v>
      </c>
      <c r="D54" s="62">
        <f>'дод 3'!E101</f>
        <v>582400</v>
      </c>
      <c r="E54" s="62">
        <f>'дод 3'!F101</f>
        <v>582400</v>
      </c>
      <c r="F54" s="62">
        <f>'дод 3'!G101</f>
        <v>0</v>
      </c>
      <c r="G54" s="62">
        <f>'дод 3'!H101</f>
        <v>0</v>
      </c>
      <c r="H54" s="62">
        <f>'дод 3'!I101</f>
        <v>0</v>
      </c>
      <c r="I54" s="62">
        <f>'дод 3'!J101</f>
        <v>0</v>
      </c>
      <c r="J54" s="62">
        <f>'дод 3'!K101</f>
        <v>0</v>
      </c>
      <c r="K54" s="62">
        <f>'дод 3'!L101</f>
        <v>0</v>
      </c>
      <c r="L54" s="62">
        <f>'дод 3'!M101</f>
        <v>0</v>
      </c>
      <c r="M54" s="62">
        <f>'дод 3'!N101</f>
        <v>0</v>
      </c>
      <c r="N54" s="62">
        <f>'дод 3'!O101</f>
        <v>0</v>
      </c>
      <c r="O54" s="62">
        <f>'дод 3'!P101</f>
        <v>582400</v>
      </c>
    </row>
    <row r="55" spans="1:15" ht="41.25" customHeight="1" x14ac:dyDescent="0.25">
      <c r="A55" s="46" t="s">
        <v>151</v>
      </c>
      <c r="B55" s="46" t="s">
        <v>69</v>
      </c>
      <c r="C55" s="3" t="s">
        <v>423</v>
      </c>
      <c r="D55" s="62">
        <f>'дод 3'!E102</f>
        <v>1259894</v>
      </c>
      <c r="E55" s="62">
        <f>'дод 3'!F102</f>
        <v>1259894</v>
      </c>
      <c r="F55" s="62">
        <f>'дод 3'!G102</f>
        <v>0</v>
      </c>
      <c r="G55" s="62">
        <f>'дод 3'!H102</f>
        <v>0</v>
      </c>
      <c r="H55" s="62">
        <f>'дод 3'!I102</f>
        <v>0</v>
      </c>
      <c r="I55" s="62">
        <f>'дод 3'!J102</f>
        <v>0</v>
      </c>
      <c r="J55" s="62">
        <f>'дод 3'!K102</f>
        <v>0</v>
      </c>
      <c r="K55" s="62">
        <f>'дод 3'!L102</f>
        <v>0</v>
      </c>
      <c r="L55" s="62">
        <f>'дод 3'!M102</f>
        <v>0</v>
      </c>
      <c r="M55" s="62">
        <f>'дод 3'!N102</f>
        <v>0</v>
      </c>
      <c r="N55" s="62">
        <f>'дод 3'!O102</f>
        <v>0</v>
      </c>
      <c r="O55" s="62">
        <f>'дод 3'!P102</f>
        <v>1259894</v>
      </c>
    </row>
    <row r="56" spans="1:15" ht="54.75" customHeight="1" x14ac:dyDescent="0.25">
      <c r="A56" s="46" t="s">
        <v>119</v>
      </c>
      <c r="B56" s="46" t="s">
        <v>69</v>
      </c>
      <c r="C56" s="3" t="s">
        <v>55</v>
      </c>
      <c r="D56" s="62">
        <f>'дод 3'!E103+'дод 3'!E22</f>
        <v>24145963.129999999</v>
      </c>
      <c r="E56" s="62">
        <f>'дод 3'!F103+'дод 3'!F22</f>
        <v>24145963.129999999</v>
      </c>
      <c r="F56" s="62">
        <f>'дод 3'!G103+'дод 3'!G22</f>
        <v>0</v>
      </c>
      <c r="G56" s="62">
        <f>'дод 3'!H103+'дод 3'!H22</f>
        <v>0</v>
      </c>
      <c r="H56" s="62">
        <f>'дод 3'!I103+'дод 3'!I22</f>
        <v>0</v>
      </c>
      <c r="I56" s="62">
        <f>'дод 3'!J103+'дод 3'!J22</f>
        <v>0</v>
      </c>
      <c r="J56" s="62">
        <f>'дод 3'!K103+'дод 3'!K22</f>
        <v>0</v>
      </c>
      <c r="K56" s="62">
        <f>'дод 3'!L103+'дод 3'!L22</f>
        <v>0</v>
      </c>
      <c r="L56" s="62">
        <f>'дод 3'!M103+'дод 3'!M22</f>
        <v>0</v>
      </c>
      <c r="M56" s="62">
        <f>'дод 3'!N103+'дод 3'!N22</f>
        <v>0</v>
      </c>
      <c r="N56" s="62">
        <f>'дод 3'!O103+'дод 3'!O22</f>
        <v>0</v>
      </c>
      <c r="O56" s="62">
        <f>'дод 3'!P103+'дод 3'!P22</f>
        <v>24145963.129999999</v>
      </c>
    </row>
    <row r="57" spans="1:15" ht="46.5" customHeight="1" x14ac:dyDescent="0.25">
      <c r="A57" s="46" t="s">
        <v>380</v>
      </c>
      <c r="B57" s="46" t="s">
        <v>69</v>
      </c>
      <c r="C57" s="3" t="s">
        <v>379</v>
      </c>
      <c r="D57" s="62">
        <f>'дод 3'!E104</f>
        <v>1000000</v>
      </c>
      <c r="E57" s="62">
        <f>'дод 3'!F104</f>
        <v>1000000</v>
      </c>
      <c r="F57" s="62">
        <f>'дод 3'!G104</f>
        <v>0</v>
      </c>
      <c r="G57" s="62">
        <f>'дод 3'!H104</f>
        <v>0</v>
      </c>
      <c r="H57" s="62">
        <f>'дод 3'!I104</f>
        <v>0</v>
      </c>
      <c r="I57" s="62">
        <f>'дод 3'!J104</f>
        <v>0</v>
      </c>
      <c r="J57" s="62">
        <f>'дод 3'!K104</f>
        <v>0</v>
      </c>
      <c r="K57" s="62">
        <f>'дод 3'!L104</f>
        <v>0</v>
      </c>
      <c r="L57" s="62">
        <f>'дод 3'!M104</f>
        <v>0</v>
      </c>
      <c r="M57" s="62">
        <f>'дод 3'!N104</f>
        <v>0</v>
      </c>
      <c r="N57" s="62">
        <f>'дод 3'!O104</f>
        <v>0</v>
      </c>
      <c r="O57" s="62">
        <f>'дод 3'!P104</f>
        <v>1000000</v>
      </c>
    </row>
    <row r="58" spans="1:15" ht="45" customHeight="1" x14ac:dyDescent="0.25">
      <c r="A58" s="46" t="s">
        <v>152</v>
      </c>
      <c r="B58" s="46" t="s">
        <v>69</v>
      </c>
      <c r="C58" s="3" t="s">
        <v>25</v>
      </c>
      <c r="D58" s="62">
        <f>'дод 3'!E105+'дод 3'!E23</f>
        <v>26348280.5</v>
      </c>
      <c r="E58" s="62">
        <f>'дод 3'!F105+'дод 3'!F23</f>
        <v>26348280.5</v>
      </c>
      <c r="F58" s="62">
        <f>'дод 3'!G105+'дод 3'!G23</f>
        <v>0</v>
      </c>
      <c r="G58" s="62">
        <f>'дод 3'!H105+'дод 3'!H23</f>
        <v>0</v>
      </c>
      <c r="H58" s="62">
        <f>'дод 3'!I105+'дод 3'!I23</f>
        <v>0</v>
      </c>
      <c r="I58" s="62">
        <f>'дод 3'!J105+'дод 3'!J23</f>
        <v>0</v>
      </c>
      <c r="J58" s="62">
        <f>'дод 3'!K105+'дод 3'!K23</f>
        <v>0</v>
      </c>
      <c r="K58" s="62">
        <f>'дод 3'!L105+'дод 3'!L23</f>
        <v>0</v>
      </c>
      <c r="L58" s="62">
        <f>'дод 3'!M105+'дод 3'!M23</f>
        <v>0</v>
      </c>
      <c r="M58" s="62">
        <f>'дод 3'!N105+'дод 3'!N23</f>
        <v>0</v>
      </c>
      <c r="N58" s="62">
        <f>'дод 3'!O105+'дод 3'!O23</f>
        <v>0</v>
      </c>
      <c r="O58" s="62">
        <f>'дод 3'!P105+'дод 3'!P23</f>
        <v>26348280.5</v>
      </c>
    </row>
    <row r="59" spans="1:15" ht="40.5" customHeight="1" x14ac:dyDescent="0.25">
      <c r="A59" s="46" t="s">
        <v>121</v>
      </c>
      <c r="B59" s="46" t="s">
        <v>69</v>
      </c>
      <c r="C59" s="3" t="s">
        <v>41</v>
      </c>
      <c r="D59" s="62">
        <f>'дод 3'!E106</f>
        <v>853000</v>
      </c>
      <c r="E59" s="62">
        <f>'дод 3'!F106</f>
        <v>853000</v>
      </c>
      <c r="F59" s="62">
        <f>'дод 3'!G106</f>
        <v>0</v>
      </c>
      <c r="G59" s="62">
        <f>'дод 3'!H106</f>
        <v>0</v>
      </c>
      <c r="H59" s="62">
        <f>'дод 3'!I106</f>
        <v>0</v>
      </c>
      <c r="I59" s="62">
        <f>'дод 3'!J106</f>
        <v>0</v>
      </c>
      <c r="J59" s="62">
        <f>'дод 3'!K106</f>
        <v>0</v>
      </c>
      <c r="K59" s="62">
        <f>'дод 3'!L106</f>
        <v>0</v>
      </c>
      <c r="L59" s="62">
        <f>'дод 3'!M106</f>
        <v>0</v>
      </c>
      <c r="M59" s="62">
        <f>'дод 3'!N106</f>
        <v>0</v>
      </c>
      <c r="N59" s="62">
        <f>'дод 3'!O106</f>
        <v>0</v>
      </c>
      <c r="O59" s="62">
        <f>'дод 3'!P106</f>
        <v>853000</v>
      </c>
    </row>
    <row r="60" spans="1:15" ht="40.5" customHeight="1" x14ac:dyDescent="0.25">
      <c r="A60" s="46" t="s">
        <v>368</v>
      </c>
      <c r="B60" s="46" t="s">
        <v>67</v>
      </c>
      <c r="C60" s="3" t="s">
        <v>369</v>
      </c>
      <c r="D60" s="62">
        <f>'дод 3'!E107</f>
        <v>228400</v>
      </c>
      <c r="E60" s="62">
        <f>'дод 3'!F107</f>
        <v>228400</v>
      </c>
      <c r="F60" s="62">
        <f>'дод 3'!G107</f>
        <v>0</v>
      </c>
      <c r="G60" s="62">
        <f>'дод 3'!H107</f>
        <v>0</v>
      </c>
      <c r="H60" s="62">
        <f>'дод 3'!I107</f>
        <v>0</v>
      </c>
      <c r="I60" s="62">
        <f>'дод 3'!J107</f>
        <v>0</v>
      </c>
      <c r="J60" s="62">
        <f>'дод 3'!K107</f>
        <v>0</v>
      </c>
      <c r="K60" s="62">
        <f>'дод 3'!L107</f>
        <v>0</v>
      </c>
      <c r="L60" s="62">
        <f>'дод 3'!M107</f>
        <v>0</v>
      </c>
      <c r="M60" s="62">
        <f>'дод 3'!N107</f>
        <v>0</v>
      </c>
      <c r="N60" s="62">
        <f>'дод 3'!O107</f>
        <v>0</v>
      </c>
      <c r="O60" s="62">
        <f>'дод 3'!P107</f>
        <v>228400</v>
      </c>
    </row>
    <row r="61" spans="1:15" ht="74.25" customHeight="1" x14ac:dyDescent="0.25">
      <c r="A61" s="46" t="s">
        <v>122</v>
      </c>
      <c r="B61" s="46" t="s">
        <v>65</v>
      </c>
      <c r="C61" s="3" t="s">
        <v>42</v>
      </c>
      <c r="D61" s="62">
        <f>'дод 3'!E108</f>
        <v>13559330</v>
      </c>
      <c r="E61" s="62">
        <f>'дод 3'!F108</f>
        <v>13559330</v>
      </c>
      <c r="F61" s="62">
        <f>'дод 3'!G108</f>
        <v>10389550</v>
      </c>
      <c r="G61" s="62">
        <f>'дод 3'!H108</f>
        <v>230060</v>
      </c>
      <c r="H61" s="62">
        <f>'дод 3'!I108</f>
        <v>0</v>
      </c>
      <c r="I61" s="62">
        <f>'дод 3'!J108</f>
        <v>471000</v>
      </c>
      <c r="J61" s="62">
        <f>'дод 3'!K108</f>
        <v>362900</v>
      </c>
      <c r="K61" s="62">
        <f>'дод 3'!L108</f>
        <v>108100</v>
      </c>
      <c r="L61" s="62">
        <f>'дод 3'!M108</f>
        <v>85100</v>
      </c>
      <c r="M61" s="62">
        <f>'дод 3'!N108</f>
        <v>0</v>
      </c>
      <c r="N61" s="62">
        <f>'дод 3'!O108</f>
        <v>362900</v>
      </c>
      <c r="O61" s="62">
        <f>'дод 3'!P108</f>
        <v>14030330</v>
      </c>
    </row>
    <row r="62" spans="1:15" ht="69.75" customHeight="1" x14ac:dyDescent="0.25">
      <c r="A62" s="46" t="s">
        <v>392</v>
      </c>
      <c r="B62" s="46" t="s">
        <v>120</v>
      </c>
      <c r="C62" s="42" t="s">
        <v>393</v>
      </c>
      <c r="D62" s="62">
        <f>SUM('дод 3'!E123)</f>
        <v>0</v>
      </c>
      <c r="E62" s="62">
        <f>SUM('дод 3'!F123)</f>
        <v>0</v>
      </c>
      <c r="F62" s="62">
        <f>SUM('дод 3'!G123)</f>
        <v>0</v>
      </c>
      <c r="G62" s="62">
        <f>SUM('дод 3'!H123)</f>
        <v>0</v>
      </c>
      <c r="H62" s="62">
        <f>SUM('дод 3'!I123)</f>
        <v>0</v>
      </c>
      <c r="I62" s="62">
        <f>SUM('дод 3'!J123)</f>
        <v>20000</v>
      </c>
      <c r="J62" s="62">
        <f>SUM('дод 3'!K123)</f>
        <v>20000</v>
      </c>
      <c r="K62" s="62">
        <f>SUM('дод 3'!L123)</f>
        <v>0</v>
      </c>
      <c r="L62" s="62">
        <f>SUM('дод 3'!M123)</f>
        <v>0</v>
      </c>
      <c r="M62" s="62">
        <f>SUM('дод 3'!N123)</f>
        <v>0</v>
      </c>
      <c r="N62" s="62">
        <f>SUM('дод 3'!O123)</f>
        <v>20000</v>
      </c>
      <c r="O62" s="62">
        <f>SUM('дод 3'!P123)</f>
        <v>20000</v>
      </c>
    </row>
    <row r="63" spans="1:15" s="84" customFormat="1" ht="43.5" customHeight="1" x14ac:dyDescent="0.25">
      <c r="A63" s="46" t="s">
        <v>123</v>
      </c>
      <c r="B63" s="46" t="s">
        <v>120</v>
      </c>
      <c r="C63" s="3" t="s">
        <v>43</v>
      </c>
      <c r="D63" s="62">
        <f>'дод 3'!E124</f>
        <v>90500</v>
      </c>
      <c r="E63" s="62">
        <f>'дод 3'!F124</f>
        <v>90500</v>
      </c>
      <c r="F63" s="62">
        <f>'дод 3'!G124</f>
        <v>0</v>
      </c>
      <c r="G63" s="62">
        <f>'дод 3'!H124</f>
        <v>0</v>
      </c>
      <c r="H63" s="62">
        <f>'дод 3'!I124</f>
        <v>0</v>
      </c>
      <c r="I63" s="62">
        <f>'дод 3'!J124</f>
        <v>0</v>
      </c>
      <c r="J63" s="62">
        <f>'дод 3'!K124</f>
        <v>0</v>
      </c>
      <c r="K63" s="62">
        <f>'дод 3'!L124</f>
        <v>0</v>
      </c>
      <c r="L63" s="62">
        <f>'дод 3'!M124</f>
        <v>0</v>
      </c>
      <c r="M63" s="62">
        <f>'дод 3'!N124</f>
        <v>0</v>
      </c>
      <c r="N63" s="62">
        <f>'дод 3'!O124</f>
        <v>0</v>
      </c>
      <c r="O63" s="62">
        <f>'дод 3'!P124</f>
        <v>90500</v>
      </c>
    </row>
    <row r="64" spans="1:15" s="84" customFormat="1" ht="42.75" customHeight="1" x14ac:dyDescent="0.25">
      <c r="A64" s="46" t="s">
        <v>153</v>
      </c>
      <c r="B64" s="46" t="s">
        <v>120</v>
      </c>
      <c r="C64" s="3" t="s">
        <v>154</v>
      </c>
      <c r="D64" s="62">
        <f>'дод 3'!E24</f>
        <v>2529735</v>
      </c>
      <c r="E64" s="62">
        <f>'дод 3'!F24</f>
        <v>2529735</v>
      </c>
      <c r="F64" s="62">
        <f>'дод 3'!G24</f>
        <v>1883250</v>
      </c>
      <c r="G64" s="62">
        <f>'дод 3'!H24</f>
        <v>50170</v>
      </c>
      <c r="H64" s="62">
        <f>'дод 3'!I24</f>
        <v>0</v>
      </c>
      <c r="I64" s="62">
        <f>'дод 3'!J24</f>
        <v>0</v>
      </c>
      <c r="J64" s="62">
        <f>'дод 3'!K24</f>
        <v>0</v>
      </c>
      <c r="K64" s="62">
        <f>'дод 3'!L24</f>
        <v>0</v>
      </c>
      <c r="L64" s="62">
        <f>'дод 3'!M24</f>
        <v>0</v>
      </c>
      <c r="M64" s="62">
        <f>'дод 3'!N24</f>
        <v>0</v>
      </c>
      <c r="N64" s="62">
        <f>'дод 3'!O24</f>
        <v>0</v>
      </c>
      <c r="O64" s="62">
        <f>'дод 3'!P24</f>
        <v>2529735</v>
      </c>
    </row>
    <row r="65" spans="1:15" s="84" customFormat="1" ht="57" customHeight="1" x14ac:dyDescent="0.25">
      <c r="A65" s="49" t="s">
        <v>127</v>
      </c>
      <c r="B65" s="49" t="s">
        <v>120</v>
      </c>
      <c r="C65" s="3" t="s">
        <v>401</v>
      </c>
      <c r="D65" s="62">
        <f>'дод 3'!E25</f>
        <v>850000</v>
      </c>
      <c r="E65" s="62">
        <f>'дод 3'!F25</f>
        <v>850000</v>
      </c>
      <c r="F65" s="62">
        <f>'дод 3'!G25</f>
        <v>0</v>
      </c>
      <c r="G65" s="62">
        <f>'дод 3'!H25</f>
        <v>0</v>
      </c>
      <c r="H65" s="62">
        <f>'дод 3'!I25</f>
        <v>0</v>
      </c>
      <c r="I65" s="62">
        <f>'дод 3'!J25</f>
        <v>0</v>
      </c>
      <c r="J65" s="62">
        <f>'дод 3'!K25</f>
        <v>0</v>
      </c>
      <c r="K65" s="62">
        <f>'дод 3'!L25</f>
        <v>0</v>
      </c>
      <c r="L65" s="62">
        <f>'дод 3'!M25</f>
        <v>0</v>
      </c>
      <c r="M65" s="62">
        <f>'дод 3'!N25</f>
        <v>0</v>
      </c>
      <c r="N65" s="62">
        <f>'дод 3'!O25</f>
        <v>0</v>
      </c>
      <c r="O65" s="62">
        <f>'дод 3'!P25</f>
        <v>850000</v>
      </c>
    </row>
    <row r="66" spans="1:15" ht="75" customHeight="1" x14ac:dyDescent="0.25">
      <c r="A66" s="46" t="s">
        <v>128</v>
      </c>
      <c r="B66" s="46" t="s">
        <v>120</v>
      </c>
      <c r="C66" s="6" t="s">
        <v>28</v>
      </c>
      <c r="D66" s="62">
        <f>'дод 3'!E70+'дод 3'!E26</f>
        <v>7560000</v>
      </c>
      <c r="E66" s="62">
        <f>'дод 3'!F70+'дод 3'!F26</f>
        <v>7560000</v>
      </c>
      <c r="F66" s="62">
        <f>'дод 3'!G70+'дод 3'!G26</f>
        <v>0</v>
      </c>
      <c r="G66" s="62">
        <f>'дод 3'!H70+'дод 3'!H26</f>
        <v>0</v>
      </c>
      <c r="H66" s="62">
        <f>'дод 3'!I70+'дод 3'!I26</f>
        <v>0</v>
      </c>
      <c r="I66" s="62">
        <f>'дод 3'!J70+'дод 3'!J26</f>
        <v>0</v>
      </c>
      <c r="J66" s="62">
        <f>'дод 3'!K70+'дод 3'!K26</f>
        <v>0</v>
      </c>
      <c r="K66" s="62">
        <f>'дод 3'!L70+'дод 3'!L26</f>
        <v>0</v>
      </c>
      <c r="L66" s="62">
        <f>'дод 3'!M70+'дод 3'!M26</f>
        <v>0</v>
      </c>
      <c r="M66" s="62">
        <f>'дод 3'!N70+'дод 3'!N26</f>
        <v>0</v>
      </c>
      <c r="N66" s="62">
        <f>'дод 3'!O70+'дод 3'!O26</f>
        <v>0</v>
      </c>
      <c r="O66" s="62">
        <f>'дод 3'!P70+'дод 3'!P26</f>
        <v>7560000</v>
      </c>
    </row>
    <row r="67" spans="1:15" ht="92.25" customHeight="1" x14ac:dyDescent="0.25">
      <c r="A67" s="46" t="s">
        <v>129</v>
      </c>
      <c r="B67" s="46">
        <v>1010</v>
      </c>
      <c r="C67" s="3" t="s">
        <v>335</v>
      </c>
      <c r="D67" s="62">
        <f>'дод 3'!E109</f>
        <v>1884220</v>
      </c>
      <c r="E67" s="62">
        <f>'дод 3'!F109</f>
        <v>1884220</v>
      </c>
      <c r="F67" s="62">
        <f>'дод 3'!G109</f>
        <v>0</v>
      </c>
      <c r="G67" s="62">
        <f>'дод 3'!H109</f>
        <v>0</v>
      </c>
      <c r="H67" s="62">
        <f>'дод 3'!I109</f>
        <v>0</v>
      </c>
      <c r="I67" s="62">
        <f>'дод 3'!J109</f>
        <v>0</v>
      </c>
      <c r="J67" s="62">
        <f>'дод 3'!K109</f>
        <v>0</v>
      </c>
      <c r="K67" s="62">
        <f>'дод 3'!L109</f>
        <v>0</v>
      </c>
      <c r="L67" s="62">
        <f>'дод 3'!M109</f>
        <v>0</v>
      </c>
      <c r="M67" s="62">
        <f>'дод 3'!N109</f>
        <v>0</v>
      </c>
      <c r="N67" s="62">
        <f>'дод 3'!O109</f>
        <v>0</v>
      </c>
      <c r="O67" s="62">
        <f>'дод 3'!P109</f>
        <v>1884220</v>
      </c>
    </row>
    <row r="68" spans="1:15" s="84" customFormat="1" ht="53.25" customHeight="1" x14ac:dyDescent="0.25">
      <c r="A68" s="46" t="s">
        <v>370</v>
      </c>
      <c r="B68" s="46">
        <v>1010</v>
      </c>
      <c r="C68" s="3" t="s">
        <v>372</v>
      </c>
      <c r="D68" s="62">
        <f>'дод 3'!E110</f>
        <v>228095</v>
      </c>
      <c r="E68" s="62">
        <f>'дод 3'!F110</f>
        <v>228095</v>
      </c>
      <c r="F68" s="62">
        <f>'дод 3'!G110</f>
        <v>0</v>
      </c>
      <c r="G68" s="62">
        <f>'дод 3'!H110</f>
        <v>0</v>
      </c>
      <c r="H68" s="62">
        <f>'дод 3'!I110</f>
        <v>0</v>
      </c>
      <c r="I68" s="62">
        <f>'дод 3'!J110</f>
        <v>0</v>
      </c>
      <c r="J68" s="62">
        <f>'дод 3'!K110</f>
        <v>0</v>
      </c>
      <c r="K68" s="62">
        <f>'дод 3'!L110</f>
        <v>0</v>
      </c>
      <c r="L68" s="62">
        <f>'дод 3'!M110</f>
        <v>0</v>
      </c>
      <c r="M68" s="62">
        <f>'дод 3'!N110</f>
        <v>0</v>
      </c>
      <c r="N68" s="62">
        <f>'дод 3'!O110</f>
        <v>0</v>
      </c>
      <c r="O68" s="62">
        <f>'дод 3'!P110</f>
        <v>228095</v>
      </c>
    </row>
    <row r="69" spans="1:15" s="84" customFormat="1" ht="38.25" customHeight="1" x14ac:dyDescent="0.25">
      <c r="A69" s="46" t="s">
        <v>371</v>
      </c>
      <c r="B69" s="46">
        <v>1010</v>
      </c>
      <c r="C69" s="3" t="s">
        <v>373</v>
      </c>
      <c r="D69" s="62">
        <f>'дод 3'!E111</f>
        <v>90</v>
      </c>
      <c r="E69" s="62">
        <f>'дод 3'!F111</f>
        <v>90</v>
      </c>
      <c r="F69" s="62">
        <f>'дод 3'!G111</f>
        <v>0</v>
      </c>
      <c r="G69" s="62">
        <f>'дод 3'!H111</f>
        <v>0</v>
      </c>
      <c r="H69" s="62">
        <f>'дод 3'!I111</f>
        <v>0</v>
      </c>
      <c r="I69" s="62">
        <f>'дод 3'!J111</f>
        <v>0</v>
      </c>
      <c r="J69" s="62">
        <f>'дод 3'!K111</f>
        <v>0</v>
      </c>
      <c r="K69" s="62">
        <f>'дод 3'!L111</f>
        <v>0</v>
      </c>
      <c r="L69" s="62">
        <f>'дод 3'!M111</f>
        <v>0</v>
      </c>
      <c r="M69" s="62">
        <f>'дод 3'!N111</f>
        <v>0</v>
      </c>
      <c r="N69" s="62">
        <f>'дод 3'!O111</f>
        <v>0</v>
      </c>
      <c r="O69" s="62">
        <f>'дод 3'!P111</f>
        <v>90</v>
      </c>
    </row>
    <row r="70" spans="1:15" ht="77.25" customHeight="1" x14ac:dyDescent="0.25">
      <c r="A70" s="46" t="s">
        <v>124</v>
      </c>
      <c r="B70" s="46" t="s">
        <v>68</v>
      </c>
      <c r="C70" s="3" t="s">
        <v>402</v>
      </c>
      <c r="D70" s="62">
        <f>'дод 3'!E112</f>
        <v>2075000</v>
      </c>
      <c r="E70" s="62">
        <f>'дод 3'!F112</f>
        <v>2075000</v>
      </c>
      <c r="F70" s="62">
        <f>'дод 3'!G112</f>
        <v>0</v>
      </c>
      <c r="G70" s="62">
        <f>'дод 3'!H112</f>
        <v>0</v>
      </c>
      <c r="H70" s="62">
        <f>'дод 3'!I112</f>
        <v>0</v>
      </c>
      <c r="I70" s="62">
        <f>'дод 3'!J112</f>
        <v>0</v>
      </c>
      <c r="J70" s="62">
        <f>'дод 3'!K112</f>
        <v>0</v>
      </c>
      <c r="K70" s="62">
        <f>'дод 3'!L112</f>
        <v>0</v>
      </c>
      <c r="L70" s="62">
        <f>'дод 3'!M112</f>
        <v>0</v>
      </c>
      <c r="M70" s="62">
        <f>'дод 3'!N112</f>
        <v>0</v>
      </c>
      <c r="N70" s="62">
        <f>'дод 3'!O112</f>
        <v>0</v>
      </c>
      <c r="O70" s="62">
        <f>'дод 3'!P112</f>
        <v>2075000</v>
      </c>
    </row>
    <row r="71" spans="1:15" s="84" customFormat="1" ht="36.75" customHeight="1" x14ac:dyDescent="0.25">
      <c r="A71" s="46" t="s">
        <v>336</v>
      </c>
      <c r="B71" s="46" t="s">
        <v>67</v>
      </c>
      <c r="C71" s="3" t="s">
        <v>24</v>
      </c>
      <c r="D71" s="62">
        <f>'дод 3'!E113</f>
        <v>2178000</v>
      </c>
      <c r="E71" s="62">
        <f>'дод 3'!F113</f>
        <v>2178000</v>
      </c>
      <c r="F71" s="62">
        <f>'дод 3'!G113</f>
        <v>0</v>
      </c>
      <c r="G71" s="62">
        <f>'дод 3'!H113</f>
        <v>0</v>
      </c>
      <c r="H71" s="62">
        <f>'дод 3'!I113</f>
        <v>0</v>
      </c>
      <c r="I71" s="62">
        <f>'дод 3'!J113</f>
        <v>0</v>
      </c>
      <c r="J71" s="62">
        <f>'дод 3'!K113</f>
        <v>0</v>
      </c>
      <c r="K71" s="62">
        <f>'дод 3'!L113</f>
        <v>0</v>
      </c>
      <c r="L71" s="62">
        <f>'дод 3'!M113</f>
        <v>0</v>
      </c>
      <c r="M71" s="62">
        <f>'дод 3'!N113</f>
        <v>0</v>
      </c>
      <c r="N71" s="62">
        <f>'дод 3'!O113</f>
        <v>0</v>
      </c>
      <c r="O71" s="62">
        <f>'дод 3'!P113</f>
        <v>2178000</v>
      </c>
    </row>
    <row r="72" spans="1:15" s="84" customFormat="1" ht="55.5" customHeight="1" x14ac:dyDescent="0.25">
      <c r="A72" s="46" t="s">
        <v>337</v>
      </c>
      <c r="B72" s="46" t="s">
        <v>67</v>
      </c>
      <c r="C72" s="3" t="s">
        <v>366</v>
      </c>
      <c r="D72" s="62">
        <f>'дод 3'!E114</f>
        <v>1892237</v>
      </c>
      <c r="E72" s="62">
        <f>'дод 3'!F114</f>
        <v>1892237</v>
      </c>
      <c r="F72" s="62">
        <f>'дод 3'!G114</f>
        <v>0</v>
      </c>
      <c r="G72" s="62">
        <f>'дод 3'!H114</f>
        <v>0</v>
      </c>
      <c r="H72" s="62">
        <f>'дод 3'!I114</f>
        <v>0</v>
      </c>
      <c r="I72" s="62">
        <f>'дод 3'!J114</f>
        <v>0</v>
      </c>
      <c r="J72" s="62">
        <f>'дод 3'!K114</f>
        <v>0</v>
      </c>
      <c r="K72" s="62">
        <f>'дод 3'!L114</f>
        <v>0</v>
      </c>
      <c r="L72" s="62">
        <f>'дод 3'!M114</f>
        <v>0</v>
      </c>
      <c r="M72" s="62">
        <f>'дод 3'!N114</f>
        <v>0</v>
      </c>
      <c r="N72" s="62">
        <f>'дод 3'!O114</f>
        <v>0</v>
      </c>
      <c r="O72" s="62">
        <f>'дод 3'!P114</f>
        <v>1892237</v>
      </c>
    </row>
    <row r="73" spans="1:15" ht="43.5" customHeight="1" x14ac:dyDescent="0.25">
      <c r="A73" s="46" t="s">
        <v>125</v>
      </c>
      <c r="B73" s="46" t="s">
        <v>71</v>
      </c>
      <c r="C73" s="3" t="s">
        <v>403</v>
      </c>
      <c r="D73" s="62">
        <f>'дод 3'!E115</f>
        <v>86500</v>
      </c>
      <c r="E73" s="62">
        <f>'дод 3'!F115</f>
        <v>86500</v>
      </c>
      <c r="F73" s="62">
        <f>'дод 3'!G115</f>
        <v>0</v>
      </c>
      <c r="G73" s="62">
        <f>'дод 3'!H115</f>
        <v>0</v>
      </c>
      <c r="H73" s="62">
        <f>'дод 3'!I115</f>
        <v>0</v>
      </c>
      <c r="I73" s="62">
        <f>'дод 3'!J115</f>
        <v>0</v>
      </c>
      <c r="J73" s="62">
        <f>'дод 3'!K115</f>
        <v>0</v>
      </c>
      <c r="K73" s="62">
        <f>'дод 3'!L115</f>
        <v>0</v>
      </c>
      <c r="L73" s="62">
        <f>'дод 3'!M115</f>
        <v>0</v>
      </c>
      <c r="M73" s="62">
        <f>'дод 3'!N115</f>
        <v>0</v>
      </c>
      <c r="N73" s="62">
        <f>'дод 3'!O115</f>
        <v>0</v>
      </c>
      <c r="O73" s="62">
        <f>'дод 3'!P115</f>
        <v>86500</v>
      </c>
    </row>
    <row r="74" spans="1:15" ht="27.75" customHeight="1" x14ac:dyDescent="0.25">
      <c r="A74" s="46" t="s">
        <v>338</v>
      </c>
      <c r="B74" s="46" t="s">
        <v>126</v>
      </c>
      <c r="C74" s="3" t="s">
        <v>50</v>
      </c>
      <c r="D74" s="62">
        <f>'дод 3'!E116+'дод 3'!E139</f>
        <v>600000</v>
      </c>
      <c r="E74" s="62">
        <f>'дод 3'!F116+'дод 3'!F139</f>
        <v>600000</v>
      </c>
      <c r="F74" s="62">
        <f>'дод 3'!G116+'дод 3'!G139</f>
        <v>163935</v>
      </c>
      <c r="G74" s="62">
        <f>'дод 3'!H116+'дод 3'!H139</f>
        <v>0</v>
      </c>
      <c r="H74" s="62">
        <f>'дод 3'!I116+'дод 3'!I139</f>
        <v>0</v>
      </c>
      <c r="I74" s="62">
        <f>'дод 3'!J116+'дод 3'!J139</f>
        <v>0</v>
      </c>
      <c r="J74" s="62">
        <f>'дод 3'!K116+'дод 3'!K139</f>
        <v>0</v>
      </c>
      <c r="K74" s="62">
        <f>'дод 3'!L116+'дод 3'!L139</f>
        <v>0</v>
      </c>
      <c r="L74" s="62">
        <f>'дод 3'!M116+'дод 3'!M139</f>
        <v>0</v>
      </c>
      <c r="M74" s="62">
        <f>'дод 3'!N116+'дод 3'!N139</f>
        <v>0</v>
      </c>
      <c r="N74" s="62">
        <f>'дод 3'!O116+'дод 3'!O139</f>
        <v>0</v>
      </c>
      <c r="O74" s="62">
        <f>'дод 3'!P116+'дод 3'!P139</f>
        <v>600000</v>
      </c>
    </row>
    <row r="75" spans="1:15" s="84" customFormat="1" ht="32.25" customHeight="1" x14ac:dyDescent="0.25">
      <c r="A75" s="46" t="s">
        <v>339</v>
      </c>
      <c r="B75" s="46" t="s">
        <v>71</v>
      </c>
      <c r="C75" s="3" t="s">
        <v>341</v>
      </c>
      <c r="D75" s="62">
        <f>'дод 3'!E117+'дод 3'!E27</f>
        <v>6719301</v>
      </c>
      <c r="E75" s="62">
        <f>'дод 3'!F117+'дод 3'!F27</f>
        <v>6719301</v>
      </c>
      <c r="F75" s="62">
        <f>'дод 3'!G117+'дод 3'!G27</f>
        <v>4196250</v>
      </c>
      <c r="G75" s="62">
        <f>'дод 3'!H117+'дод 3'!H27</f>
        <v>606930</v>
      </c>
      <c r="H75" s="62">
        <f>'дод 3'!I117+'дод 3'!I27</f>
        <v>0</v>
      </c>
      <c r="I75" s="62">
        <f>'дод 3'!J117+'дод 3'!J27</f>
        <v>761000</v>
      </c>
      <c r="J75" s="62">
        <f>'дод 3'!K117+'дод 3'!K27</f>
        <v>761000</v>
      </c>
      <c r="K75" s="62">
        <f>'дод 3'!L117+'дод 3'!L27</f>
        <v>0</v>
      </c>
      <c r="L75" s="62">
        <f>'дод 3'!M117+'дод 3'!M27</f>
        <v>0</v>
      </c>
      <c r="M75" s="62">
        <f>'дод 3'!N117+'дод 3'!N27</f>
        <v>0</v>
      </c>
      <c r="N75" s="62">
        <f>'дод 3'!O117+'дод 3'!O27</f>
        <v>761000</v>
      </c>
      <c r="O75" s="62">
        <f>'дод 3'!P117+'дод 3'!P27</f>
        <v>7480301</v>
      </c>
    </row>
    <row r="76" spans="1:15" s="84" customFormat="1" ht="31.5" customHeight="1" x14ac:dyDescent="0.25">
      <c r="A76" s="46" t="s">
        <v>340</v>
      </c>
      <c r="B76" s="46" t="s">
        <v>71</v>
      </c>
      <c r="C76" s="3" t="s">
        <v>342</v>
      </c>
      <c r="D76" s="62">
        <f>'дод 3'!E71+'дод 3'!E118+'дод 3'!E28</f>
        <v>34216136</v>
      </c>
      <c r="E76" s="62">
        <f>'дод 3'!F71+'дод 3'!F118+'дод 3'!F28</f>
        <v>34216136</v>
      </c>
      <c r="F76" s="62">
        <f>'дод 3'!G71+'дод 3'!G118+'дод 3'!G28</f>
        <v>0</v>
      </c>
      <c r="G76" s="62">
        <f>'дод 3'!H71+'дод 3'!H118+'дод 3'!H28</f>
        <v>0</v>
      </c>
      <c r="H76" s="62">
        <f>'дод 3'!I71+'дод 3'!I118+'дод 3'!I28</f>
        <v>0</v>
      </c>
      <c r="I76" s="62">
        <f>'дод 3'!J71+'дод 3'!J118+'дод 3'!J28</f>
        <v>35640</v>
      </c>
      <c r="J76" s="62">
        <f>'дод 3'!K71+'дод 3'!K118+'дод 3'!K28</f>
        <v>35640</v>
      </c>
      <c r="K76" s="62">
        <f>'дод 3'!L71+'дод 3'!L118+'дод 3'!L28</f>
        <v>0</v>
      </c>
      <c r="L76" s="62">
        <f>'дод 3'!M71+'дод 3'!M118+'дод 3'!M28</f>
        <v>0</v>
      </c>
      <c r="M76" s="62">
        <f>'дод 3'!N71+'дод 3'!N118+'дод 3'!N28</f>
        <v>0</v>
      </c>
      <c r="N76" s="62">
        <f>'дод 3'!O71+'дод 3'!O118+'дод 3'!O28</f>
        <v>35640</v>
      </c>
      <c r="O76" s="62">
        <f>'дод 3'!P71+'дод 3'!P118+'дод 3'!P28</f>
        <v>34251776</v>
      </c>
    </row>
    <row r="77" spans="1:15" s="82" customFormat="1" ht="19.5" customHeight="1" x14ac:dyDescent="0.25">
      <c r="A77" s="47" t="s">
        <v>90</v>
      </c>
      <c r="B77" s="50"/>
      <c r="C77" s="2" t="s">
        <v>91</v>
      </c>
      <c r="D77" s="61">
        <f t="shared" ref="D77:O77" si="6">D78+D79+D80+D81</f>
        <v>32732965</v>
      </c>
      <c r="E77" s="61">
        <f t="shared" si="6"/>
        <v>32732965</v>
      </c>
      <c r="F77" s="61">
        <f t="shared" si="6"/>
        <v>19079400</v>
      </c>
      <c r="G77" s="61">
        <f t="shared" si="6"/>
        <v>2209260</v>
      </c>
      <c r="H77" s="61">
        <f t="shared" si="6"/>
        <v>0</v>
      </c>
      <c r="I77" s="61">
        <f t="shared" si="6"/>
        <v>623495</v>
      </c>
      <c r="J77" s="61">
        <f t="shared" si="6"/>
        <v>587495</v>
      </c>
      <c r="K77" s="61">
        <f t="shared" si="6"/>
        <v>36000</v>
      </c>
      <c r="L77" s="61">
        <f t="shared" si="6"/>
        <v>12100</v>
      </c>
      <c r="M77" s="61">
        <f t="shared" si="6"/>
        <v>3300</v>
      </c>
      <c r="N77" s="61">
        <f t="shared" si="6"/>
        <v>587495</v>
      </c>
      <c r="O77" s="61">
        <f t="shared" si="6"/>
        <v>33356460</v>
      </c>
    </row>
    <row r="78" spans="1:15" ht="22.5" customHeight="1" x14ac:dyDescent="0.25">
      <c r="A78" s="46" t="s">
        <v>92</v>
      </c>
      <c r="B78" s="46" t="s">
        <v>93</v>
      </c>
      <c r="C78" s="3" t="s">
        <v>21</v>
      </c>
      <c r="D78" s="62">
        <f>'дод 3'!E129</f>
        <v>19303085</v>
      </c>
      <c r="E78" s="62">
        <f>'дод 3'!F129</f>
        <v>19303085</v>
      </c>
      <c r="F78" s="62">
        <f>'дод 3'!G129</f>
        <v>13804000</v>
      </c>
      <c r="G78" s="62">
        <f>'дод 3'!H129</f>
        <v>1346200</v>
      </c>
      <c r="H78" s="62">
        <f>'дод 3'!I129</f>
        <v>0</v>
      </c>
      <c r="I78" s="62">
        <f>'дод 3'!J129</f>
        <v>346795</v>
      </c>
      <c r="J78" s="62">
        <f>'дод 3'!K129</f>
        <v>316795</v>
      </c>
      <c r="K78" s="62">
        <f>'дод 3'!L129</f>
        <v>30000</v>
      </c>
      <c r="L78" s="62">
        <f>'дод 3'!M129</f>
        <v>12100</v>
      </c>
      <c r="M78" s="62">
        <f>'дод 3'!N129</f>
        <v>0</v>
      </c>
      <c r="N78" s="62">
        <f>'дод 3'!O129</f>
        <v>316795</v>
      </c>
      <c r="O78" s="62">
        <f>'дод 3'!P129</f>
        <v>19649880</v>
      </c>
    </row>
    <row r="79" spans="1:15" ht="33.75" customHeight="1" x14ac:dyDescent="0.25">
      <c r="A79" s="46" t="s">
        <v>376</v>
      </c>
      <c r="B79" s="46" t="s">
        <v>377</v>
      </c>
      <c r="C79" s="3" t="s">
        <v>378</v>
      </c>
      <c r="D79" s="62">
        <f>'дод 3'!E29+'дод 3'!E130</f>
        <v>5223280</v>
      </c>
      <c r="E79" s="62">
        <f>'дод 3'!F29+'дод 3'!F130</f>
        <v>5223280</v>
      </c>
      <c r="F79" s="62">
        <f>'дод 3'!G29+'дод 3'!G130</f>
        <v>2522400</v>
      </c>
      <c r="G79" s="62">
        <f>'дод 3'!H29+'дод 3'!H130</f>
        <v>738960</v>
      </c>
      <c r="H79" s="62">
        <f>'дод 3'!I29+'дод 3'!I130</f>
        <v>0</v>
      </c>
      <c r="I79" s="62">
        <f>'дод 3'!J29+'дод 3'!J130</f>
        <v>52700</v>
      </c>
      <c r="J79" s="62">
        <f>'дод 3'!K29+'дод 3'!K130</f>
        <v>46700</v>
      </c>
      <c r="K79" s="62">
        <f>'дод 3'!L29+'дод 3'!L130</f>
        <v>6000</v>
      </c>
      <c r="L79" s="62">
        <f>'дод 3'!M29+'дод 3'!M130</f>
        <v>0</v>
      </c>
      <c r="M79" s="62">
        <f>'дод 3'!N29+'дод 3'!N130</f>
        <v>3300</v>
      </c>
      <c r="N79" s="62">
        <f>'дод 3'!O29+'дод 3'!O130</f>
        <v>46700</v>
      </c>
      <c r="O79" s="62">
        <f>'дод 3'!P29+'дод 3'!P130</f>
        <v>5275980</v>
      </c>
    </row>
    <row r="80" spans="1:15" s="84" customFormat="1" ht="39.75" customHeight="1" x14ac:dyDescent="0.25">
      <c r="A80" s="46" t="s">
        <v>343</v>
      </c>
      <c r="B80" s="46" t="s">
        <v>94</v>
      </c>
      <c r="C80" s="3" t="s">
        <v>404</v>
      </c>
      <c r="D80" s="62">
        <f>'дод 3'!E30+'дод 3'!E131</f>
        <v>5240900</v>
      </c>
      <c r="E80" s="62">
        <f>'дод 3'!F30+'дод 3'!F131</f>
        <v>5240900</v>
      </c>
      <c r="F80" s="62">
        <f>'дод 3'!G30+'дод 3'!G131</f>
        <v>2753000</v>
      </c>
      <c r="G80" s="62">
        <f>'дод 3'!H30+'дод 3'!H131</f>
        <v>124100</v>
      </c>
      <c r="H80" s="62">
        <f>'дод 3'!I30+'дод 3'!I131</f>
        <v>0</v>
      </c>
      <c r="I80" s="62">
        <f>'дод 3'!J30+'дод 3'!J131</f>
        <v>224000</v>
      </c>
      <c r="J80" s="62">
        <f>'дод 3'!K30+'дод 3'!K131</f>
        <v>224000</v>
      </c>
      <c r="K80" s="62">
        <f>'дод 3'!L30+'дод 3'!L131</f>
        <v>0</v>
      </c>
      <c r="L80" s="62">
        <f>'дод 3'!M30+'дод 3'!M131</f>
        <v>0</v>
      </c>
      <c r="M80" s="62">
        <f>'дод 3'!N30+'дод 3'!N131</f>
        <v>0</v>
      </c>
      <c r="N80" s="62">
        <f>'дод 3'!O30+'дод 3'!O131</f>
        <v>224000</v>
      </c>
      <c r="O80" s="62">
        <f>'дод 3'!P30+'дод 3'!P131</f>
        <v>5464900</v>
      </c>
    </row>
    <row r="81" spans="1:15" s="84" customFormat="1" ht="30" customHeight="1" x14ac:dyDescent="0.25">
      <c r="A81" s="46" t="s">
        <v>344</v>
      </c>
      <c r="B81" s="46" t="s">
        <v>94</v>
      </c>
      <c r="C81" s="3" t="s">
        <v>345</v>
      </c>
      <c r="D81" s="62">
        <f>'дод 3'!E31+'дод 3'!E132</f>
        <v>2965700</v>
      </c>
      <c r="E81" s="62">
        <f>'дод 3'!F31+'дод 3'!F132</f>
        <v>2965700</v>
      </c>
      <c r="F81" s="62">
        <f>'дод 3'!G31+'дод 3'!G132</f>
        <v>0</v>
      </c>
      <c r="G81" s="62">
        <f>'дод 3'!H31+'дод 3'!H132</f>
        <v>0</v>
      </c>
      <c r="H81" s="62">
        <f>'дод 3'!I31+'дод 3'!I132</f>
        <v>0</v>
      </c>
      <c r="I81" s="62">
        <f>'дод 3'!J31+'дод 3'!J132</f>
        <v>0</v>
      </c>
      <c r="J81" s="62">
        <f>'дод 3'!K31+'дод 3'!K132</f>
        <v>0</v>
      </c>
      <c r="K81" s="62">
        <f>'дод 3'!L31+'дод 3'!L132</f>
        <v>0</v>
      </c>
      <c r="L81" s="62">
        <f>'дод 3'!M31+'дод 3'!M132</f>
        <v>0</v>
      </c>
      <c r="M81" s="62">
        <f>'дод 3'!N31+'дод 3'!N132</f>
        <v>0</v>
      </c>
      <c r="N81" s="62">
        <f>'дод 3'!O31+'дод 3'!O132</f>
        <v>0</v>
      </c>
      <c r="O81" s="62">
        <f>'дод 3'!P31+'дод 3'!P132</f>
        <v>2965700</v>
      </c>
    </row>
    <row r="82" spans="1:15" s="82" customFormat="1" ht="21.75" customHeight="1" x14ac:dyDescent="0.25">
      <c r="A82" s="47" t="s">
        <v>97</v>
      </c>
      <c r="B82" s="50"/>
      <c r="C82" s="2" t="s">
        <v>98</v>
      </c>
      <c r="D82" s="61">
        <f t="shared" ref="D82:O82" si="7">D83+D84+D85+D86+D87+D88</f>
        <v>46727470</v>
      </c>
      <c r="E82" s="61">
        <f t="shared" si="7"/>
        <v>46727470</v>
      </c>
      <c r="F82" s="61">
        <f t="shared" si="7"/>
        <v>17286800</v>
      </c>
      <c r="G82" s="61">
        <f t="shared" si="7"/>
        <v>1430790</v>
      </c>
      <c r="H82" s="61">
        <f t="shared" si="7"/>
        <v>0</v>
      </c>
      <c r="I82" s="61">
        <f t="shared" si="7"/>
        <v>2700570</v>
      </c>
      <c r="J82" s="61">
        <f t="shared" si="7"/>
        <v>2521450</v>
      </c>
      <c r="K82" s="61">
        <f t="shared" si="7"/>
        <v>179120</v>
      </c>
      <c r="L82" s="61">
        <f t="shared" si="7"/>
        <v>91105</v>
      </c>
      <c r="M82" s="61">
        <f t="shared" si="7"/>
        <v>51050</v>
      </c>
      <c r="N82" s="61">
        <f t="shared" si="7"/>
        <v>2521450</v>
      </c>
      <c r="O82" s="61">
        <f t="shared" si="7"/>
        <v>49428040</v>
      </c>
    </row>
    <row r="83" spans="1:15" s="84" customFormat="1" ht="43.5" customHeight="1" x14ac:dyDescent="0.25">
      <c r="A83" s="46" t="s">
        <v>99</v>
      </c>
      <c r="B83" s="46" t="s">
        <v>100</v>
      </c>
      <c r="C83" s="3" t="s">
        <v>29</v>
      </c>
      <c r="D83" s="62">
        <f>'дод 3'!E32</f>
        <v>1761000</v>
      </c>
      <c r="E83" s="62">
        <f>'дод 3'!F32</f>
        <v>1761000</v>
      </c>
      <c r="F83" s="62">
        <f>'дод 3'!G32</f>
        <v>0</v>
      </c>
      <c r="G83" s="62">
        <f>'дод 3'!H32</f>
        <v>0</v>
      </c>
      <c r="H83" s="62">
        <f>'дод 3'!I32</f>
        <v>0</v>
      </c>
      <c r="I83" s="62">
        <f>'дод 3'!J32</f>
        <v>0</v>
      </c>
      <c r="J83" s="62">
        <f>'дод 3'!K32</f>
        <v>0</v>
      </c>
      <c r="K83" s="62">
        <f>'дод 3'!L32</f>
        <v>0</v>
      </c>
      <c r="L83" s="62">
        <f>'дод 3'!M32</f>
        <v>0</v>
      </c>
      <c r="M83" s="62">
        <f>'дод 3'!N32</f>
        <v>0</v>
      </c>
      <c r="N83" s="62">
        <f>'дод 3'!O32</f>
        <v>0</v>
      </c>
      <c r="O83" s="62">
        <f>'дод 3'!P32</f>
        <v>1761000</v>
      </c>
    </row>
    <row r="84" spans="1:15" s="84" customFormat="1" ht="39.75" customHeight="1" x14ac:dyDescent="0.25">
      <c r="A84" s="46" t="s">
        <v>101</v>
      </c>
      <c r="B84" s="46" t="s">
        <v>100</v>
      </c>
      <c r="C84" s="3" t="s">
        <v>22</v>
      </c>
      <c r="D84" s="62">
        <f>'дод 3'!E33</f>
        <v>2275000</v>
      </c>
      <c r="E84" s="62">
        <f>'дод 3'!F33</f>
        <v>2275000</v>
      </c>
      <c r="F84" s="62">
        <f>'дод 3'!G33</f>
        <v>0</v>
      </c>
      <c r="G84" s="62">
        <f>'дод 3'!H33</f>
        <v>0</v>
      </c>
      <c r="H84" s="62">
        <f>'дод 3'!I33</f>
        <v>0</v>
      </c>
      <c r="I84" s="62">
        <f>'дод 3'!J33</f>
        <v>0</v>
      </c>
      <c r="J84" s="62">
        <f>'дод 3'!K33</f>
        <v>0</v>
      </c>
      <c r="K84" s="62">
        <f>'дод 3'!L33</f>
        <v>0</v>
      </c>
      <c r="L84" s="62">
        <f>'дод 3'!M33</f>
        <v>0</v>
      </c>
      <c r="M84" s="62">
        <f>'дод 3'!N33</f>
        <v>0</v>
      </c>
      <c r="N84" s="62">
        <f>'дод 3'!O33</f>
        <v>0</v>
      </c>
      <c r="O84" s="62">
        <f>'дод 3'!P33</f>
        <v>2275000</v>
      </c>
    </row>
    <row r="85" spans="1:15" s="84" customFormat="1" ht="36.75" customHeight="1" x14ac:dyDescent="0.25">
      <c r="A85" s="46" t="s">
        <v>137</v>
      </c>
      <c r="B85" s="46" t="s">
        <v>100</v>
      </c>
      <c r="C85" s="3" t="s">
        <v>30</v>
      </c>
      <c r="D85" s="62">
        <f>'дод 3'!E72+'дод 3'!E34</f>
        <v>20353330</v>
      </c>
      <c r="E85" s="62">
        <f>'дод 3'!F72+'дод 3'!F34</f>
        <v>20353330</v>
      </c>
      <c r="F85" s="62">
        <f>'дод 3'!G72+'дод 3'!G34</f>
        <v>14839900</v>
      </c>
      <c r="G85" s="62">
        <f>'дод 3'!H72+'дод 3'!H34</f>
        <v>1060690</v>
      </c>
      <c r="H85" s="62">
        <f>'дод 3'!I72+'дод 3'!I34</f>
        <v>0</v>
      </c>
      <c r="I85" s="62">
        <f>'дод 3'!J72+'дод 3'!J34</f>
        <v>1478000</v>
      </c>
      <c r="J85" s="62">
        <f>'дод 3'!K72+'дод 3'!K34</f>
        <v>1478000</v>
      </c>
      <c r="K85" s="62">
        <f>'дод 3'!L72+'дод 3'!L34</f>
        <v>0</v>
      </c>
      <c r="L85" s="62">
        <f>'дод 3'!M72+'дод 3'!M34</f>
        <v>0</v>
      </c>
      <c r="M85" s="62">
        <f>'дод 3'!N72+'дод 3'!N34</f>
        <v>0</v>
      </c>
      <c r="N85" s="62">
        <f>'дод 3'!O72+'дод 3'!O34</f>
        <v>1478000</v>
      </c>
      <c r="O85" s="62">
        <f>'дод 3'!P72+'дод 3'!P34</f>
        <v>21831330</v>
      </c>
    </row>
    <row r="86" spans="1:15" s="84" customFormat="1" ht="31.5" customHeight="1" x14ac:dyDescent="0.25">
      <c r="A86" s="46" t="s">
        <v>138</v>
      </c>
      <c r="B86" s="46" t="s">
        <v>100</v>
      </c>
      <c r="C86" s="3" t="s">
        <v>31</v>
      </c>
      <c r="D86" s="62">
        <f>'дод 3'!E35</f>
        <v>11306630</v>
      </c>
      <c r="E86" s="62">
        <f>'дод 3'!F35</f>
        <v>11306630</v>
      </c>
      <c r="F86" s="62">
        <f>'дод 3'!G35</f>
        <v>0</v>
      </c>
      <c r="G86" s="62">
        <f>'дод 3'!H35</f>
        <v>0</v>
      </c>
      <c r="H86" s="62">
        <f>'дод 3'!I35</f>
        <v>0</v>
      </c>
      <c r="I86" s="62">
        <f>'дод 3'!J35</f>
        <v>100000</v>
      </c>
      <c r="J86" s="62">
        <f>'дод 3'!K35</f>
        <v>100000</v>
      </c>
      <c r="K86" s="62">
        <f>'дод 3'!L35</f>
        <v>0</v>
      </c>
      <c r="L86" s="62">
        <f>'дод 3'!M35</f>
        <v>0</v>
      </c>
      <c r="M86" s="62">
        <f>'дод 3'!N35</f>
        <v>0</v>
      </c>
      <c r="N86" s="62">
        <f>'дод 3'!O35</f>
        <v>100000</v>
      </c>
      <c r="O86" s="62">
        <f>'дод 3'!P35</f>
        <v>11406630</v>
      </c>
    </row>
    <row r="87" spans="1:15" s="84" customFormat="1" ht="60" customHeight="1" x14ac:dyDescent="0.25">
      <c r="A87" s="46" t="s">
        <v>133</v>
      </c>
      <c r="B87" s="46" t="s">
        <v>100</v>
      </c>
      <c r="C87" s="3" t="s">
        <v>134</v>
      </c>
      <c r="D87" s="62">
        <f>'дод 3'!E36</f>
        <v>3943120</v>
      </c>
      <c r="E87" s="62">
        <f>'дод 3'!F36</f>
        <v>3943120</v>
      </c>
      <c r="F87" s="62">
        <f>'дод 3'!G36</f>
        <v>2446900</v>
      </c>
      <c r="G87" s="62">
        <f>'дод 3'!H36</f>
        <v>370100</v>
      </c>
      <c r="H87" s="62">
        <f>'дод 3'!I36</f>
        <v>0</v>
      </c>
      <c r="I87" s="62">
        <f>'дод 3'!J36</f>
        <v>1079120</v>
      </c>
      <c r="J87" s="62">
        <f>'дод 3'!K36</f>
        <v>900000</v>
      </c>
      <c r="K87" s="62">
        <f>'дод 3'!L36</f>
        <v>179120</v>
      </c>
      <c r="L87" s="62">
        <f>'дод 3'!M36</f>
        <v>91105</v>
      </c>
      <c r="M87" s="62">
        <f>'дод 3'!N36</f>
        <v>51050</v>
      </c>
      <c r="N87" s="62">
        <f>'дод 3'!O36</f>
        <v>900000</v>
      </c>
      <c r="O87" s="62">
        <f>'дод 3'!P36</f>
        <v>5022240</v>
      </c>
    </row>
    <row r="88" spans="1:15" s="84" customFormat="1" ht="42" customHeight="1" x14ac:dyDescent="0.25">
      <c r="A88" s="46" t="s">
        <v>136</v>
      </c>
      <c r="B88" s="46" t="s">
        <v>100</v>
      </c>
      <c r="C88" s="3" t="s">
        <v>135</v>
      </c>
      <c r="D88" s="62">
        <f>'дод 3'!E37</f>
        <v>7088390</v>
      </c>
      <c r="E88" s="62">
        <f>'дод 3'!F37</f>
        <v>7088390</v>
      </c>
      <c r="F88" s="62">
        <f>'дод 3'!G37</f>
        <v>0</v>
      </c>
      <c r="G88" s="62">
        <f>'дод 3'!H37</f>
        <v>0</v>
      </c>
      <c r="H88" s="62">
        <f>'дод 3'!I37</f>
        <v>0</v>
      </c>
      <c r="I88" s="62">
        <f>'дод 3'!J37</f>
        <v>43450</v>
      </c>
      <c r="J88" s="62">
        <f>'дод 3'!K37</f>
        <v>43450</v>
      </c>
      <c r="K88" s="62">
        <f>'дод 3'!L37</f>
        <v>0</v>
      </c>
      <c r="L88" s="62">
        <f>'дод 3'!M37</f>
        <v>0</v>
      </c>
      <c r="M88" s="62">
        <f>'дод 3'!N37</f>
        <v>0</v>
      </c>
      <c r="N88" s="62">
        <f>'дод 3'!O37</f>
        <v>43450</v>
      </c>
      <c r="O88" s="62">
        <f>'дод 3'!P37</f>
        <v>7131840</v>
      </c>
    </row>
    <row r="89" spans="1:15" s="82" customFormat="1" ht="27" customHeight="1" x14ac:dyDescent="0.25">
      <c r="A89" s="47" t="s">
        <v>85</v>
      </c>
      <c r="B89" s="50"/>
      <c r="C89" s="2" t="s">
        <v>86</v>
      </c>
      <c r="D89" s="61">
        <f>D90+D91+D92+D93+D94+D95+D96+D97</f>
        <v>238980678.95999998</v>
      </c>
      <c r="E89" s="61">
        <f t="shared" ref="E89:O89" si="8">E90+E91+E92+E93+E94+E95+E96+E97</f>
        <v>205786240.95999998</v>
      </c>
      <c r="F89" s="61">
        <f t="shared" si="8"/>
        <v>0</v>
      </c>
      <c r="G89" s="61">
        <f t="shared" si="8"/>
        <v>27658106</v>
      </c>
      <c r="H89" s="61">
        <f t="shared" si="8"/>
        <v>33194438</v>
      </c>
      <c r="I89" s="61">
        <f t="shared" si="8"/>
        <v>81441232.75999999</v>
      </c>
      <c r="J89" s="61">
        <f t="shared" si="8"/>
        <v>81283529.699999988</v>
      </c>
      <c r="K89" s="61">
        <f t="shared" si="8"/>
        <v>0</v>
      </c>
      <c r="L89" s="61">
        <f t="shared" si="8"/>
        <v>0</v>
      </c>
      <c r="M89" s="61">
        <f t="shared" si="8"/>
        <v>0</v>
      </c>
      <c r="N89" s="61">
        <f t="shared" si="8"/>
        <v>81441232.75999999</v>
      </c>
      <c r="O89" s="61">
        <f t="shared" si="8"/>
        <v>320421911.72000003</v>
      </c>
    </row>
    <row r="90" spans="1:15" s="84" customFormat="1" ht="33.75" customHeight="1" x14ac:dyDescent="0.25">
      <c r="A90" s="46" t="s">
        <v>155</v>
      </c>
      <c r="B90" s="46" t="s">
        <v>87</v>
      </c>
      <c r="C90" s="3" t="s">
        <v>156</v>
      </c>
      <c r="D90" s="62">
        <f>'дод 3'!E140</f>
        <v>0</v>
      </c>
      <c r="E90" s="62">
        <f>'дод 3'!F140</f>
        <v>0</v>
      </c>
      <c r="F90" s="62">
        <f>'дод 3'!G140</f>
        <v>0</v>
      </c>
      <c r="G90" s="62">
        <f>'дод 3'!H140</f>
        <v>0</v>
      </c>
      <c r="H90" s="62">
        <f>'дод 3'!I140</f>
        <v>0</v>
      </c>
      <c r="I90" s="62">
        <f>'дод 3'!J140</f>
        <v>12118067.93</v>
      </c>
      <c r="J90" s="62">
        <f>'дод 3'!K140</f>
        <v>12088067.93</v>
      </c>
      <c r="K90" s="62">
        <f>'дод 3'!L140</f>
        <v>0</v>
      </c>
      <c r="L90" s="62">
        <f>'дод 3'!M140</f>
        <v>0</v>
      </c>
      <c r="M90" s="62">
        <f>'дод 3'!N140</f>
        <v>0</v>
      </c>
      <c r="N90" s="62">
        <f>'дод 3'!O140</f>
        <v>12118067.93</v>
      </c>
      <c r="O90" s="62">
        <f>'дод 3'!P140</f>
        <v>12118067.93</v>
      </c>
    </row>
    <row r="91" spans="1:15" s="84" customFormat="1" ht="36.75" customHeight="1" x14ac:dyDescent="0.25">
      <c r="A91" s="46" t="s">
        <v>157</v>
      </c>
      <c r="B91" s="46" t="s">
        <v>89</v>
      </c>
      <c r="C91" s="3" t="s">
        <v>178</v>
      </c>
      <c r="D91" s="62">
        <f>'дод 3'!E141</f>
        <v>30925000</v>
      </c>
      <c r="E91" s="62">
        <f>'дод 3'!F141</f>
        <v>425000</v>
      </c>
      <c r="F91" s="62">
        <f>'дод 3'!G141</f>
        <v>0</v>
      </c>
      <c r="G91" s="62">
        <f>'дод 3'!H141</f>
        <v>0</v>
      </c>
      <c r="H91" s="62">
        <f>'дод 3'!I141</f>
        <v>30500000</v>
      </c>
      <c r="I91" s="62">
        <f>'дод 3'!J141</f>
        <v>1721000</v>
      </c>
      <c r="J91" s="62">
        <f>'дод 3'!K141</f>
        <v>1721000</v>
      </c>
      <c r="K91" s="62">
        <f>'дод 3'!L141</f>
        <v>0</v>
      </c>
      <c r="L91" s="62">
        <f>'дод 3'!M141</f>
        <v>0</v>
      </c>
      <c r="M91" s="62">
        <f>'дод 3'!N141</f>
        <v>0</v>
      </c>
      <c r="N91" s="62">
        <f>'дод 3'!O141</f>
        <v>1721000</v>
      </c>
      <c r="O91" s="62">
        <f>'дод 3'!P141</f>
        <v>32646000</v>
      </c>
    </row>
    <row r="92" spans="1:15" s="84" customFormat="1" ht="36.75" customHeight="1" x14ac:dyDescent="0.25">
      <c r="A92" s="49" t="s">
        <v>302</v>
      </c>
      <c r="B92" s="49" t="s">
        <v>89</v>
      </c>
      <c r="C92" s="3" t="s">
        <v>303</v>
      </c>
      <c r="D92" s="62">
        <f>'дод 3'!E142</f>
        <v>193887</v>
      </c>
      <c r="E92" s="62">
        <f>'дод 3'!F142</f>
        <v>193887</v>
      </c>
      <c r="F92" s="62">
        <f>'дод 3'!G142</f>
        <v>0</v>
      </c>
      <c r="G92" s="62">
        <f>'дод 3'!H142</f>
        <v>0</v>
      </c>
      <c r="H92" s="62">
        <f>'дод 3'!I142</f>
        <v>0</v>
      </c>
      <c r="I92" s="62">
        <f>'дод 3'!J142</f>
        <v>13408448.83</v>
      </c>
      <c r="J92" s="62">
        <f>'дод 3'!K142</f>
        <v>13358448.83</v>
      </c>
      <c r="K92" s="62">
        <f>'дод 3'!L142</f>
        <v>0</v>
      </c>
      <c r="L92" s="62">
        <f>'дод 3'!M142</f>
        <v>0</v>
      </c>
      <c r="M92" s="62">
        <f>'дод 3'!N142</f>
        <v>0</v>
      </c>
      <c r="N92" s="62">
        <f>'дод 3'!O142</f>
        <v>13408448.83</v>
      </c>
      <c r="O92" s="62">
        <f>'дод 3'!P142</f>
        <v>13602335.83</v>
      </c>
    </row>
    <row r="93" spans="1:15" s="84" customFormat="1" ht="33" customHeight="1" x14ac:dyDescent="0.25">
      <c r="A93" s="46" t="s">
        <v>305</v>
      </c>
      <c r="B93" s="46" t="s">
        <v>89</v>
      </c>
      <c r="C93" s="3" t="s">
        <v>405</v>
      </c>
      <c r="D93" s="62">
        <f>'дод 3'!E143</f>
        <v>100000</v>
      </c>
      <c r="E93" s="62">
        <f>'дод 3'!F143</f>
        <v>100000</v>
      </c>
      <c r="F93" s="62">
        <f>'дод 3'!G143</f>
        <v>0</v>
      </c>
      <c r="G93" s="62">
        <f>'дод 3'!H143</f>
        <v>0</v>
      </c>
      <c r="H93" s="62">
        <f>'дод 3'!I143</f>
        <v>0</v>
      </c>
      <c r="I93" s="62">
        <f>'дод 3'!J143</f>
        <v>0</v>
      </c>
      <c r="J93" s="62">
        <f>'дод 3'!K143</f>
        <v>0</v>
      </c>
      <c r="K93" s="62">
        <f>'дод 3'!L143</f>
        <v>0</v>
      </c>
      <c r="L93" s="62">
        <f>'дод 3'!M143</f>
        <v>0</v>
      </c>
      <c r="M93" s="62">
        <f>'дод 3'!N143</f>
        <v>0</v>
      </c>
      <c r="N93" s="62">
        <f>'дод 3'!O143</f>
        <v>0</v>
      </c>
      <c r="O93" s="62">
        <f>'дод 3'!P143</f>
        <v>100000</v>
      </c>
    </row>
    <row r="94" spans="1:15" s="84" customFormat="1" ht="52.5" customHeight="1" x14ac:dyDescent="0.25">
      <c r="A94" s="46" t="s">
        <v>88</v>
      </c>
      <c r="B94" s="46" t="s">
        <v>89</v>
      </c>
      <c r="C94" s="3" t="s">
        <v>160</v>
      </c>
      <c r="D94" s="62">
        <f>'дод 3'!E144</f>
        <v>2605232</v>
      </c>
      <c r="E94" s="62">
        <f>'дод 3'!F144</f>
        <v>0</v>
      </c>
      <c r="F94" s="62">
        <f>'дод 3'!G144</f>
        <v>0</v>
      </c>
      <c r="G94" s="62">
        <f>'дод 3'!H144</f>
        <v>0</v>
      </c>
      <c r="H94" s="62">
        <f>'дод 3'!I144</f>
        <v>2605232</v>
      </c>
      <c r="I94" s="62">
        <f>'дод 3'!J144</f>
        <v>2000000</v>
      </c>
      <c r="J94" s="62">
        <f>'дод 3'!K144</f>
        <v>2000000</v>
      </c>
      <c r="K94" s="62">
        <f>'дод 3'!L144</f>
        <v>0</v>
      </c>
      <c r="L94" s="62">
        <f>'дод 3'!M144</f>
        <v>0</v>
      </c>
      <c r="M94" s="62">
        <f>'дод 3'!N144</f>
        <v>0</v>
      </c>
      <c r="N94" s="62">
        <f>'дод 3'!O144</f>
        <v>2000000</v>
      </c>
      <c r="O94" s="62">
        <f>'дод 3'!P144</f>
        <v>4605232</v>
      </c>
    </row>
    <row r="95" spans="1:15" ht="30" customHeight="1" x14ac:dyDescent="0.25">
      <c r="A95" s="46" t="s">
        <v>158</v>
      </c>
      <c r="B95" s="46" t="s">
        <v>89</v>
      </c>
      <c r="C95" s="3" t="s">
        <v>159</v>
      </c>
      <c r="D95" s="62">
        <f>'дод 3'!E145+'дод 3'!E169</f>
        <v>192550441.56999999</v>
      </c>
      <c r="E95" s="62">
        <f>'дод 3'!F145+'дод 3'!F169</f>
        <v>192550441.56999999</v>
      </c>
      <c r="F95" s="62">
        <f>'дод 3'!G145+'дод 3'!G169</f>
        <v>0</v>
      </c>
      <c r="G95" s="62">
        <f>'дод 3'!H145+'дод 3'!H169</f>
        <v>27615706</v>
      </c>
      <c r="H95" s="62">
        <f>'дод 3'!I145+'дод 3'!I169</f>
        <v>0</v>
      </c>
      <c r="I95" s="62">
        <f>'дод 3'!J145+'дод 3'!J169</f>
        <v>51315304.150000006</v>
      </c>
      <c r="J95" s="62">
        <f>'дод 3'!K145+'дод 3'!K169</f>
        <v>51315304.150000006</v>
      </c>
      <c r="K95" s="62">
        <f>'дод 3'!L145+'дод 3'!L169</f>
        <v>0</v>
      </c>
      <c r="L95" s="62">
        <f>'дод 3'!M145+'дод 3'!M169</f>
        <v>0</v>
      </c>
      <c r="M95" s="62">
        <f>'дод 3'!N145+'дод 3'!N169</f>
        <v>0</v>
      </c>
      <c r="N95" s="62">
        <f>'дод 3'!O145+'дод 3'!O169</f>
        <v>51315304.150000006</v>
      </c>
      <c r="O95" s="62">
        <f>'дод 3'!P145+'дод 3'!P169</f>
        <v>243865745.72</v>
      </c>
    </row>
    <row r="96" spans="1:15" s="84" customFormat="1" ht="57" customHeight="1" x14ac:dyDescent="0.25">
      <c r="A96" s="46" t="s">
        <v>162</v>
      </c>
      <c r="B96" s="51" t="s">
        <v>87</v>
      </c>
      <c r="C96" s="3" t="s">
        <v>163</v>
      </c>
      <c r="D96" s="62">
        <f>'дод 3'!E170</f>
        <v>84906</v>
      </c>
      <c r="E96" s="62">
        <f>'дод 3'!F170</f>
        <v>0</v>
      </c>
      <c r="F96" s="62">
        <f>'дод 3'!G170</f>
        <v>0</v>
      </c>
      <c r="G96" s="62">
        <f>'дод 3'!H170</f>
        <v>0</v>
      </c>
      <c r="H96" s="62">
        <f>'дод 3'!I170</f>
        <v>84906</v>
      </c>
      <c r="I96" s="62">
        <f>'дод 3'!J170</f>
        <v>77703.06</v>
      </c>
      <c r="J96" s="62">
        <f>'дод 3'!K170</f>
        <v>0</v>
      </c>
      <c r="K96" s="62">
        <f>'дод 3'!L170</f>
        <v>0</v>
      </c>
      <c r="L96" s="62">
        <f>'дод 3'!M170</f>
        <v>0</v>
      </c>
      <c r="M96" s="62">
        <f>'дод 3'!N170</f>
        <v>0</v>
      </c>
      <c r="N96" s="62">
        <f>'дод 3'!O170</f>
        <v>77703.06</v>
      </c>
      <c r="O96" s="62">
        <f>'дод 3'!P170</f>
        <v>162609.06</v>
      </c>
    </row>
    <row r="97" spans="1:15" ht="39.75" customHeight="1" x14ac:dyDescent="0.25">
      <c r="A97" s="46" t="s">
        <v>172</v>
      </c>
      <c r="B97" s="51" t="s">
        <v>364</v>
      </c>
      <c r="C97" s="3" t="s">
        <v>173</v>
      </c>
      <c r="D97" s="62">
        <f>'дод 3'!E146+'дод 3'!E183</f>
        <v>12521212.390000001</v>
      </c>
      <c r="E97" s="62">
        <f>'дод 3'!F146+'дод 3'!F183</f>
        <v>12516912.390000001</v>
      </c>
      <c r="F97" s="62">
        <f>'дод 3'!G146+'дод 3'!G183</f>
        <v>0</v>
      </c>
      <c r="G97" s="62">
        <f>'дод 3'!H146+'дод 3'!H183</f>
        <v>42400</v>
      </c>
      <c r="H97" s="62">
        <f>'дод 3'!I146+'дод 3'!I183</f>
        <v>4300</v>
      </c>
      <c r="I97" s="62">
        <f>'дод 3'!J146+'дод 3'!J183</f>
        <v>800708.78999999911</v>
      </c>
      <c r="J97" s="62">
        <f>'дод 3'!K146+'дод 3'!K183</f>
        <v>800708.78999999911</v>
      </c>
      <c r="K97" s="62">
        <f>'дод 3'!L146+'дод 3'!L183</f>
        <v>0</v>
      </c>
      <c r="L97" s="62">
        <f>'дод 3'!M146+'дод 3'!M183</f>
        <v>0</v>
      </c>
      <c r="M97" s="62">
        <f>'дод 3'!N146+'дод 3'!N183</f>
        <v>0</v>
      </c>
      <c r="N97" s="62">
        <f>'дод 3'!O146+'дод 3'!O183</f>
        <v>800708.78999999911</v>
      </c>
      <c r="O97" s="62">
        <f>'дод 3'!P146+'дод 3'!P183</f>
        <v>13321921.18</v>
      </c>
    </row>
    <row r="98" spans="1:15" s="82" customFormat="1" ht="29.25" customHeight="1" x14ac:dyDescent="0.25">
      <c r="A98" s="47" t="s">
        <v>164</v>
      </c>
      <c r="B98" s="50"/>
      <c r="C98" s="2" t="s">
        <v>165</v>
      </c>
      <c r="D98" s="61">
        <f>D100+D102+D114+D121+D123+D132</f>
        <v>50749667</v>
      </c>
      <c r="E98" s="61">
        <f t="shared" ref="E98:O98" si="9">E100+E102+E114+E121+E123+E132</f>
        <v>20932667</v>
      </c>
      <c r="F98" s="61">
        <f t="shared" si="9"/>
        <v>0</v>
      </c>
      <c r="G98" s="61">
        <f t="shared" si="9"/>
        <v>0</v>
      </c>
      <c r="H98" s="61">
        <f t="shared" si="9"/>
        <v>29817000</v>
      </c>
      <c r="I98" s="61">
        <f>I100+I102+I114+I121+I123+I132</f>
        <v>332951633.25999999</v>
      </c>
      <c r="J98" s="61">
        <f t="shared" si="9"/>
        <v>238442501.13</v>
      </c>
      <c r="K98" s="61">
        <f t="shared" si="9"/>
        <v>82171363.010000005</v>
      </c>
      <c r="L98" s="61">
        <f t="shared" si="9"/>
        <v>0</v>
      </c>
      <c r="M98" s="61">
        <f t="shared" si="9"/>
        <v>0</v>
      </c>
      <c r="N98" s="61">
        <f t="shared" si="9"/>
        <v>250780270.25</v>
      </c>
      <c r="O98" s="61">
        <f t="shared" si="9"/>
        <v>383701300.25999999</v>
      </c>
    </row>
    <row r="99" spans="1:15" s="82" customFormat="1" ht="18.75" customHeight="1" x14ac:dyDescent="0.25">
      <c r="A99" s="47"/>
      <c r="B99" s="50"/>
      <c r="C99" s="2" t="s">
        <v>308</v>
      </c>
      <c r="D99" s="61">
        <f>D103+D115</f>
        <v>0</v>
      </c>
      <c r="E99" s="61">
        <f t="shared" ref="E99:O99" si="10">E103+E115</f>
        <v>0</v>
      </c>
      <c r="F99" s="61">
        <f t="shared" si="10"/>
        <v>0</v>
      </c>
      <c r="G99" s="61">
        <f t="shared" si="10"/>
        <v>0</v>
      </c>
      <c r="H99" s="61">
        <f t="shared" si="10"/>
        <v>0</v>
      </c>
      <c r="I99" s="61">
        <f t="shared" si="10"/>
        <v>81187498.930000007</v>
      </c>
      <c r="J99" s="61">
        <f t="shared" si="10"/>
        <v>1187498.93</v>
      </c>
      <c r="K99" s="61">
        <f t="shared" si="10"/>
        <v>80000000</v>
      </c>
      <c r="L99" s="61">
        <f t="shared" si="10"/>
        <v>0</v>
      </c>
      <c r="M99" s="61">
        <f t="shared" si="10"/>
        <v>0</v>
      </c>
      <c r="N99" s="61">
        <f t="shared" si="10"/>
        <v>1187498.93</v>
      </c>
      <c r="O99" s="61">
        <f t="shared" si="10"/>
        <v>81187498.930000007</v>
      </c>
    </row>
    <row r="100" spans="1:15" s="82" customFormat="1" x14ac:dyDescent="0.25">
      <c r="A100" s="47" t="s">
        <v>174</v>
      </c>
      <c r="B100" s="50"/>
      <c r="C100" s="2" t="s">
        <v>175</v>
      </c>
      <c r="D100" s="61">
        <f t="shared" ref="D100:O100" si="11">D101</f>
        <v>700000</v>
      </c>
      <c r="E100" s="61">
        <f t="shared" si="11"/>
        <v>700000</v>
      </c>
      <c r="F100" s="61">
        <f t="shared" si="11"/>
        <v>0</v>
      </c>
      <c r="G100" s="61">
        <f t="shared" si="11"/>
        <v>0</v>
      </c>
      <c r="H100" s="61">
        <f t="shared" si="11"/>
        <v>0</v>
      </c>
      <c r="I100" s="61">
        <f t="shared" si="11"/>
        <v>0</v>
      </c>
      <c r="J100" s="61">
        <f t="shared" si="11"/>
        <v>0</v>
      </c>
      <c r="K100" s="61">
        <f t="shared" si="11"/>
        <v>0</v>
      </c>
      <c r="L100" s="61">
        <f t="shared" si="11"/>
        <v>0</v>
      </c>
      <c r="M100" s="61">
        <f t="shared" si="11"/>
        <v>0</v>
      </c>
      <c r="N100" s="61">
        <f t="shared" si="11"/>
        <v>0</v>
      </c>
      <c r="O100" s="61">
        <f t="shared" si="11"/>
        <v>700000</v>
      </c>
    </row>
    <row r="101" spans="1:15" ht="24" customHeight="1" x14ac:dyDescent="0.25">
      <c r="A101" s="46" t="s">
        <v>166</v>
      </c>
      <c r="B101" s="46" t="s">
        <v>103</v>
      </c>
      <c r="C101" s="3" t="s">
        <v>406</v>
      </c>
      <c r="D101" s="62">
        <f>'дод 3'!E191</f>
        <v>700000</v>
      </c>
      <c r="E101" s="62">
        <f>'дод 3'!F191</f>
        <v>700000</v>
      </c>
      <c r="F101" s="62">
        <f>'дод 3'!G191</f>
        <v>0</v>
      </c>
      <c r="G101" s="62">
        <f>'дод 3'!H191</f>
        <v>0</v>
      </c>
      <c r="H101" s="62">
        <f>'дод 3'!I191</f>
        <v>0</v>
      </c>
      <c r="I101" s="62">
        <f>'дод 3'!J191</f>
        <v>0</v>
      </c>
      <c r="J101" s="62">
        <f>'дод 3'!K191</f>
        <v>0</v>
      </c>
      <c r="K101" s="62">
        <f>'дод 3'!L191</f>
        <v>0</v>
      </c>
      <c r="L101" s="62">
        <f>'дод 3'!M191</f>
        <v>0</v>
      </c>
      <c r="M101" s="62">
        <f>'дод 3'!N191</f>
        <v>0</v>
      </c>
      <c r="N101" s="62">
        <f>'дод 3'!O191</f>
        <v>0</v>
      </c>
      <c r="O101" s="62">
        <f>'дод 3'!P191</f>
        <v>700000</v>
      </c>
    </row>
    <row r="102" spans="1:15" s="82" customFormat="1" ht="21" customHeight="1" x14ac:dyDescent="0.25">
      <c r="A102" s="47" t="s">
        <v>117</v>
      </c>
      <c r="B102" s="47"/>
      <c r="C102" s="13" t="s">
        <v>167</v>
      </c>
      <c r="D102" s="61">
        <f>D104+D105+D106+D108+D109+D111+D107+D110+D112</f>
        <v>0</v>
      </c>
      <c r="E102" s="61">
        <f t="shared" ref="E102:O102" si="12">E104+E105+E106+E108+E109+E111+E107+E110+E112</f>
        <v>0</v>
      </c>
      <c r="F102" s="61">
        <f t="shared" si="12"/>
        <v>0</v>
      </c>
      <c r="G102" s="61">
        <f t="shared" si="12"/>
        <v>0</v>
      </c>
      <c r="H102" s="61">
        <f t="shared" si="12"/>
        <v>0</v>
      </c>
      <c r="I102" s="61">
        <f t="shared" si="12"/>
        <v>92977449.129999995</v>
      </c>
      <c r="J102" s="61">
        <f t="shared" si="12"/>
        <v>92977449.129999995</v>
      </c>
      <c r="K102" s="61">
        <f t="shared" si="12"/>
        <v>0</v>
      </c>
      <c r="L102" s="61">
        <f t="shared" si="12"/>
        <v>0</v>
      </c>
      <c r="M102" s="61">
        <f t="shared" si="12"/>
        <v>0</v>
      </c>
      <c r="N102" s="61">
        <f t="shared" si="12"/>
        <v>92977449.129999995</v>
      </c>
      <c r="O102" s="61">
        <f t="shared" si="12"/>
        <v>92977449.129999995</v>
      </c>
    </row>
    <row r="103" spans="1:15" s="82" customFormat="1" ht="21" customHeight="1" x14ac:dyDescent="0.25">
      <c r="A103" s="47"/>
      <c r="B103" s="47"/>
      <c r="C103" s="2" t="s">
        <v>308</v>
      </c>
      <c r="D103" s="61">
        <f>D113</f>
        <v>0</v>
      </c>
      <c r="E103" s="61">
        <f t="shared" ref="E103:O103" si="13">E113</f>
        <v>0</v>
      </c>
      <c r="F103" s="61">
        <f t="shared" si="13"/>
        <v>0</v>
      </c>
      <c r="G103" s="61">
        <f t="shared" si="13"/>
        <v>0</v>
      </c>
      <c r="H103" s="61">
        <f t="shared" si="13"/>
        <v>0</v>
      </c>
      <c r="I103" s="61">
        <f t="shared" si="13"/>
        <v>1187498.93</v>
      </c>
      <c r="J103" s="61">
        <f t="shared" si="13"/>
        <v>1187498.93</v>
      </c>
      <c r="K103" s="61">
        <f t="shared" si="13"/>
        <v>0</v>
      </c>
      <c r="L103" s="61">
        <f t="shared" si="13"/>
        <v>0</v>
      </c>
      <c r="M103" s="61">
        <f t="shared" si="13"/>
        <v>0</v>
      </c>
      <c r="N103" s="61">
        <f t="shared" si="13"/>
        <v>1187498.93</v>
      </c>
      <c r="O103" s="61">
        <f t="shared" si="13"/>
        <v>1187498.93</v>
      </c>
    </row>
    <row r="104" spans="1:15" ht="28.5" customHeight="1" x14ac:dyDescent="0.25">
      <c r="A104" s="49" t="s">
        <v>315</v>
      </c>
      <c r="B104" s="49" t="s">
        <v>132</v>
      </c>
      <c r="C104" s="3" t="s">
        <v>324</v>
      </c>
      <c r="D104" s="62">
        <f>'дод 3'!E171+'дод 3'!E147</f>
        <v>0</v>
      </c>
      <c r="E104" s="62">
        <f>'дод 3'!F171+'дод 3'!F147</f>
        <v>0</v>
      </c>
      <c r="F104" s="62">
        <f>'дод 3'!G171+'дод 3'!G147</f>
        <v>0</v>
      </c>
      <c r="G104" s="62">
        <f>'дод 3'!H171+'дод 3'!H147</f>
        <v>0</v>
      </c>
      <c r="H104" s="62">
        <f>'дод 3'!I171+'дод 3'!I147</f>
        <v>0</v>
      </c>
      <c r="I104" s="62">
        <f>'дод 3'!J171+'дод 3'!J147</f>
        <v>13462297.759999998</v>
      </c>
      <c r="J104" s="62">
        <f>'дод 3'!K171+'дод 3'!K147</f>
        <v>13462297.759999998</v>
      </c>
      <c r="K104" s="62">
        <f>'дод 3'!L171+'дод 3'!L147</f>
        <v>0</v>
      </c>
      <c r="L104" s="62">
        <f>'дод 3'!M171+'дод 3'!M147</f>
        <v>0</v>
      </c>
      <c r="M104" s="62">
        <f>'дод 3'!N171+'дод 3'!N147</f>
        <v>0</v>
      </c>
      <c r="N104" s="62">
        <f>'дод 3'!O171+'дод 3'!O147</f>
        <v>13462297.759999998</v>
      </c>
      <c r="O104" s="62">
        <f>'дод 3'!P171+'дод 3'!P147</f>
        <v>13462297.759999998</v>
      </c>
    </row>
    <row r="105" spans="1:15" s="84" customFormat="1" ht="28.5" customHeight="1" x14ac:dyDescent="0.25">
      <c r="A105" s="49" t="s">
        <v>320</v>
      </c>
      <c r="B105" s="49" t="s">
        <v>132</v>
      </c>
      <c r="C105" s="3" t="s">
        <v>325</v>
      </c>
      <c r="D105" s="62">
        <f>'дод 3'!E172+'дод 3'!E73</f>
        <v>0</v>
      </c>
      <c r="E105" s="62">
        <f>'дод 3'!F172+'дод 3'!F73</f>
        <v>0</v>
      </c>
      <c r="F105" s="62">
        <f>'дод 3'!G172+'дод 3'!G73</f>
        <v>0</v>
      </c>
      <c r="G105" s="62">
        <f>'дод 3'!H172+'дод 3'!H73</f>
        <v>0</v>
      </c>
      <c r="H105" s="62">
        <f>'дод 3'!I172+'дод 3'!I73</f>
        <v>0</v>
      </c>
      <c r="I105" s="62">
        <f>'дод 3'!J172+'дод 3'!J73</f>
        <v>4050000</v>
      </c>
      <c r="J105" s="62">
        <f>'дод 3'!K172+'дод 3'!K73</f>
        <v>4050000</v>
      </c>
      <c r="K105" s="62">
        <f>'дод 3'!L172+'дод 3'!L73</f>
        <v>0</v>
      </c>
      <c r="L105" s="62">
        <f>'дод 3'!M172+'дод 3'!M73</f>
        <v>0</v>
      </c>
      <c r="M105" s="62">
        <f>'дод 3'!N172+'дод 3'!N73</f>
        <v>0</v>
      </c>
      <c r="N105" s="62">
        <f>'дод 3'!O172+'дод 3'!O73</f>
        <v>4050000</v>
      </c>
      <c r="O105" s="62">
        <f>'дод 3'!P172+'дод 3'!P73</f>
        <v>4050000</v>
      </c>
    </row>
    <row r="106" spans="1:15" s="84" customFormat="1" ht="28.5" customHeight="1" x14ac:dyDescent="0.25">
      <c r="A106" s="49" t="s">
        <v>322</v>
      </c>
      <c r="B106" s="49" t="s">
        <v>132</v>
      </c>
      <c r="C106" s="3" t="s">
        <v>326</v>
      </c>
      <c r="D106" s="62">
        <f>'дод 3'!E173</f>
        <v>0</v>
      </c>
      <c r="E106" s="62">
        <f>'дод 3'!F173</f>
        <v>0</v>
      </c>
      <c r="F106" s="62">
        <f>'дод 3'!G173</f>
        <v>0</v>
      </c>
      <c r="G106" s="62">
        <f>'дод 3'!H173</f>
        <v>0</v>
      </c>
      <c r="H106" s="62">
        <f>'дод 3'!I173</f>
        <v>0</v>
      </c>
      <c r="I106" s="62">
        <f>'дод 3'!J173</f>
        <v>12454849</v>
      </c>
      <c r="J106" s="62">
        <f>'дод 3'!K173</f>
        <v>12454849</v>
      </c>
      <c r="K106" s="62">
        <f>'дод 3'!L173</f>
        <v>0</v>
      </c>
      <c r="L106" s="62">
        <f>'дод 3'!M173</f>
        <v>0</v>
      </c>
      <c r="M106" s="62">
        <f>'дод 3'!N173</f>
        <v>0</v>
      </c>
      <c r="N106" s="62">
        <f>'дод 3'!O173</f>
        <v>12454849</v>
      </c>
      <c r="O106" s="62">
        <f>'дод 3'!P173</f>
        <v>12454849</v>
      </c>
    </row>
    <row r="107" spans="1:15" s="84" customFormat="1" ht="31.5" x14ac:dyDescent="0.25">
      <c r="A107" s="49">
        <v>7325</v>
      </c>
      <c r="B107" s="49">
        <v>443</v>
      </c>
      <c r="C107" s="3" t="s">
        <v>422</v>
      </c>
      <c r="D107" s="62">
        <f>'дод 3'!E174</f>
        <v>0</v>
      </c>
      <c r="E107" s="62">
        <f>'дод 3'!F174</f>
        <v>0</v>
      </c>
      <c r="F107" s="62">
        <f>'дод 3'!G174</f>
        <v>0</v>
      </c>
      <c r="G107" s="62">
        <f>'дод 3'!H174</f>
        <v>0</v>
      </c>
      <c r="H107" s="62">
        <f>'дод 3'!I174</f>
        <v>0</v>
      </c>
      <c r="I107" s="62">
        <f>'дод 3'!J174</f>
        <v>500000</v>
      </c>
      <c r="J107" s="62">
        <f>'дод 3'!K174</f>
        <v>500000</v>
      </c>
      <c r="K107" s="62">
        <f>'дод 3'!L174</f>
        <v>0</v>
      </c>
      <c r="L107" s="62">
        <f>'дод 3'!M174</f>
        <v>0</v>
      </c>
      <c r="M107" s="62">
        <f>'дод 3'!N174</f>
        <v>0</v>
      </c>
      <c r="N107" s="62">
        <f>'дод 3'!O174</f>
        <v>500000</v>
      </c>
      <c r="O107" s="62">
        <f>'дод 3'!P174</f>
        <v>500000</v>
      </c>
    </row>
    <row r="108" spans="1:15" ht="32.25" customHeight="1" x14ac:dyDescent="0.25">
      <c r="A108" s="49" t="s">
        <v>317</v>
      </c>
      <c r="B108" s="49" t="s">
        <v>132</v>
      </c>
      <c r="C108" s="3" t="s">
        <v>389</v>
      </c>
      <c r="D108" s="62">
        <f>'дод 3'!E175+'дод 3'!E148</f>
        <v>0</v>
      </c>
      <c r="E108" s="62">
        <f>'дод 3'!F175+'дод 3'!F148</f>
        <v>0</v>
      </c>
      <c r="F108" s="62">
        <f>'дод 3'!G175+'дод 3'!G148</f>
        <v>0</v>
      </c>
      <c r="G108" s="62">
        <f>'дод 3'!H175+'дод 3'!H148</f>
        <v>0</v>
      </c>
      <c r="H108" s="62">
        <f>'дод 3'!I175+'дод 3'!I148</f>
        <v>0</v>
      </c>
      <c r="I108" s="62">
        <f>'дод 3'!J175+'дод 3'!J148</f>
        <v>48739821.769999996</v>
      </c>
      <c r="J108" s="62">
        <f>'дод 3'!K175+'дод 3'!K148</f>
        <v>48739821.769999996</v>
      </c>
      <c r="K108" s="62">
        <f>'дод 3'!L175+'дод 3'!L148</f>
        <v>0</v>
      </c>
      <c r="L108" s="62">
        <f>'дод 3'!M175+'дод 3'!M148</f>
        <v>0</v>
      </c>
      <c r="M108" s="62">
        <f>'дод 3'!N175+'дод 3'!N148</f>
        <v>0</v>
      </c>
      <c r="N108" s="62">
        <f>'дод 3'!O175+'дод 3'!O148</f>
        <v>48739821.769999996</v>
      </c>
      <c r="O108" s="62">
        <f>'дод 3'!P175+'дод 3'!P148</f>
        <v>48739821.769999996</v>
      </c>
    </row>
    <row r="109" spans="1:15" ht="35.25" customHeight="1" x14ac:dyDescent="0.25">
      <c r="A109" s="46" t="s">
        <v>168</v>
      </c>
      <c r="B109" s="46" t="s">
        <v>132</v>
      </c>
      <c r="C109" s="3" t="s">
        <v>1</v>
      </c>
      <c r="D109" s="62">
        <f>'дод 3'!E149</f>
        <v>0</v>
      </c>
      <c r="E109" s="62">
        <f>'дод 3'!F149</f>
        <v>0</v>
      </c>
      <c r="F109" s="62">
        <f>'дод 3'!G149</f>
        <v>0</v>
      </c>
      <c r="G109" s="62">
        <f>'дод 3'!H149</f>
        <v>0</v>
      </c>
      <c r="H109" s="62">
        <f>'дод 3'!I149</f>
        <v>0</v>
      </c>
      <c r="I109" s="62">
        <f>'дод 3'!J149</f>
        <v>3000000</v>
      </c>
      <c r="J109" s="62">
        <f>'дод 3'!K149</f>
        <v>3000000</v>
      </c>
      <c r="K109" s="62">
        <f>'дод 3'!L149</f>
        <v>0</v>
      </c>
      <c r="L109" s="62">
        <f>'дод 3'!M149</f>
        <v>0</v>
      </c>
      <c r="M109" s="62">
        <f>'дод 3'!N149</f>
        <v>0</v>
      </c>
      <c r="N109" s="62">
        <f>'дод 3'!O149</f>
        <v>3000000</v>
      </c>
      <c r="O109" s="62">
        <f>'дод 3'!P149</f>
        <v>3000000</v>
      </c>
    </row>
    <row r="110" spans="1:15" ht="51.75" customHeight="1" x14ac:dyDescent="0.25">
      <c r="A110" s="46">
        <v>7361</v>
      </c>
      <c r="B110" s="46" t="s">
        <v>102</v>
      </c>
      <c r="C110" s="3" t="s">
        <v>448</v>
      </c>
      <c r="D110" s="62">
        <f>'дод 3'!E150+'дод 3'!E176+'дод 3'!E95</f>
        <v>0</v>
      </c>
      <c r="E110" s="62">
        <f>'дод 3'!F150+'дод 3'!F176+'дод 3'!F95</f>
        <v>0</v>
      </c>
      <c r="F110" s="62">
        <f>'дод 3'!G150+'дод 3'!G176+'дод 3'!G95</f>
        <v>0</v>
      </c>
      <c r="G110" s="62">
        <f>'дод 3'!H150+'дод 3'!H176+'дод 3'!H95</f>
        <v>0</v>
      </c>
      <c r="H110" s="62">
        <f>'дод 3'!I150+'дод 3'!I176+'дод 3'!I95</f>
        <v>0</v>
      </c>
      <c r="I110" s="62">
        <f>'дод 3'!J150+'дод 3'!J176+'дод 3'!J95</f>
        <v>9386113</v>
      </c>
      <c r="J110" s="62">
        <f>'дод 3'!K150+'дод 3'!K176+'дод 3'!K95</f>
        <v>9386113</v>
      </c>
      <c r="K110" s="62">
        <f>'дод 3'!L150+'дод 3'!L176+'дод 3'!L95</f>
        <v>0</v>
      </c>
      <c r="L110" s="62">
        <f>'дод 3'!M150+'дод 3'!M176+'дод 3'!M95</f>
        <v>0</v>
      </c>
      <c r="M110" s="62">
        <f>'дод 3'!N150+'дод 3'!N176+'дод 3'!N95</f>
        <v>0</v>
      </c>
      <c r="N110" s="62">
        <f>'дод 3'!O150+'дод 3'!O176+'дод 3'!O95</f>
        <v>9386113</v>
      </c>
      <c r="O110" s="62">
        <f>'дод 3'!P150+'дод 3'!P176+'дод 3'!P95</f>
        <v>9386113</v>
      </c>
    </row>
    <row r="111" spans="1:15" s="84" customFormat="1" ht="46.5" customHeight="1" x14ac:dyDescent="0.25">
      <c r="A111" s="46">
        <v>7362</v>
      </c>
      <c r="B111" s="46" t="s">
        <v>102</v>
      </c>
      <c r="C111" s="3" t="s">
        <v>428</v>
      </c>
      <c r="D111" s="62">
        <f>'дод 3'!E151</f>
        <v>0</v>
      </c>
      <c r="E111" s="62">
        <f>'дод 3'!F151</f>
        <v>0</v>
      </c>
      <c r="F111" s="62">
        <f>'дод 3'!G151</f>
        <v>0</v>
      </c>
      <c r="G111" s="62">
        <f>'дод 3'!H151</f>
        <v>0</v>
      </c>
      <c r="H111" s="62">
        <f>'дод 3'!I151</f>
        <v>0</v>
      </c>
      <c r="I111" s="62">
        <f>'дод 3'!J151</f>
        <v>75600</v>
      </c>
      <c r="J111" s="62">
        <f>'дод 3'!K151</f>
        <v>75600</v>
      </c>
      <c r="K111" s="62">
        <f>'дод 3'!L151</f>
        <v>0</v>
      </c>
      <c r="L111" s="62">
        <f>'дод 3'!M151</f>
        <v>0</v>
      </c>
      <c r="M111" s="62">
        <f>'дод 3'!N151</f>
        <v>0</v>
      </c>
      <c r="N111" s="62">
        <f>'дод 3'!O151</f>
        <v>75600</v>
      </c>
      <c r="O111" s="62">
        <f>'дод 3'!P151</f>
        <v>75600</v>
      </c>
    </row>
    <row r="112" spans="1:15" s="84" customFormat="1" ht="46.5" customHeight="1" x14ac:dyDescent="0.25">
      <c r="A112" s="46">
        <v>7363</v>
      </c>
      <c r="B112" s="106" t="s">
        <v>102</v>
      </c>
      <c r="C112" s="107" t="s">
        <v>438</v>
      </c>
      <c r="D112" s="62">
        <f>'дод 3'!E74+'дод 3'!E152+'дод 3'!E177</f>
        <v>0</v>
      </c>
      <c r="E112" s="62">
        <f>'дод 3'!F74+'дод 3'!F152+'дод 3'!F177</f>
        <v>0</v>
      </c>
      <c r="F112" s="62">
        <f>'дод 3'!G74+'дод 3'!G152+'дод 3'!G177</f>
        <v>0</v>
      </c>
      <c r="G112" s="62">
        <f>'дод 3'!H74+'дод 3'!H152+'дод 3'!H177</f>
        <v>0</v>
      </c>
      <c r="H112" s="62">
        <f>'дод 3'!I74+'дод 3'!I152+'дод 3'!I177</f>
        <v>0</v>
      </c>
      <c r="I112" s="62">
        <f>'дод 3'!J74+'дод 3'!J152+'дод 3'!J177</f>
        <v>1308767.6000000001</v>
      </c>
      <c r="J112" s="62">
        <f>'дод 3'!K74+'дод 3'!K152+'дод 3'!K177</f>
        <v>1308767.6000000001</v>
      </c>
      <c r="K112" s="62">
        <f>'дод 3'!L74+'дод 3'!L152+'дод 3'!L177</f>
        <v>0</v>
      </c>
      <c r="L112" s="62">
        <f>'дод 3'!M74+'дод 3'!M152+'дод 3'!M177</f>
        <v>0</v>
      </c>
      <c r="M112" s="62">
        <f>'дод 3'!N74+'дод 3'!N152+'дод 3'!N177</f>
        <v>0</v>
      </c>
      <c r="N112" s="62">
        <f>'дод 3'!O74+'дод 3'!O152+'дод 3'!O177</f>
        <v>1308767.6000000001</v>
      </c>
      <c r="O112" s="62">
        <f>'дод 3'!P74+'дод 3'!P152+'дод 3'!P177</f>
        <v>1308767.6000000001</v>
      </c>
    </row>
    <row r="113" spans="1:15" s="84" customFormat="1" x14ac:dyDescent="0.25">
      <c r="A113" s="46"/>
      <c r="B113" s="106"/>
      <c r="C113" s="3" t="s">
        <v>308</v>
      </c>
      <c r="D113" s="62">
        <f>'дод 3'!E75+'дод 3'!E153</f>
        <v>0</v>
      </c>
      <c r="E113" s="62">
        <f>'дод 3'!F75+'дод 3'!F153</f>
        <v>0</v>
      </c>
      <c r="F113" s="62">
        <f>'дод 3'!G75+'дод 3'!G153</f>
        <v>0</v>
      </c>
      <c r="G113" s="62">
        <f>'дод 3'!H75+'дод 3'!H153</f>
        <v>0</v>
      </c>
      <c r="H113" s="62">
        <f>'дод 3'!I75+'дод 3'!I153</f>
        <v>0</v>
      </c>
      <c r="I113" s="62">
        <f>'дод 3'!J75+'дод 3'!J153</f>
        <v>1187498.93</v>
      </c>
      <c r="J113" s="62">
        <f>'дод 3'!K75+'дод 3'!K153</f>
        <v>1187498.93</v>
      </c>
      <c r="K113" s="62">
        <f>'дод 3'!L75+'дод 3'!L153</f>
        <v>0</v>
      </c>
      <c r="L113" s="62">
        <f>'дод 3'!M75+'дод 3'!M153</f>
        <v>0</v>
      </c>
      <c r="M113" s="62">
        <f>'дод 3'!N75+'дод 3'!N153</f>
        <v>0</v>
      </c>
      <c r="N113" s="62">
        <f>'дод 3'!O75+'дод 3'!O153</f>
        <v>1187498.93</v>
      </c>
      <c r="O113" s="62">
        <f>'дод 3'!P75+'дод 3'!P153</f>
        <v>1187498.93</v>
      </c>
    </row>
    <row r="114" spans="1:15" s="82" customFormat="1" ht="39.75" customHeight="1" x14ac:dyDescent="0.25">
      <c r="A114" s="47" t="s">
        <v>105</v>
      </c>
      <c r="B114" s="50"/>
      <c r="C114" s="2" t="s">
        <v>2</v>
      </c>
      <c r="D114" s="61">
        <f>D116+D119+D117+D118</f>
        <v>28000000</v>
      </c>
      <c r="E114" s="61">
        <f t="shared" ref="E114:O114" si="14">E116+E119+E117+E118</f>
        <v>0</v>
      </c>
      <c r="F114" s="61">
        <f t="shared" si="14"/>
        <v>0</v>
      </c>
      <c r="G114" s="61">
        <f t="shared" si="14"/>
        <v>0</v>
      </c>
      <c r="H114" s="61">
        <f t="shared" si="14"/>
        <v>28000000</v>
      </c>
      <c r="I114" s="61">
        <f t="shared" si="14"/>
        <v>80000000</v>
      </c>
      <c r="J114" s="61">
        <f t="shared" si="14"/>
        <v>0</v>
      </c>
      <c r="K114" s="61">
        <f t="shared" si="14"/>
        <v>80000000</v>
      </c>
      <c r="L114" s="61">
        <f t="shared" si="14"/>
        <v>0</v>
      </c>
      <c r="M114" s="61">
        <f t="shared" si="14"/>
        <v>0</v>
      </c>
      <c r="N114" s="61">
        <f t="shared" si="14"/>
        <v>0</v>
      </c>
      <c r="O114" s="61">
        <f t="shared" si="14"/>
        <v>108000000</v>
      </c>
    </row>
    <row r="115" spans="1:15" s="82" customFormat="1" ht="17.25" customHeight="1" x14ac:dyDescent="0.25">
      <c r="A115" s="47"/>
      <c r="B115" s="50"/>
      <c r="C115" s="2" t="s">
        <v>308</v>
      </c>
      <c r="D115" s="61">
        <f>D120</f>
        <v>0</v>
      </c>
      <c r="E115" s="61">
        <f t="shared" ref="E115:O115" si="15">E120</f>
        <v>0</v>
      </c>
      <c r="F115" s="61">
        <f t="shared" si="15"/>
        <v>0</v>
      </c>
      <c r="G115" s="61">
        <f t="shared" si="15"/>
        <v>0</v>
      </c>
      <c r="H115" s="61">
        <f t="shared" si="15"/>
        <v>0</v>
      </c>
      <c r="I115" s="61">
        <f t="shared" si="15"/>
        <v>80000000</v>
      </c>
      <c r="J115" s="61">
        <f t="shared" si="15"/>
        <v>0</v>
      </c>
      <c r="K115" s="61">
        <f t="shared" si="15"/>
        <v>80000000</v>
      </c>
      <c r="L115" s="61">
        <f t="shared" si="15"/>
        <v>0</v>
      </c>
      <c r="M115" s="61">
        <f t="shared" si="15"/>
        <v>0</v>
      </c>
      <c r="N115" s="61">
        <f t="shared" si="15"/>
        <v>0</v>
      </c>
      <c r="O115" s="61">
        <f t="shared" si="15"/>
        <v>80000000</v>
      </c>
    </row>
    <row r="116" spans="1:15" s="84" customFormat="1" ht="30" customHeight="1" x14ac:dyDescent="0.25">
      <c r="A116" s="46" t="s">
        <v>4</v>
      </c>
      <c r="B116" s="46" t="s">
        <v>104</v>
      </c>
      <c r="C116" s="3" t="s">
        <v>49</v>
      </c>
      <c r="D116" s="62">
        <f>'дод 3'!E38</f>
        <v>10000000</v>
      </c>
      <c r="E116" s="62">
        <f>'дод 3'!F38</f>
        <v>0</v>
      </c>
      <c r="F116" s="62">
        <f>'дод 3'!G38</f>
        <v>0</v>
      </c>
      <c r="G116" s="62">
        <f>'дод 3'!H38</f>
        <v>0</v>
      </c>
      <c r="H116" s="62">
        <f>'дод 3'!I38</f>
        <v>10000000</v>
      </c>
      <c r="I116" s="62">
        <f>'дод 3'!J38</f>
        <v>0</v>
      </c>
      <c r="J116" s="62">
        <f>'дод 3'!K38</f>
        <v>0</v>
      </c>
      <c r="K116" s="62">
        <f>'дод 3'!L38</f>
        <v>0</v>
      </c>
      <c r="L116" s="62">
        <f>'дод 3'!M38</f>
        <v>0</v>
      </c>
      <c r="M116" s="62">
        <f>'дод 3'!N38</f>
        <v>0</v>
      </c>
      <c r="N116" s="62">
        <f>'дод 3'!O38</f>
        <v>0</v>
      </c>
      <c r="O116" s="62">
        <f>'дод 3'!P38</f>
        <v>10000000</v>
      </c>
    </row>
    <row r="117" spans="1:15" s="84" customFormat="1" ht="30" customHeight="1" x14ac:dyDescent="0.25">
      <c r="A117" s="46">
        <v>7413</v>
      </c>
      <c r="B117" s="46" t="s">
        <v>104</v>
      </c>
      <c r="C117" s="3" t="s">
        <v>463</v>
      </c>
      <c r="D117" s="62">
        <f>'дод 3'!E39</f>
        <v>2800000</v>
      </c>
      <c r="E117" s="62">
        <f>'дод 3'!F39</f>
        <v>0</v>
      </c>
      <c r="F117" s="62">
        <f>'дод 3'!G39</f>
        <v>0</v>
      </c>
      <c r="G117" s="62">
        <f>'дод 3'!H39</f>
        <v>0</v>
      </c>
      <c r="H117" s="62">
        <f>'дод 3'!I39</f>
        <v>2800000</v>
      </c>
      <c r="I117" s="62">
        <f>'дод 3'!J39</f>
        <v>0</v>
      </c>
      <c r="J117" s="62">
        <f>'дод 3'!K39</f>
        <v>0</v>
      </c>
      <c r="K117" s="62">
        <f>'дод 3'!L39</f>
        <v>0</v>
      </c>
      <c r="L117" s="62">
        <f>'дод 3'!M39</f>
        <v>0</v>
      </c>
      <c r="M117" s="62">
        <f>'дод 3'!N39</f>
        <v>0</v>
      </c>
      <c r="N117" s="62">
        <f>'дод 3'!O39</f>
        <v>0</v>
      </c>
      <c r="O117" s="62">
        <f>'дод 3'!P39</f>
        <v>2800000</v>
      </c>
    </row>
    <row r="118" spans="1:15" s="84" customFormat="1" ht="30" customHeight="1" x14ac:dyDescent="0.25">
      <c r="A118" s="46">
        <v>7426</v>
      </c>
      <c r="B118" s="46">
        <v>453</v>
      </c>
      <c r="C118" s="3" t="s">
        <v>464</v>
      </c>
      <c r="D118" s="62">
        <f>'дод 3'!E40</f>
        <v>15200000</v>
      </c>
      <c r="E118" s="62">
        <f>'дод 3'!F40</f>
        <v>0</v>
      </c>
      <c r="F118" s="62">
        <f>'дод 3'!G40</f>
        <v>0</v>
      </c>
      <c r="G118" s="62">
        <f>'дод 3'!H40</f>
        <v>0</v>
      </c>
      <c r="H118" s="62">
        <f>'дод 3'!I40</f>
        <v>15200000</v>
      </c>
      <c r="I118" s="62">
        <f>'дод 3'!J40</f>
        <v>0</v>
      </c>
      <c r="J118" s="62">
        <f>'дод 3'!K40</f>
        <v>0</v>
      </c>
      <c r="K118" s="62">
        <f>'дод 3'!L40</f>
        <v>0</v>
      </c>
      <c r="L118" s="62">
        <f>'дод 3'!M40</f>
        <v>0</v>
      </c>
      <c r="M118" s="62">
        <f>'дод 3'!N40</f>
        <v>0</v>
      </c>
      <c r="N118" s="62">
        <f>'дод 3'!O40</f>
        <v>0</v>
      </c>
      <c r="O118" s="62">
        <f>'дод 3'!P40</f>
        <v>15200000</v>
      </c>
    </row>
    <row r="119" spans="1:15" s="84" customFormat="1" ht="53.25" customHeight="1" x14ac:dyDescent="0.25">
      <c r="A119" s="46">
        <v>7462</v>
      </c>
      <c r="B119" s="46">
        <v>456</v>
      </c>
      <c r="C119" s="3" t="s">
        <v>451</v>
      </c>
      <c r="D119" s="62">
        <f>'дод 3'!E154</f>
        <v>0</v>
      </c>
      <c r="E119" s="62">
        <f>'дод 3'!F154</f>
        <v>0</v>
      </c>
      <c r="F119" s="62">
        <f>'дод 3'!G154</f>
        <v>0</v>
      </c>
      <c r="G119" s="62">
        <f>'дод 3'!H154</f>
        <v>0</v>
      </c>
      <c r="H119" s="62">
        <f>'дод 3'!I154</f>
        <v>0</v>
      </c>
      <c r="I119" s="62">
        <f>'дод 3'!J154</f>
        <v>80000000</v>
      </c>
      <c r="J119" s="62">
        <f>'дод 3'!K154</f>
        <v>0</v>
      </c>
      <c r="K119" s="62">
        <f>'дод 3'!L154</f>
        <v>80000000</v>
      </c>
      <c r="L119" s="62">
        <f>'дод 3'!M154</f>
        <v>0</v>
      </c>
      <c r="M119" s="62">
        <f>'дод 3'!N154</f>
        <v>0</v>
      </c>
      <c r="N119" s="62">
        <f>'дод 3'!O154</f>
        <v>0</v>
      </c>
      <c r="O119" s="62">
        <f>'дод 3'!P154</f>
        <v>80000000</v>
      </c>
    </row>
    <row r="120" spans="1:15" s="84" customFormat="1" ht="17.25" customHeight="1" x14ac:dyDescent="0.25">
      <c r="A120" s="46"/>
      <c r="B120" s="46"/>
      <c r="C120" s="3" t="s">
        <v>308</v>
      </c>
      <c r="D120" s="62">
        <f>'дод 3'!E155</f>
        <v>0</v>
      </c>
      <c r="E120" s="62">
        <f>'дод 3'!F155</f>
        <v>0</v>
      </c>
      <c r="F120" s="62">
        <f>'дод 3'!G155</f>
        <v>0</v>
      </c>
      <c r="G120" s="62">
        <f>'дод 3'!H155</f>
        <v>0</v>
      </c>
      <c r="H120" s="62">
        <f>'дод 3'!I155</f>
        <v>0</v>
      </c>
      <c r="I120" s="62">
        <f>'дод 3'!J155</f>
        <v>80000000</v>
      </c>
      <c r="J120" s="62">
        <f>'дод 3'!K155</f>
        <v>0</v>
      </c>
      <c r="K120" s="62">
        <f>'дод 3'!L155</f>
        <v>80000000</v>
      </c>
      <c r="L120" s="62">
        <f>'дод 3'!M155</f>
        <v>0</v>
      </c>
      <c r="M120" s="62">
        <f>'дод 3'!N155</f>
        <v>0</v>
      </c>
      <c r="N120" s="62">
        <f>'дод 3'!O155</f>
        <v>0</v>
      </c>
      <c r="O120" s="62">
        <f>'дод 3'!P155</f>
        <v>80000000</v>
      </c>
    </row>
    <row r="121" spans="1:15" s="82" customFormat="1" ht="28.5" customHeight="1" x14ac:dyDescent="0.25">
      <c r="A121" s="48" t="s">
        <v>279</v>
      </c>
      <c r="B121" s="50"/>
      <c r="C121" s="2" t="s">
        <v>280</v>
      </c>
      <c r="D121" s="61">
        <f t="shared" ref="D121:O121" si="16">D122</f>
        <v>13450000</v>
      </c>
      <c r="E121" s="61">
        <f t="shared" si="16"/>
        <v>13450000</v>
      </c>
      <c r="F121" s="61">
        <f t="shared" si="16"/>
        <v>0</v>
      </c>
      <c r="G121" s="61">
        <f t="shared" si="16"/>
        <v>0</v>
      </c>
      <c r="H121" s="61">
        <f t="shared" si="16"/>
        <v>0</v>
      </c>
      <c r="I121" s="61">
        <f t="shared" si="16"/>
        <v>6050000</v>
      </c>
      <c r="J121" s="61">
        <f t="shared" si="16"/>
        <v>6050000</v>
      </c>
      <c r="K121" s="61">
        <f t="shared" si="16"/>
        <v>0</v>
      </c>
      <c r="L121" s="61">
        <f t="shared" si="16"/>
        <v>0</v>
      </c>
      <c r="M121" s="61">
        <f t="shared" si="16"/>
        <v>0</v>
      </c>
      <c r="N121" s="61">
        <f t="shared" si="16"/>
        <v>6050000</v>
      </c>
      <c r="O121" s="61">
        <f t="shared" si="16"/>
        <v>19500000</v>
      </c>
    </row>
    <row r="122" spans="1:15" ht="37.5" customHeight="1" x14ac:dyDescent="0.25">
      <c r="A122" s="49" t="s">
        <v>277</v>
      </c>
      <c r="B122" s="49" t="s">
        <v>278</v>
      </c>
      <c r="C122" s="11" t="s">
        <v>276</v>
      </c>
      <c r="D122" s="62">
        <f>'дод 3'!E41</f>
        <v>13450000</v>
      </c>
      <c r="E122" s="62">
        <f>'дод 3'!F41</f>
        <v>13450000</v>
      </c>
      <c r="F122" s="62">
        <f>'дод 3'!G41</f>
        <v>0</v>
      </c>
      <c r="G122" s="62">
        <f>'дод 3'!H41</f>
        <v>0</v>
      </c>
      <c r="H122" s="62">
        <f>'дод 3'!I41</f>
        <v>0</v>
      </c>
      <c r="I122" s="62">
        <f>'дод 3'!J41</f>
        <v>6050000</v>
      </c>
      <c r="J122" s="62">
        <f>'дод 3'!K41</f>
        <v>6050000</v>
      </c>
      <c r="K122" s="62">
        <f>'дод 3'!L41</f>
        <v>0</v>
      </c>
      <c r="L122" s="62">
        <f>'дод 3'!M41</f>
        <v>0</v>
      </c>
      <c r="M122" s="62">
        <f>'дод 3'!N41</f>
        <v>0</v>
      </c>
      <c r="N122" s="62">
        <f>'дод 3'!O41</f>
        <v>6050000</v>
      </c>
      <c r="O122" s="62">
        <f>'дод 3'!P41</f>
        <v>19500000</v>
      </c>
    </row>
    <row r="123" spans="1:15" s="82" customFormat="1" ht="38.25" customHeight="1" x14ac:dyDescent="0.25">
      <c r="A123" s="47" t="s">
        <v>108</v>
      </c>
      <c r="B123" s="50"/>
      <c r="C123" s="2" t="s">
        <v>5</v>
      </c>
      <c r="D123" s="61">
        <f t="shared" ref="D123:O123" si="17">D124+D125+D126+D127+D128+D129+D130+D131</f>
        <v>8599667</v>
      </c>
      <c r="E123" s="61">
        <f t="shared" si="17"/>
        <v>6782667</v>
      </c>
      <c r="F123" s="61">
        <f t="shared" si="17"/>
        <v>0</v>
      </c>
      <c r="G123" s="61">
        <f t="shared" si="17"/>
        <v>0</v>
      </c>
      <c r="H123" s="61">
        <f t="shared" si="17"/>
        <v>1817000</v>
      </c>
      <c r="I123" s="61">
        <f t="shared" si="17"/>
        <v>153039184.13</v>
      </c>
      <c r="J123" s="61">
        <f t="shared" si="17"/>
        <v>139415052</v>
      </c>
      <c r="K123" s="61">
        <f t="shared" si="17"/>
        <v>2171363.0100000002</v>
      </c>
      <c r="L123" s="61">
        <f t="shared" si="17"/>
        <v>0</v>
      </c>
      <c r="M123" s="61">
        <f t="shared" si="17"/>
        <v>0</v>
      </c>
      <c r="N123" s="61">
        <f t="shared" si="17"/>
        <v>150867821.12</v>
      </c>
      <c r="O123" s="61">
        <f t="shared" si="17"/>
        <v>161638851.13</v>
      </c>
    </row>
    <row r="124" spans="1:15" ht="30.75" customHeight="1" x14ac:dyDescent="0.25">
      <c r="A124" s="46" t="s">
        <v>6</v>
      </c>
      <c r="B124" s="46" t="s">
        <v>107</v>
      </c>
      <c r="C124" s="3" t="s">
        <v>32</v>
      </c>
      <c r="D124" s="62">
        <f>'дод 3'!E42+'дод 3'!E192</f>
        <v>1235000</v>
      </c>
      <c r="E124" s="62">
        <f>'дод 3'!F42+'дод 3'!F192</f>
        <v>617000</v>
      </c>
      <c r="F124" s="62">
        <f>'дод 3'!G42+'дод 3'!G192</f>
        <v>0</v>
      </c>
      <c r="G124" s="62">
        <f>'дод 3'!H42+'дод 3'!H192</f>
        <v>0</v>
      </c>
      <c r="H124" s="62">
        <f>'дод 3'!I42+'дод 3'!I192</f>
        <v>618000</v>
      </c>
      <c r="I124" s="62">
        <f>'дод 3'!J42+'дод 3'!J192</f>
        <v>0</v>
      </c>
      <c r="J124" s="62">
        <f>'дод 3'!K42+'дод 3'!K192</f>
        <v>0</v>
      </c>
      <c r="K124" s="62">
        <f>'дод 3'!L42+'дод 3'!L192</f>
        <v>0</v>
      </c>
      <c r="L124" s="62">
        <f>'дод 3'!M42+'дод 3'!M192</f>
        <v>0</v>
      </c>
      <c r="M124" s="62">
        <f>'дод 3'!N42+'дод 3'!N192</f>
        <v>0</v>
      </c>
      <c r="N124" s="62">
        <f>'дод 3'!O42+'дод 3'!O192</f>
        <v>0</v>
      </c>
      <c r="O124" s="62">
        <f>'дод 3'!P42+'дод 3'!P192</f>
        <v>1235000</v>
      </c>
    </row>
    <row r="125" spans="1:15" ht="24.75" customHeight="1" x14ac:dyDescent="0.25">
      <c r="A125" s="46" t="s">
        <v>3</v>
      </c>
      <c r="B125" s="46" t="s">
        <v>106</v>
      </c>
      <c r="C125" s="3" t="s">
        <v>45</v>
      </c>
      <c r="D125" s="62">
        <f>'дод 3'!E76+'дод 3'!E96+'дод 3'!E133+'дод 3'!E156+'дод 3'!E178+'дод 3'!E199</f>
        <v>4350811</v>
      </c>
      <c r="E125" s="62">
        <f>'дод 3'!F76+'дод 3'!F96+'дод 3'!F133+'дод 3'!F156+'дод 3'!F178+'дод 3'!F199</f>
        <v>3151811</v>
      </c>
      <c r="F125" s="62">
        <f>'дод 3'!G76+'дод 3'!G96+'дод 3'!G133+'дод 3'!G156+'дод 3'!G178+'дод 3'!G199</f>
        <v>0</v>
      </c>
      <c r="G125" s="62">
        <f>'дод 3'!H76+'дод 3'!H96+'дод 3'!H133+'дод 3'!H156+'дод 3'!H178+'дод 3'!H199</f>
        <v>0</v>
      </c>
      <c r="H125" s="62">
        <f>'дод 3'!I76+'дод 3'!I96+'дод 3'!I133+'дод 3'!I156+'дод 3'!I178+'дод 3'!I199</f>
        <v>1199000</v>
      </c>
      <c r="I125" s="62">
        <f>'дод 3'!J76+'дод 3'!J96+'дод 3'!J133+'дод 3'!J156+'дод 3'!J178+'дод 3'!J199</f>
        <v>109462174</v>
      </c>
      <c r="J125" s="62">
        <f>'дод 3'!K76+'дод 3'!K96+'дод 3'!K133+'дод 3'!K156+'дод 3'!K178+'дод 3'!K199</f>
        <v>99725722</v>
      </c>
      <c r="K125" s="62">
        <f>'дод 3'!L76+'дод 3'!L96+'дод 3'!L133+'дод 3'!L156+'дод 3'!L178+'дод 3'!L199</f>
        <v>0</v>
      </c>
      <c r="L125" s="62">
        <f>'дод 3'!M76+'дод 3'!M96+'дод 3'!M133+'дод 3'!M156+'дод 3'!M178+'дод 3'!M199</f>
        <v>0</v>
      </c>
      <c r="M125" s="62">
        <f>'дод 3'!N76+'дод 3'!N96+'дод 3'!N133+'дод 3'!N156+'дод 3'!N178+'дод 3'!N199</f>
        <v>0</v>
      </c>
      <c r="N125" s="62">
        <f>'дод 3'!O76+'дод 3'!O96+'дод 3'!O133+'дод 3'!O156+'дод 3'!O178+'дод 3'!O199</f>
        <v>109462174</v>
      </c>
      <c r="O125" s="62">
        <f>'дод 3'!P76+'дод 3'!P96+'дод 3'!P133+'дод 3'!P156+'дод 3'!P178+'дод 3'!P199</f>
        <v>113812985</v>
      </c>
    </row>
    <row r="126" spans="1:15" ht="33.75" customHeight="1" x14ac:dyDescent="0.25">
      <c r="A126" s="46" t="s">
        <v>310</v>
      </c>
      <c r="B126" s="46" t="s">
        <v>102</v>
      </c>
      <c r="C126" s="3" t="s">
        <v>407</v>
      </c>
      <c r="D126" s="62">
        <f>'дод 3'!E193</f>
        <v>0</v>
      </c>
      <c r="E126" s="62">
        <f>'дод 3'!F193</f>
        <v>0</v>
      </c>
      <c r="F126" s="62">
        <f>'дод 3'!G193</f>
        <v>0</v>
      </c>
      <c r="G126" s="62">
        <f>'дод 3'!H193</f>
        <v>0</v>
      </c>
      <c r="H126" s="62">
        <f>'дод 3'!I193</f>
        <v>0</v>
      </c>
      <c r="I126" s="62">
        <f>'дод 3'!J193</f>
        <v>30000</v>
      </c>
      <c r="J126" s="62">
        <f>'дод 3'!K193</f>
        <v>30000</v>
      </c>
      <c r="K126" s="62">
        <f>'дод 3'!L193</f>
        <v>0</v>
      </c>
      <c r="L126" s="62">
        <f>'дод 3'!M193</f>
        <v>0</v>
      </c>
      <c r="M126" s="62">
        <f>'дод 3'!N193</f>
        <v>0</v>
      </c>
      <c r="N126" s="62">
        <f>'дод 3'!O193</f>
        <v>30000</v>
      </c>
      <c r="O126" s="62">
        <f>'дод 3'!P193</f>
        <v>30000</v>
      </c>
    </row>
    <row r="127" spans="1:15" ht="59.25" customHeight="1" x14ac:dyDescent="0.25">
      <c r="A127" s="46" t="s">
        <v>312</v>
      </c>
      <c r="B127" s="46" t="s">
        <v>102</v>
      </c>
      <c r="C127" s="3" t="s">
        <v>313</v>
      </c>
      <c r="D127" s="62">
        <f>'дод 3'!E194</f>
        <v>0</v>
      </c>
      <c r="E127" s="62">
        <f>'дод 3'!F194</f>
        <v>0</v>
      </c>
      <c r="F127" s="62">
        <f>'дод 3'!G194</f>
        <v>0</v>
      </c>
      <c r="G127" s="62">
        <f>'дод 3'!H194</f>
        <v>0</v>
      </c>
      <c r="H127" s="62">
        <f>'дод 3'!I194</f>
        <v>0</v>
      </c>
      <c r="I127" s="62">
        <f>'дод 3'!J194</f>
        <v>45000</v>
      </c>
      <c r="J127" s="62">
        <f>'дод 3'!K194</f>
        <v>45000</v>
      </c>
      <c r="K127" s="62">
        <f>'дод 3'!L194</f>
        <v>0</v>
      </c>
      <c r="L127" s="62">
        <f>'дод 3'!M194</f>
        <v>0</v>
      </c>
      <c r="M127" s="62">
        <f>'дод 3'!N194</f>
        <v>0</v>
      </c>
      <c r="N127" s="62">
        <f>'дод 3'!O194</f>
        <v>45000</v>
      </c>
      <c r="O127" s="62">
        <f>'дод 3'!P194</f>
        <v>45000</v>
      </c>
    </row>
    <row r="128" spans="1:15" ht="30.75" customHeight="1" x14ac:dyDescent="0.25">
      <c r="A128" s="46" t="s">
        <v>7</v>
      </c>
      <c r="B128" s="46" t="s">
        <v>102</v>
      </c>
      <c r="C128" s="3" t="s">
        <v>33</v>
      </c>
      <c r="D128" s="62">
        <f>'дод 3'!E43+'дод 3'!E157</f>
        <v>0</v>
      </c>
      <c r="E128" s="62">
        <f>'дод 3'!F43+'дод 3'!F157</f>
        <v>0</v>
      </c>
      <c r="F128" s="62">
        <f>'дод 3'!G43+'дод 3'!G157</f>
        <v>0</v>
      </c>
      <c r="G128" s="62">
        <f>'дод 3'!H43+'дод 3'!H157</f>
        <v>0</v>
      </c>
      <c r="H128" s="62">
        <f>'дод 3'!I43+'дод 3'!I157</f>
        <v>0</v>
      </c>
      <c r="I128" s="62">
        <f>'дод 3'!J43+'дод 3'!J157</f>
        <v>39614330</v>
      </c>
      <c r="J128" s="62">
        <f>'дод 3'!K43+'дод 3'!K157</f>
        <v>39614330</v>
      </c>
      <c r="K128" s="62">
        <f>'дод 3'!L43+'дод 3'!L157</f>
        <v>0</v>
      </c>
      <c r="L128" s="62">
        <f>'дод 3'!M43+'дод 3'!M157</f>
        <v>0</v>
      </c>
      <c r="M128" s="62">
        <f>'дод 3'!N43+'дод 3'!N157</f>
        <v>0</v>
      </c>
      <c r="N128" s="62">
        <f>'дод 3'!O43+'дод 3'!O157</f>
        <v>39614330</v>
      </c>
      <c r="O128" s="62">
        <f>'дод 3'!P43+'дод 3'!P157</f>
        <v>39614330</v>
      </c>
    </row>
    <row r="129" spans="1:15" ht="36.75" customHeight="1" x14ac:dyDescent="0.25">
      <c r="A129" s="46" t="s">
        <v>290</v>
      </c>
      <c r="B129" s="46" t="s">
        <v>102</v>
      </c>
      <c r="C129" s="3" t="s">
        <v>291</v>
      </c>
      <c r="D129" s="62">
        <f>'дод 3'!E44</f>
        <v>241467</v>
      </c>
      <c r="E129" s="62">
        <f>'дод 3'!F44</f>
        <v>241467</v>
      </c>
      <c r="F129" s="62">
        <f>'дод 3'!G44</f>
        <v>0</v>
      </c>
      <c r="G129" s="62">
        <f>'дод 3'!H44</f>
        <v>0</v>
      </c>
      <c r="H129" s="62">
        <f>'дод 3'!I44</f>
        <v>0</v>
      </c>
      <c r="I129" s="62">
        <f>'дод 3'!J44</f>
        <v>0</v>
      </c>
      <c r="J129" s="62">
        <f>'дод 3'!K44</f>
        <v>0</v>
      </c>
      <c r="K129" s="62">
        <f>'дод 3'!L44</f>
        <v>0</v>
      </c>
      <c r="L129" s="62">
        <f>'дод 3'!M44</f>
        <v>0</v>
      </c>
      <c r="M129" s="62">
        <f>'дод 3'!N44</f>
        <v>0</v>
      </c>
      <c r="N129" s="62">
        <f>'дод 3'!O44</f>
        <v>0</v>
      </c>
      <c r="O129" s="62">
        <f>'дод 3'!P44</f>
        <v>241467</v>
      </c>
    </row>
    <row r="130" spans="1:15" s="84" customFormat="1" ht="108" customHeight="1" x14ac:dyDescent="0.25">
      <c r="A130" s="46" t="s">
        <v>346</v>
      </c>
      <c r="B130" s="46" t="s">
        <v>102</v>
      </c>
      <c r="C130" s="3" t="s">
        <v>367</v>
      </c>
      <c r="D130" s="62">
        <f>'дод 3'!E45+'дод 3'!E158+'дод 3'!E179+'дод 3'!E184</f>
        <v>0</v>
      </c>
      <c r="E130" s="62">
        <f>'дод 3'!F45+'дод 3'!F158+'дод 3'!F179+'дод 3'!F184</f>
        <v>0</v>
      </c>
      <c r="F130" s="62">
        <f>'дод 3'!G45+'дод 3'!G158+'дод 3'!G179+'дод 3'!G184</f>
        <v>0</v>
      </c>
      <c r="G130" s="62">
        <f>'дод 3'!H45+'дод 3'!H158+'дод 3'!H179+'дод 3'!H184</f>
        <v>0</v>
      </c>
      <c r="H130" s="62">
        <f>'дод 3'!I45+'дод 3'!I158+'дод 3'!I179+'дод 3'!I184</f>
        <v>0</v>
      </c>
      <c r="I130" s="62">
        <f>'дод 3'!J45+'дод 3'!J158+'дод 3'!J179+'дод 3'!J184</f>
        <v>3887680.13</v>
      </c>
      <c r="J130" s="62">
        <f>'дод 3'!K45+'дод 3'!K158+'дод 3'!K179+'дод 3'!K184</f>
        <v>0</v>
      </c>
      <c r="K130" s="62">
        <f>'дод 3'!L45+'дод 3'!L158+'дод 3'!L179+'дод 3'!L184</f>
        <v>2171363.0100000002</v>
      </c>
      <c r="L130" s="62">
        <f>'дод 3'!M45+'дод 3'!M158+'дод 3'!M179+'дод 3'!M184</f>
        <v>0</v>
      </c>
      <c r="M130" s="62">
        <f>'дод 3'!N45+'дод 3'!N158+'дод 3'!N179+'дод 3'!N184</f>
        <v>0</v>
      </c>
      <c r="N130" s="62">
        <f>'дод 3'!O45+'дод 3'!O158+'дод 3'!O179+'дод 3'!O184</f>
        <v>1716317.12</v>
      </c>
      <c r="O130" s="62">
        <f>'дод 3'!P45+'дод 3'!P158+'дод 3'!P179+'дод 3'!P184</f>
        <v>3887680.13</v>
      </c>
    </row>
    <row r="131" spans="1:15" s="84" customFormat="1" ht="30.75" customHeight="1" x14ac:dyDescent="0.25">
      <c r="A131" s="46" t="s">
        <v>281</v>
      </c>
      <c r="B131" s="46" t="s">
        <v>102</v>
      </c>
      <c r="C131" s="3" t="s">
        <v>23</v>
      </c>
      <c r="D131" s="62">
        <f>'дод 3'!E46+'дод 3'!E195+'дод 3'!E200</f>
        <v>2772389</v>
      </c>
      <c r="E131" s="62">
        <f>'дод 3'!F46+'дод 3'!F195+'дод 3'!F200</f>
        <v>2772389</v>
      </c>
      <c r="F131" s="62">
        <f>'дод 3'!G46+'дод 3'!G195+'дод 3'!G200</f>
        <v>0</v>
      </c>
      <c r="G131" s="62">
        <f>'дод 3'!H46+'дод 3'!H195+'дод 3'!H200</f>
        <v>0</v>
      </c>
      <c r="H131" s="62">
        <f>'дод 3'!I46+'дод 3'!I195+'дод 3'!I200</f>
        <v>0</v>
      </c>
      <c r="I131" s="62">
        <f>'дод 3'!J46+'дод 3'!J195+'дод 3'!J200</f>
        <v>0</v>
      </c>
      <c r="J131" s="62">
        <f>'дод 3'!K46+'дод 3'!K195+'дод 3'!K200</f>
        <v>0</v>
      </c>
      <c r="K131" s="62">
        <f>'дод 3'!L46+'дод 3'!L195+'дод 3'!L200</f>
        <v>0</v>
      </c>
      <c r="L131" s="62">
        <f>'дод 3'!M46+'дод 3'!M195+'дод 3'!M200</f>
        <v>0</v>
      </c>
      <c r="M131" s="62">
        <f>'дод 3'!N46+'дод 3'!N195+'дод 3'!N200</f>
        <v>0</v>
      </c>
      <c r="N131" s="62">
        <f>'дод 3'!O46+'дод 3'!O195+'дод 3'!O200</f>
        <v>0</v>
      </c>
      <c r="O131" s="62">
        <f>'дод 3'!P46+'дод 3'!P195+'дод 3'!P200</f>
        <v>2772389</v>
      </c>
    </row>
    <row r="132" spans="1:15" s="83" customFormat="1" ht="48.75" customHeight="1" x14ac:dyDescent="0.25">
      <c r="A132" s="47">
        <v>7700</v>
      </c>
      <c r="B132" s="47"/>
      <c r="C132" s="99" t="s">
        <v>426</v>
      </c>
      <c r="D132" s="61">
        <f>D133</f>
        <v>0</v>
      </c>
      <c r="E132" s="61">
        <f t="shared" ref="E132:O132" si="18">E133</f>
        <v>0</v>
      </c>
      <c r="F132" s="61">
        <f t="shared" si="18"/>
        <v>0</v>
      </c>
      <c r="G132" s="61">
        <f t="shared" si="18"/>
        <v>0</v>
      </c>
      <c r="H132" s="61">
        <f t="shared" si="18"/>
        <v>0</v>
      </c>
      <c r="I132" s="61">
        <f t="shared" si="18"/>
        <v>885000</v>
      </c>
      <c r="J132" s="61">
        <f t="shared" si="18"/>
        <v>0</v>
      </c>
      <c r="K132" s="61">
        <f t="shared" si="18"/>
        <v>0</v>
      </c>
      <c r="L132" s="61">
        <f t="shared" si="18"/>
        <v>0</v>
      </c>
      <c r="M132" s="61">
        <f t="shared" si="18"/>
        <v>0</v>
      </c>
      <c r="N132" s="61">
        <f t="shared" si="18"/>
        <v>885000</v>
      </c>
      <c r="O132" s="61">
        <f t="shared" si="18"/>
        <v>885000</v>
      </c>
    </row>
    <row r="133" spans="1:15" s="84" customFormat="1" ht="46.5" customHeight="1" x14ac:dyDescent="0.25">
      <c r="A133" s="46">
        <v>7700</v>
      </c>
      <c r="B133" s="98" t="s">
        <v>113</v>
      </c>
      <c r="C133" s="24" t="s">
        <v>426</v>
      </c>
      <c r="D133" s="62">
        <f>'дод 3'!E97</f>
        <v>0</v>
      </c>
      <c r="E133" s="62">
        <f>'дод 3'!F97</f>
        <v>0</v>
      </c>
      <c r="F133" s="62">
        <f>'дод 3'!G97</f>
        <v>0</v>
      </c>
      <c r="G133" s="62">
        <f>'дод 3'!H97</f>
        <v>0</v>
      </c>
      <c r="H133" s="62">
        <f>'дод 3'!I97</f>
        <v>0</v>
      </c>
      <c r="I133" s="62">
        <f>'дод 3'!J97</f>
        <v>885000</v>
      </c>
      <c r="J133" s="62">
        <f>'дод 3'!K97</f>
        <v>0</v>
      </c>
      <c r="K133" s="62">
        <f>'дод 3'!L97</f>
        <v>0</v>
      </c>
      <c r="L133" s="62">
        <f>'дод 3'!M97</f>
        <v>0</v>
      </c>
      <c r="M133" s="62">
        <f>'дод 3'!N97</f>
        <v>0</v>
      </c>
      <c r="N133" s="62">
        <f>'дод 3'!O97</f>
        <v>885000</v>
      </c>
      <c r="O133" s="62">
        <f>'дод 3'!P97</f>
        <v>885000</v>
      </c>
    </row>
    <row r="134" spans="1:15" s="82" customFormat="1" x14ac:dyDescent="0.25">
      <c r="A134" s="47" t="s">
        <v>114</v>
      </c>
      <c r="B134" s="48"/>
      <c r="C134" s="2" t="s">
        <v>9</v>
      </c>
      <c r="D134" s="61">
        <f t="shared" ref="D134:O134" si="19">D135+D138+D140+D143+D145+D146</f>
        <v>11880585</v>
      </c>
      <c r="E134" s="61">
        <f t="shared" si="19"/>
        <v>6273513</v>
      </c>
      <c r="F134" s="61">
        <f t="shared" si="19"/>
        <v>1542220</v>
      </c>
      <c r="G134" s="61">
        <f t="shared" si="19"/>
        <v>413540</v>
      </c>
      <c r="H134" s="61">
        <f t="shared" si="19"/>
        <v>0</v>
      </c>
      <c r="I134" s="61">
        <f t="shared" si="19"/>
        <v>8664643.4499999993</v>
      </c>
      <c r="J134" s="61">
        <f t="shared" si="19"/>
        <v>2299600</v>
      </c>
      <c r="K134" s="61">
        <f t="shared" si="19"/>
        <v>2552000</v>
      </c>
      <c r="L134" s="61">
        <f t="shared" si="19"/>
        <v>0</v>
      </c>
      <c r="M134" s="61">
        <f t="shared" si="19"/>
        <v>541400</v>
      </c>
      <c r="N134" s="61">
        <f t="shared" si="19"/>
        <v>6112643.4500000002</v>
      </c>
      <c r="O134" s="61">
        <f t="shared" si="19"/>
        <v>20545228.449999999</v>
      </c>
    </row>
    <row r="135" spans="1:15" s="82" customFormat="1" ht="39.75" customHeight="1" x14ac:dyDescent="0.25">
      <c r="A135" s="47" t="s">
        <v>116</v>
      </c>
      <c r="B135" s="48"/>
      <c r="C135" s="2" t="s">
        <v>10</v>
      </c>
      <c r="D135" s="61">
        <f t="shared" ref="D135:O135" si="20">D136+D137</f>
        <v>4703088</v>
      </c>
      <c r="E135" s="61">
        <f t="shared" si="20"/>
        <v>4703088</v>
      </c>
      <c r="F135" s="61">
        <f t="shared" si="20"/>
        <v>1542220</v>
      </c>
      <c r="G135" s="61">
        <f t="shared" si="20"/>
        <v>135380</v>
      </c>
      <c r="H135" s="61">
        <f t="shared" si="20"/>
        <v>0</v>
      </c>
      <c r="I135" s="61">
        <f t="shared" si="20"/>
        <v>2305100</v>
      </c>
      <c r="J135" s="61">
        <f t="shared" si="20"/>
        <v>2299600</v>
      </c>
      <c r="K135" s="61">
        <f t="shared" si="20"/>
        <v>5500</v>
      </c>
      <c r="L135" s="61">
        <f t="shared" si="20"/>
        <v>0</v>
      </c>
      <c r="M135" s="61">
        <f t="shared" si="20"/>
        <v>1400</v>
      </c>
      <c r="N135" s="61">
        <f t="shared" si="20"/>
        <v>2299600</v>
      </c>
      <c r="O135" s="61">
        <f t="shared" si="20"/>
        <v>7008188</v>
      </c>
    </row>
    <row r="136" spans="1:15" s="82" customFormat="1" ht="36.75" customHeight="1" x14ac:dyDescent="0.25">
      <c r="A136" s="49" t="s">
        <v>11</v>
      </c>
      <c r="B136" s="49" t="s">
        <v>109</v>
      </c>
      <c r="C136" s="3" t="s">
        <v>347</v>
      </c>
      <c r="D136" s="62">
        <f>'дод 3'!E47+'дод 3'!E159</f>
        <v>2672818</v>
      </c>
      <c r="E136" s="62">
        <f>'дод 3'!F47+'дод 3'!F159</f>
        <v>2672818</v>
      </c>
      <c r="F136" s="62">
        <f>'дод 3'!G47+'дод 3'!G159</f>
        <v>0</v>
      </c>
      <c r="G136" s="62">
        <f>'дод 3'!H47+'дод 3'!H159</f>
        <v>55500</v>
      </c>
      <c r="H136" s="62">
        <f>'дод 3'!I47+'дод 3'!I159</f>
        <v>0</v>
      </c>
      <c r="I136" s="62">
        <f>'дод 3'!J47+'дод 3'!J159</f>
        <v>2299600</v>
      </c>
      <c r="J136" s="62">
        <f>'дод 3'!K47+'дод 3'!K159</f>
        <v>2299600</v>
      </c>
      <c r="K136" s="62">
        <f>'дод 3'!L47+'дод 3'!L159</f>
        <v>0</v>
      </c>
      <c r="L136" s="62">
        <f>'дод 3'!M47+'дод 3'!M159</f>
        <v>0</v>
      </c>
      <c r="M136" s="62">
        <f>'дод 3'!N47+'дод 3'!N159</f>
        <v>0</v>
      </c>
      <c r="N136" s="62">
        <f>'дод 3'!O47+'дод 3'!O159</f>
        <v>2299600</v>
      </c>
      <c r="O136" s="62">
        <f>'дод 3'!P47+'дод 3'!P159</f>
        <v>4972418</v>
      </c>
    </row>
    <row r="137" spans="1:15" ht="24.75" customHeight="1" x14ac:dyDescent="0.25">
      <c r="A137" s="46" t="s">
        <v>179</v>
      </c>
      <c r="B137" s="51" t="s">
        <v>109</v>
      </c>
      <c r="C137" s="3" t="s">
        <v>12</v>
      </c>
      <c r="D137" s="62">
        <f>'дод 3'!E48</f>
        <v>2030270</v>
      </c>
      <c r="E137" s="62">
        <f>'дод 3'!F48</f>
        <v>2030270</v>
      </c>
      <c r="F137" s="62">
        <f>'дод 3'!G48</f>
        <v>1542220</v>
      </c>
      <c r="G137" s="62">
        <f>'дод 3'!H48</f>
        <v>79880</v>
      </c>
      <c r="H137" s="62">
        <f>'дод 3'!I48</f>
        <v>0</v>
      </c>
      <c r="I137" s="62">
        <f>'дод 3'!J48</f>
        <v>5500</v>
      </c>
      <c r="J137" s="62">
        <f>'дод 3'!K48</f>
        <v>0</v>
      </c>
      <c r="K137" s="62">
        <f>'дод 3'!L48</f>
        <v>5500</v>
      </c>
      <c r="L137" s="62">
        <f>'дод 3'!M48</f>
        <v>0</v>
      </c>
      <c r="M137" s="62">
        <f>'дод 3'!N48</f>
        <v>1400</v>
      </c>
      <c r="N137" s="62">
        <f>'дод 3'!O48</f>
        <v>0</v>
      </c>
      <c r="O137" s="62">
        <f>'дод 3'!P48</f>
        <v>2035770</v>
      </c>
    </row>
    <row r="138" spans="1:15" s="82" customFormat="1" ht="30" customHeight="1" x14ac:dyDescent="0.25">
      <c r="A138" s="47" t="s">
        <v>292</v>
      </c>
      <c r="B138" s="47"/>
      <c r="C138" s="12" t="s">
        <v>293</v>
      </c>
      <c r="D138" s="61">
        <f t="shared" ref="D138:O138" si="21">D139</f>
        <v>683360</v>
      </c>
      <c r="E138" s="61">
        <f t="shared" si="21"/>
        <v>683360</v>
      </c>
      <c r="F138" s="61">
        <f t="shared" si="21"/>
        <v>0</v>
      </c>
      <c r="G138" s="61">
        <f t="shared" si="21"/>
        <v>278160</v>
      </c>
      <c r="H138" s="61">
        <f t="shared" si="21"/>
        <v>0</v>
      </c>
      <c r="I138" s="61">
        <f t="shared" si="21"/>
        <v>0</v>
      </c>
      <c r="J138" s="61">
        <f t="shared" si="21"/>
        <v>0</v>
      </c>
      <c r="K138" s="61">
        <f t="shared" si="21"/>
        <v>0</v>
      </c>
      <c r="L138" s="61">
        <f t="shared" si="21"/>
        <v>0</v>
      </c>
      <c r="M138" s="61">
        <f t="shared" si="21"/>
        <v>0</v>
      </c>
      <c r="N138" s="61">
        <f t="shared" si="21"/>
        <v>0</v>
      </c>
      <c r="O138" s="61">
        <f t="shared" si="21"/>
        <v>683360</v>
      </c>
    </row>
    <row r="139" spans="1:15" ht="30" customHeight="1" x14ac:dyDescent="0.25">
      <c r="A139" s="46" t="s">
        <v>286</v>
      </c>
      <c r="B139" s="51" t="s">
        <v>287</v>
      </c>
      <c r="C139" s="3" t="s">
        <v>288</v>
      </c>
      <c r="D139" s="62">
        <f>'дод 3'!E49+'дод 3'!E160</f>
        <v>683360</v>
      </c>
      <c r="E139" s="62">
        <f>'дод 3'!F49+'дод 3'!F160</f>
        <v>683360</v>
      </c>
      <c r="F139" s="62">
        <f>'дод 3'!G49+'дод 3'!G160</f>
        <v>0</v>
      </c>
      <c r="G139" s="62">
        <f>'дод 3'!H49+'дод 3'!H160</f>
        <v>278160</v>
      </c>
      <c r="H139" s="62">
        <f>'дод 3'!I49+'дод 3'!I160</f>
        <v>0</v>
      </c>
      <c r="I139" s="62">
        <f>'дод 3'!J49+'дод 3'!J160</f>
        <v>0</v>
      </c>
      <c r="J139" s="62">
        <f>'дод 3'!K49+'дод 3'!K160</f>
        <v>0</v>
      </c>
      <c r="K139" s="62">
        <f>'дод 3'!L49+'дод 3'!L160</f>
        <v>0</v>
      </c>
      <c r="L139" s="62">
        <f>'дод 3'!M49+'дод 3'!M160</f>
        <v>0</v>
      </c>
      <c r="M139" s="62">
        <f>'дод 3'!N49+'дод 3'!N160</f>
        <v>0</v>
      </c>
      <c r="N139" s="62">
        <f>'дод 3'!O49+'дод 3'!O160</f>
        <v>0</v>
      </c>
      <c r="O139" s="62">
        <f>'дод 3'!P49+'дод 3'!P160</f>
        <v>683360</v>
      </c>
    </row>
    <row r="140" spans="1:15" s="82" customFormat="1" ht="22.5" customHeight="1" x14ac:dyDescent="0.25">
      <c r="A140" s="47" t="s">
        <v>8</v>
      </c>
      <c r="B140" s="48"/>
      <c r="C140" s="2" t="s">
        <v>13</v>
      </c>
      <c r="D140" s="61">
        <f t="shared" ref="D140:O140" si="22">D142+D141</f>
        <v>75000</v>
      </c>
      <c r="E140" s="61">
        <f t="shared" si="22"/>
        <v>75000</v>
      </c>
      <c r="F140" s="61">
        <f t="shared" si="22"/>
        <v>0</v>
      </c>
      <c r="G140" s="61">
        <f t="shared" si="22"/>
        <v>0</v>
      </c>
      <c r="H140" s="61">
        <f t="shared" si="22"/>
        <v>0</v>
      </c>
      <c r="I140" s="61">
        <f t="shared" si="22"/>
        <v>6359543.4500000002</v>
      </c>
      <c r="J140" s="61">
        <f t="shared" si="22"/>
        <v>0</v>
      </c>
      <c r="K140" s="61">
        <f t="shared" si="22"/>
        <v>2546500</v>
      </c>
      <c r="L140" s="61">
        <f t="shared" si="22"/>
        <v>0</v>
      </c>
      <c r="M140" s="61">
        <f t="shared" si="22"/>
        <v>540000</v>
      </c>
      <c r="N140" s="61">
        <f t="shared" si="22"/>
        <v>3813043.45</v>
      </c>
      <c r="O140" s="61">
        <f t="shared" si="22"/>
        <v>6434543.4500000002</v>
      </c>
    </row>
    <row r="141" spans="1:15" s="82" customFormat="1" ht="46.5" customHeight="1" x14ac:dyDescent="0.25">
      <c r="A141" s="46">
        <v>8330</v>
      </c>
      <c r="B141" s="46">
        <v>540</v>
      </c>
      <c r="C141" s="3" t="s">
        <v>409</v>
      </c>
      <c r="D141" s="62">
        <f>'дод 3'!E201</f>
        <v>75000</v>
      </c>
      <c r="E141" s="62">
        <f>'дод 3'!F201</f>
        <v>75000</v>
      </c>
      <c r="F141" s="62">
        <f>'дод 3'!G201</f>
        <v>0</v>
      </c>
      <c r="G141" s="62">
        <f>'дод 3'!H201</f>
        <v>0</v>
      </c>
      <c r="H141" s="62">
        <f>'дод 3'!I201</f>
        <v>0</v>
      </c>
      <c r="I141" s="62">
        <f>'дод 3'!J201</f>
        <v>0</v>
      </c>
      <c r="J141" s="62">
        <f>'дод 3'!K201</f>
        <v>0</v>
      </c>
      <c r="K141" s="62">
        <f>'дод 3'!L201</f>
        <v>0</v>
      </c>
      <c r="L141" s="62">
        <f>'дод 3'!M201</f>
        <v>0</v>
      </c>
      <c r="M141" s="62">
        <f>'дод 3'!N201</f>
        <v>0</v>
      </c>
      <c r="N141" s="62">
        <f>'дод 3'!O201</f>
        <v>0</v>
      </c>
      <c r="O141" s="62">
        <f>'дод 3'!P201</f>
        <v>75000</v>
      </c>
    </row>
    <row r="142" spans="1:15" s="82" customFormat="1" ht="25.5" customHeight="1" x14ac:dyDescent="0.25">
      <c r="A142" s="46" t="s">
        <v>14</v>
      </c>
      <c r="B142" s="46" t="s">
        <v>112</v>
      </c>
      <c r="C142" s="3" t="s">
        <v>15</v>
      </c>
      <c r="D142" s="62">
        <f>'дод 3'!E50+'дод 3'!E77+'дод 3'!E161+'дод 3'!E202+'дод 3'!E134</f>
        <v>0</v>
      </c>
      <c r="E142" s="62">
        <f>'дод 3'!F50+'дод 3'!F77+'дод 3'!F161+'дод 3'!F202+'дод 3'!F134</f>
        <v>0</v>
      </c>
      <c r="F142" s="62">
        <f>'дод 3'!G50+'дод 3'!G77+'дод 3'!G161+'дод 3'!G202+'дод 3'!G134</f>
        <v>0</v>
      </c>
      <c r="G142" s="62">
        <f>'дод 3'!H50+'дод 3'!H77+'дод 3'!H161+'дод 3'!H202+'дод 3'!H134</f>
        <v>0</v>
      </c>
      <c r="H142" s="62">
        <f>'дод 3'!I50+'дод 3'!I77+'дод 3'!I161+'дод 3'!I202+'дод 3'!I134</f>
        <v>0</v>
      </c>
      <c r="I142" s="62">
        <f>'дод 3'!J50+'дод 3'!J77+'дод 3'!J161+'дод 3'!J202+'дод 3'!J134</f>
        <v>6359543.4500000002</v>
      </c>
      <c r="J142" s="62">
        <f>'дод 3'!K50+'дод 3'!K77+'дод 3'!K161+'дод 3'!K202+'дод 3'!K134</f>
        <v>0</v>
      </c>
      <c r="K142" s="62">
        <f>'дод 3'!L50+'дод 3'!L77+'дод 3'!L161+'дод 3'!L202+'дод 3'!L134</f>
        <v>2546500</v>
      </c>
      <c r="L142" s="62">
        <f>'дод 3'!M50+'дод 3'!M77+'дод 3'!M161+'дод 3'!M202+'дод 3'!M134</f>
        <v>0</v>
      </c>
      <c r="M142" s="62">
        <f>'дод 3'!N50+'дод 3'!N77+'дод 3'!N161+'дод 3'!N202+'дод 3'!N134</f>
        <v>540000</v>
      </c>
      <c r="N142" s="62">
        <f>'дод 3'!O50+'дод 3'!O77+'дод 3'!O161+'дод 3'!O202+'дод 3'!O134</f>
        <v>3813043.45</v>
      </c>
      <c r="O142" s="62">
        <f>'дод 3'!P50+'дод 3'!P77+'дод 3'!P161+'дод 3'!P202+'дод 3'!P134</f>
        <v>6359543.4500000002</v>
      </c>
    </row>
    <row r="143" spans="1:15" s="82" customFormat="1" ht="26.25" customHeight="1" x14ac:dyDescent="0.25">
      <c r="A143" s="47" t="s">
        <v>161</v>
      </c>
      <c r="B143" s="48"/>
      <c r="C143" s="2" t="s">
        <v>95</v>
      </c>
      <c r="D143" s="61">
        <f t="shared" ref="D143:O143" si="23">D144</f>
        <v>100000</v>
      </c>
      <c r="E143" s="61">
        <f t="shared" si="23"/>
        <v>100000</v>
      </c>
      <c r="F143" s="61">
        <f t="shared" si="23"/>
        <v>0</v>
      </c>
      <c r="G143" s="61">
        <f t="shared" si="23"/>
        <v>0</v>
      </c>
      <c r="H143" s="61">
        <f t="shared" si="23"/>
        <v>0</v>
      </c>
      <c r="I143" s="61">
        <f t="shared" si="23"/>
        <v>0</v>
      </c>
      <c r="J143" s="61">
        <f t="shared" si="23"/>
        <v>0</v>
      </c>
      <c r="K143" s="61">
        <f t="shared" si="23"/>
        <v>0</v>
      </c>
      <c r="L143" s="61">
        <f t="shared" si="23"/>
        <v>0</v>
      </c>
      <c r="M143" s="61">
        <f t="shared" si="23"/>
        <v>0</v>
      </c>
      <c r="N143" s="61">
        <f t="shared" si="23"/>
        <v>0</v>
      </c>
      <c r="O143" s="61">
        <f t="shared" si="23"/>
        <v>100000</v>
      </c>
    </row>
    <row r="144" spans="1:15" s="82" customFormat="1" ht="25.5" customHeight="1" x14ac:dyDescent="0.25">
      <c r="A144" s="46" t="s">
        <v>297</v>
      </c>
      <c r="B144" s="51" t="s">
        <v>96</v>
      </c>
      <c r="C144" s="3" t="s">
        <v>298</v>
      </c>
      <c r="D144" s="62">
        <f>'дод 3'!E51</f>
        <v>100000</v>
      </c>
      <c r="E144" s="62">
        <f>'дод 3'!F51</f>
        <v>100000</v>
      </c>
      <c r="F144" s="62">
        <f>'дод 3'!G51</f>
        <v>0</v>
      </c>
      <c r="G144" s="62">
        <f>'дод 3'!H51</f>
        <v>0</v>
      </c>
      <c r="H144" s="62">
        <f>'дод 3'!I51</f>
        <v>0</v>
      </c>
      <c r="I144" s="62">
        <f>'дод 3'!J51</f>
        <v>0</v>
      </c>
      <c r="J144" s="62">
        <f>'дод 3'!K51</f>
        <v>0</v>
      </c>
      <c r="K144" s="62">
        <f>'дод 3'!L51</f>
        <v>0</v>
      </c>
      <c r="L144" s="62">
        <f>'дод 3'!M51</f>
        <v>0</v>
      </c>
      <c r="M144" s="62">
        <f>'дод 3'!N51</f>
        <v>0</v>
      </c>
      <c r="N144" s="62">
        <f>'дод 3'!O51</f>
        <v>0</v>
      </c>
      <c r="O144" s="62">
        <f>'дод 3'!P51</f>
        <v>100000</v>
      </c>
    </row>
    <row r="145" spans="1:15" s="82" customFormat="1" ht="26.25" customHeight="1" x14ac:dyDescent="0.25">
      <c r="A145" s="47" t="s">
        <v>115</v>
      </c>
      <c r="B145" s="47" t="s">
        <v>110</v>
      </c>
      <c r="C145" s="2" t="s">
        <v>16</v>
      </c>
      <c r="D145" s="61">
        <f>'дод 3'!E203</f>
        <v>712065</v>
      </c>
      <c r="E145" s="61">
        <f>'дод 3'!F203</f>
        <v>712065</v>
      </c>
      <c r="F145" s="61">
        <f>'дод 3'!G203</f>
        <v>0</v>
      </c>
      <c r="G145" s="61">
        <f>'дод 3'!H203</f>
        <v>0</v>
      </c>
      <c r="H145" s="61">
        <f>'дод 3'!I203</f>
        <v>0</v>
      </c>
      <c r="I145" s="61">
        <f>'дод 3'!J203</f>
        <v>0</v>
      </c>
      <c r="J145" s="61">
        <f>'дод 3'!K203</f>
        <v>0</v>
      </c>
      <c r="K145" s="61">
        <f>'дод 3'!L203</f>
        <v>0</v>
      </c>
      <c r="L145" s="61">
        <f>'дод 3'!M203</f>
        <v>0</v>
      </c>
      <c r="M145" s="61">
        <f>'дод 3'!N203</f>
        <v>0</v>
      </c>
      <c r="N145" s="61">
        <f>'дод 3'!O203</f>
        <v>0</v>
      </c>
      <c r="O145" s="61">
        <f>'дод 3'!P203</f>
        <v>712065</v>
      </c>
    </row>
    <row r="146" spans="1:15" s="82" customFormat="1" ht="26.25" customHeight="1" x14ac:dyDescent="0.25">
      <c r="A146" s="47" t="s">
        <v>17</v>
      </c>
      <c r="B146" s="47" t="s">
        <v>113</v>
      </c>
      <c r="C146" s="2" t="s">
        <v>26</v>
      </c>
      <c r="D146" s="61">
        <f>'дод 3'!E204</f>
        <v>5607072</v>
      </c>
      <c r="E146" s="61">
        <f>'дод 3'!F204</f>
        <v>0</v>
      </c>
      <c r="F146" s="61">
        <f>'дод 3'!G204</f>
        <v>0</v>
      </c>
      <c r="G146" s="61">
        <f>'дод 3'!H204</f>
        <v>0</v>
      </c>
      <c r="H146" s="61">
        <f>'дод 3'!I204</f>
        <v>0</v>
      </c>
      <c r="I146" s="61">
        <f>'дод 3'!J204</f>
        <v>0</v>
      </c>
      <c r="J146" s="61">
        <f>'дод 3'!K204</f>
        <v>0</v>
      </c>
      <c r="K146" s="61">
        <f>'дод 3'!L204</f>
        <v>0</v>
      </c>
      <c r="L146" s="61">
        <f>'дод 3'!M204</f>
        <v>0</v>
      </c>
      <c r="M146" s="61">
        <f>'дод 3'!N204</f>
        <v>0</v>
      </c>
      <c r="N146" s="61">
        <f>'дод 3'!O204</f>
        <v>0</v>
      </c>
      <c r="O146" s="61">
        <f>'дод 3'!P204</f>
        <v>5607072</v>
      </c>
    </row>
    <row r="147" spans="1:15" s="82" customFormat="1" ht="27.75" customHeight="1" x14ac:dyDescent="0.25">
      <c r="A147" s="47" t="s">
        <v>18</v>
      </c>
      <c r="B147" s="47"/>
      <c r="C147" s="2" t="s">
        <v>131</v>
      </c>
      <c r="D147" s="61">
        <f>D148+D150+D152</f>
        <v>109639485</v>
      </c>
      <c r="E147" s="61">
        <f t="shared" ref="E147:O147" si="24">E148+E150+E152</f>
        <v>109639485</v>
      </c>
      <c r="F147" s="61">
        <f t="shared" si="24"/>
        <v>0</v>
      </c>
      <c r="G147" s="61">
        <f t="shared" si="24"/>
        <v>0</v>
      </c>
      <c r="H147" s="61">
        <f t="shared" si="24"/>
        <v>0</v>
      </c>
      <c r="I147" s="61">
        <f t="shared" si="24"/>
        <v>7632000</v>
      </c>
      <c r="J147" s="61">
        <f t="shared" si="24"/>
        <v>7632000</v>
      </c>
      <c r="K147" s="61">
        <f t="shared" si="24"/>
        <v>0</v>
      </c>
      <c r="L147" s="61">
        <f t="shared" si="24"/>
        <v>0</v>
      </c>
      <c r="M147" s="61">
        <f t="shared" si="24"/>
        <v>0</v>
      </c>
      <c r="N147" s="61">
        <f t="shared" si="24"/>
        <v>7632000</v>
      </c>
      <c r="O147" s="61">
        <f t="shared" si="24"/>
        <v>117271485</v>
      </c>
    </row>
    <row r="148" spans="1:15" s="82" customFormat="1" ht="21.75" customHeight="1" x14ac:dyDescent="0.25">
      <c r="A148" s="47" t="s">
        <v>295</v>
      </c>
      <c r="B148" s="47"/>
      <c r="C148" s="2" t="s">
        <v>348</v>
      </c>
      <c r="D148" s="61">
        <f t="shared" ref="D148:O148" si="25">D149</f>
        <v>108116600</v>
      </c>
      <c r="E148" s="61">
        <f t="shared" si="25"/>
        <v>108116600</v>
      </c>
      <c r="F148" s="61">
        <f t="shared" si="25"/>
        <v>0</v>
      </c>
      <c r="G148" s="61">
        <f t="shared" si="25"/>
        <v>0</v>
      </c>
      <c r="H148" s="61">
        <f t="shared" si="25"/>
        <v>0</v>
      </c>
      <c r="I148" s="61">
        <f t="shared" si="25"/>
        <v>0</v>
      </c>
      <c r="J148" s="61">
        <f t="shared" si="25"/>
        <v>0</v>
      </c>
      <c r="K148" s="61">
        <f t="shared" si="25"/>
        <v>0</v>
      </c>
      <c r="L148" s="61">
        <f t="shared" si="25"/>
        <v>0</v>
      </c>
      <c r="M148" s="61">
        <f t="shared" si="25"/>
        <v>0</v>
      </c>
      <c r="N148" s="61">
        <f t="shared" si="25"/>
        <v>0</v>
      </c>
      <c r="O148" s="61">
        <f t="shared" si="25"/>
        <v>108116600</v>
      </c>
    </row>
    <row r="149" spans="1:15" s="82" customFormat="1" ht="21.75" customHeight="1" x14ac:dyDescent="0.25">
      <c r="A149" s="46" t="s">
        <v>111</v>
      </c>
      <c r="B149" s="51" t="s">
        <v>59</v>
      </c>
      <c r="C149" s="3" t="s">
        <v>130</v>
      </c>
      <c r="D149" s="62">
        <f>'дод 3'!E205</f>
        <v>108116600</v>
      </c>
      <c r="E149" s="62">
        <f>'дод 3'!F205</f>
        <v>108116600</v>
      </c>
      <c r="F149" s="62">
        <f>'дод 3'!G205</f>
        <v>0</v>
      </c>
      <c r="G149" s="62">
        <f>'дод 3'!H205</f>
        <v>0</v>
      </c>
      <c r="H149" s="62">
        <f>'дод 3'!I205</f>
        <v>0</v>
      </c>
      <c r="I149" s="62">
        <f>'дод 3'!J205</f>
        <v>0</v>
      </c>
      <c r="J149" s="62">
        <f>'дод 3'!K205</f>
        <v>0</v>
      </c>
      <c r="K149" s="62">
        <f>'дод 3'!L205</f>
        <v>0</v>
      </c>
      <c r="L149" s="62">
        <f>'дод 3'!M205</f>
        <v>0</v>
      </c>
      <c r="M149" s="62">
        <f>'дод 3'!N205</f>
        <v>0</v>
      </c>
      <c r="N149" s="62">
        <f>'дод 3'!O205</f>
        <v>0</v>
      </c>
      <c r="O149" s="62">
        <f>'дод 3'!P205</f>
        <v>108116600</v>
      </c>
    </row>
    <row r="150" spans="1:15" s="82" customFormat="1" ht="50.25" customHeight="1" x14ac:dyDescent="0.25">
      <c r="A150" s="47" t="s">
        <v>19</v>
      </c>
      <c r="B150" s="48"/>
      <c r="C150" s="2" t="s">
        <v>408</v>
      </c>
      <c r="D150" s="61">
        <f t="shared" ref="D150:O150" si="26">D151</f>
        <v>1438000</v>
      </c>
      <c r="E150" s="61">
        <f t="shared" si="26"/>
        <v>1438000</v>
      </c>
      <c r="F150" s="61">
        <f t="shared" si="26"/>
        <v>0</v>
      </c>
      <c r="G150" s="61">
        <f t="shared" si="26"/>
        <v>0</v>
      </c>
      <c r="H150" s="61">
        <f t="shared" si="26"/>
        <v>0</v>
      </c>
      <c r="I150" s="61">
        <f t="shared" si="26"/>
        <v>7632000</v>
      </c>
      <c r="J150" s="61">
        <f t="shared" si="26"/>
        <v>7632000</v>
      </c>
      <c r="K150" s="61">
        <f t="shared" si="26"/>
        <v>0</v>
      </c>
      <c r="L150" s="61">
        <f t="shared" si="26"/>
        <v>0</v>
      </c>
      <c r="M150" s="61">
        <f t="shared" si="26"/>
        <v>0</v>
      </c>
      <c r="N150" s="61">
        <f t="shared" si="26"/>
        <v>7632000</v>
      </c>
      <c r="O150" s="61">
        <f t="shared" si="26"/>
        <v>9070000</v>
      </c>
    </row>
    <row r="151" spans="1:15" s="82" customFormat="1" ht="30.75" customHeight="1" x14ac:dyDescent="0.25">
      <c r="A151" s="46" t="s">
        <v>20</v>
      </c>
      <c r="B151" s="51" t="s">
        <v>59</v>
      </c>
      <c r="C151" s="6" t="s">
        <v>417</v>
      </c>
      <c r="D151" s="62">
        <f>'дод 3'!E162+'дод 3'!E119</f>
        <v>1438000</v>
      </c>
      <c r="E151" s="62">
        <f>'дод 3'!F162+'дод 3'!F119</f>
        <v>1438000</v>
      </c>
      <c r="F151" s="62">
        <f>'дод 3'!G162+'дод 3'!G119</f>
        <v>0</v>
      </c>
      <c r="G151" s="62">
        <f>'дод 3'!H162+'дод 3'!H119</f>
        <v>0</v>
      </c>
      <c r="H151" s="62">
        <f>'дод 3'!I162+'дод 3'!I119</f>
        <v>0</v>
      </c>
      <c r="I151" s="62">
        <f>'дод 3'!J162+'дод 3'!J119</f>
        <v>7632000</v>
      </c>
      <c r="J151" s="62">
        <f>'дод 3'!K162+'дод 3'!K119</f>
        <v>7632000</v>
      </c>
      <c r="K151" s="62">
        <f>'дод 3'!L162+'дод 3'!L119</f>
        <v>0</v>
      </c>
      <c r="L151" s="62">
        <f>'дод 3'!M162+'дод 3'!M119</f>
        <v>0</v>
      </c>
      <c r="M151" s="62">
        <f>'дод 3'!N162+'дод 3'!N119</f>
        <v>0</v>
      </c>
      <c r="N151" s="62">
        <f>'дод 3'!O162+'дод 3'!O119</f>
        <v>7632000</v>
      </c>
      <c r="O151" s="62">
        <f>'дод 3'!P162+'дод 3'!P119</f>
        <v>9070000</v>
      </c>
    </row>
    <row r="152" spans="1:15" s="82" customFormat="1" ht="55.5" customHeight="1" x14ac:dyDescent="0.25">
      <c r="A152" s="47" t="s">
        <v>444</v>
      </c>
      <c r="B152" s="48" t="s">
        <v>59</v>
      </c>
      <c r="C152" s="9" t="s">
        <v>441</v>
      </c>
      <c r="D152" s="62">
        <f>'дод 3'!E78</f>
        <v>84885</v>
      </c>
      <c r="E152" s="62">
        <f>'дод 3'!F78</f>
        <v>84885</v>
      </c>
      <c r="F152" s="62">
        <f>'дод 3'!G78</f>
        <v>0</v>
      </c>
      <c r="G152" s="62">
        <f>'дод 3'!H78</f>
        <v>0</v>
      </c>
      <c r="H152" s="62">
        <f>'дод 3'!I78</f>
        <v>0</v>
      </c>
      <c r="I152" s="62">
        <f>'дод 3'!J78</f>
        <v>0</v>
      </c>
      <c r="J152" s="62">
        <f>'дод 3'!K78</f>
        <v>0</v>
      </c>
      <c r="K152" s="62">
        <f>'дод 3'!L78</f>
        <v>0</v>
      </c>
      <c r="L152" s="62">
        <f>'дод 3'!M78</f>
        <v>0</v>
      </c>
      <c r="M152" s="62">
        <f>'дод 3'!N78</f>
        <v>0</v>
      </c>
      <c r="N152" s="62">
        <f>'дод 3'!O78</f>
        <v>0</v>
      </c>
      <c r="O152" s="62">
        <f>'дод 3'!P78</f>
        <v>84885</v>
      </c>
    </row>
    <row r="153" spans="1:15" s="82" customFormat="1" ht="25.5" customHeight="1" x14ac:dyDescent="0.25">
      <c r="A153" s="7"/>
      <c r="B153" s="7"/>
      <c r="C153" s="2" t="s">
        <v>27</v>
      </c>
      <c r="D153" s="61">
        <f t="shared" ref="D153:O153" si="27">D19+D22+D39+D53+D77+D82+D89+D98+D134+D147</f>
        <v>2076398964.5900002</v>
      </c>
      <c r="E153" s="61">
        <f t="shared" si="27"/>
        <v>2007780454.5900002</v>
      </c>
      <c r="F153" s="61">
        <f t="shared" si="27"/>
        <v>908559932</v>
      </c>
      <c r="G153" s="61">
        <f t="shared" si="27"/>
        <v>119078887</v>
      </c>
      <c r="H153" s="61">
        <f t="shared" si="27"/>
        <v>63011438</v>
      </c>
      <c r="I153" s="61">
        <f t="shared" si="27"/>
        <v>607265101.11000001</v>
      </c>
      <c r="J153" s="61">
        <f t="shared" si="27"/>
        <v>446613854.46999997</v>
      </c>
      <c r="K153" s="61">
        <f t="shared" si="27"/>
        <v>144233011.00999999</v>
      </c>
      <c r="L153" s="61">
        <f t="shared" si="27"/>
        <v>9012497</v>
      </c>
      <c r="M153" s="61">
        <f t="shared" si="27"/>
        <v>3810541</v>
      </c>
      <c r="N153" s="61">
        <f t="shared" si="27"/>
        <v>463032090.09999996</v>
      </c>
      <c r="O153" s="61">
        <f t="shared" si="27"/>
        <v>2683664065.6999998</v>
      </c>
    </row>
    <row r="154" spans="1:15" s="82" customFormat="1" ht="25.5" customHeight="1" x14ac:dyDescent="0.25">
      <c r="A154" s="7"/>
      <c r="B154" s="7"/>
      <c r="C154" s="2" t="s">
        <v>308</v>
      </c>
      <c r="D154" s="61">
        <f>D23+D40+D99</f>
        <v>443759326</v>
      </c>
      <c r="E154" s="61">
        <f t="shared" ref="E154:O154" si="28">E23+E40+E99</f>
        <v>443759326</v>
      </c>
      <c r="F154" s="61">
        <f t="shared" si="28"/>
        <v>307191100</v>
      </c>
      <c r="G154" s="61">
        <f t="shared" si="28"/>
        <v>0</v>
      </c>
      <c r="H154" s="61">
        <f t="shared" si="28"/>
        <v>0</v>
      </c>
      <c r="I154" s="61">
        <f t="shared" si="28"/>
        <v>82674037.930000007</v>
      </c>
      <c r="J154" s="61">
        <f t="shared" si="28"/>
        <v>2674037.9299999997</v>
      </c>
      <c r="K154" s="61">
        <f t="shared" si="28"/>
        <v>80000000</v>
      </c>
      <c r="L154" s="61">
        <f t="shared" si="28"/>
        <v>0</v>
      </c>
      <c r="M154" s="61">
        <f t="shared" si="28"/>
        <v>0</v>
      </c>
      <c r="N154" s="61">
        <f t="shared" si="28"/>
        <v>2674037.9299999997</v>
      </c>
      <c r="O154" s="61">
        <f t="shared" si="28"/>
        <v>526433363.93000001</v>
      </c>
    </row>
    <row r="155" spans="1:15" s="82" customFormat="1" ht="25.5" customHeight="1" x14ac:dyDescent="0.25">
      <c r="A155" s="146"/>
      <c r="B155" s="146"/>
      <c r="C155" s="147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</row>
    <row r="156" spans="1:15" s="82" customFormat="1" ht="25.5" customHeight="1" x14ac:dyDescent="0.25">
      <c r="A156" s="146"/>
      <c r="B156" s="146"/>
      <c r="C156" s="147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</row>
    <row r="157" spans="1:15" s="82" customFormat="1" ht="25.5" customHeight="1" x14ac:dyDescent="0.25">
      <c r="A157" s="146"/>
      <c r="B157" s="146"/>
      <c r="C157" s="147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</row>
    <row r="158" spans="1:15" s="82" customFormat="1" ht="25.5" customHeight="1" x14ac:dyDescent="0.25">
      <c r="A158" s="146"/>
      <c r="B158" s="146"/>
      <c r="C158" s="147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</row>
    <row r="159" spans="1:15" s="54" customFormat="1" x14ac:dyDescent="0.25">
      <c r="A159" s="108"/>
      <c r="B159" s="53"/>
      <c r="C159" s="53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</row>
    <row r="160" spans="1:15" ht="15.75" customHeight="1" x14ac:dyDescent="0.2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1:24" ht="28.5" customHeight="1" x14ac:dyDescent="0.45">
      <c r="A161" s="138" t="s">
        <v>457</v>
      </c>
      <c r="B161" s="138"/>
      <c r="C161" s="138"/>
      <c r="D161" s="138"/>
      <c r="E161" s="138"/>
      <c r="F161" s="138"/>
      <c r="G161" s="138"/>
      <c r="H161" s="138"/>
      <c r="I161" s="139"/>
      <c r="J161" s="139"/>
      <c r="K161" s="139"/>
      <c r="L161" s="140"/>
      <c r="M161" s="140"/>
      <c r="N161" s="154" t="s">
        <v>458</v>
      </c>
      <c r="O161" s="154"/>
      <c r="P161" s="154"/>
    </row>
    <row r="162" spans="1:24" ht="30" customHeight="1" x14ac:dyDescent="0.45">
      <c r="A162" s="141"/>
      <c r="B162" s="141"/>
      <c r="C162" s="141"/>
      <c r="D162" s="142"/>
      <c r="E162" s="143"/>
      <c r="F162" s="143"/>
      <c r="G162" s="143"/>
      <c r="H162" s="143"/>
      <c r="I162" s="143"/>
      <c r="J162" s="143"/>
      <c r="K162" s="144"/>
      <c r="L162" s="143"/>
      <c r="M162" s="143"/>
      <c r="N162" s="34"/>
      <c r="O162" s="34"/>
      <c r="P162" s="34"/>
    </row>
    <row r="163" spans="1:24" ht="30" customHeight="1" x14ac:dyDescent="0.4">
      <c r="A163" s="145" t="s">
        <v>459</v>
      </c>
      <c r="B163" s="112"/>
      <c r="C163" s="112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1:24" ht="15.75" customHeight="1" x14ac:dyDescent="0.4">
      <c r="A164" s="145" t="s">
        <v>460</v>
      </c>
      <c r="B164" s="112"/>
      <c r="C164" s="112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1:24" s="128" customFormat="1" ht="35.25" customHeight="1" x14ac:dyDescent="0.5">
      <c r="A165" s="126"/>
      <c r="B165" s="126"/>
      <c r="C165" s="126"/>
      <c r="D165" s="126"/>
      <c r="E165" s="126"/>
      <c r="F165" s="126"/>
      <c r="G165" s="126"/>
      <c r="H165" s="126"/>
      <c r="I165" s="127"/>
      <c r="J165" s="127"/>
      <c r="K165" s="127"/>
      <c r="M165" s="162"/>
      <c r="N165" s="162"/>
      <c r="O165" s="162"/>
      <c r="P165" s="105"/>
      <c r="Q165" s="129"/>
      <c r="R165" s="129"/>
      <c r="S165" s="129"/>
      <c r="T165" s="129"/>
      <c r="U165" s="129"/>
      <c r="V165" s="129"/>
      <c r="W165" s="130"/>
      <c r="X165" s="131"/>
    </row>
    <row r="166" spans="1:24" ht="23.25" customHeight="1" x14ac:dyDescent="0.25"/>
    <row r="168" spans="1:24" ht="22.5" customHeight="1" x14ac:dyDescent="0.25"/>
  </sheetData>
  <mergeCells count="23">
    <mergeCell ref="M165:O165"/>
    <mergeCell ref="N161:P161"/>
    <mergeCell ref="I16:N16"/>
    <mergeCell ref="H17:H18"/>
    <mergeCell ref="I17:I18"/>
    <mergeCell ref="J17:J18"/>
    <mergeCell ref="O16:O18"/>
    <mergeCell ref="K1:N1"/>
    <mergeCell ref="K3:O3"/>
    <mergeCell ref="K4:O4"/>
    <mergeCell ref="F17:G17"/>
    <mergeCell ref="K17:K18"/>
    <mergeCell ref="L17:M17"/>
    <mergeCell ref="N17:N18"/>
    <mergeCell ref="D16:H16"/>
    <mergeCell ref="A12:O12"/>
    <mergeCell ref="B16:B18"/>
    <mergeCell ref="C16:C18"/>
    <mergeCell ref="A16:A18"/>
    <mergeCell ref="D17:D18"/>
    <mergeCell ref="A13:B13"/>
    <mergeCell ref="A14:B14"/>
    <mergeCell ref="E17:E18"/>
  </mergeCells>
  <phoneticPr fontId="3" type="noConversion"/>
  <printOptions horizontalCentered="1"/>
  <pageMargins left="0" right="0" top="0.78740157480314965" bottom="0.59055118110236227" header="0.59055118110236227" footer="0.19685039370078741"/>
  <pageSetup paperSize="9" scale="44" fitToHeight="100" orientation="landscape" verticalDpi="300" r:id="rId1"/>
  <headerFooter scaleWithDoc="0" alignWithMargins="0">
    <oddFooter>&amp;R&amp;9Сторінка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4</vt:lpstr>
      <vt:lpstr>'дод 3'!Заголовки_для_печати</vt:lpstr>
      <vt:lpstr>'дод 4'!Заголовки_для_печати</vt:lpstr>
      <vt:lpstr>'дод 3'!Область_печати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2020-05-13T10:37:06Z</cp:lastPrinted>
  <dcterms:created xsi:type="dcterms:W3CDTF">2014-01-17T10:52:16Z</dcterms:created>
  <dcterms:modified xsi:type="dcterms:W3CDTF">2020-05-14T10:28:31Z</dcterms:modified>
</cp:coreProperties>
</file>