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Квітень- СМР 13.05\СМР 13.05.20\СМР перенесено на 13.05.20\Доопрацьовано\"/>
    </mc:Choice>
  </mc:AlternateContent>
  <bookViews>
    <workbookView xWindow="0" yWindow="0" windowWidth="19200" windowHeight="11460" tabRatio="495"/>
  </bookViews>
  <sheets>
    <sheet name="дод 3" sheetId="1" r:id="rId1"/>
    <sheet name="дод 4" sheetId="3" r:id="rId2"/>
  </sheets>
  <definedNames>
    <definedName name="_xlnm.Print_Titles" localSheetId="0">'дод 3'!$15:$17</definedName>
    <definedName name="_xlnm.Print_Titles" localSheetId="1">'дод 4'!$16:$18</definedName>
    <definedName name="_xlnm.Print_Area" localSheetId="0">'дод 3'!$A$1:$P$215</definedName>
    <definedName name="_xlnm.Print_Area" localSheetId="1">'дод 4'!$A$1:$O$165</definedName>
  </definedNames>
  <calcPr calcId="162913"/>
</workbook>
</file>

<file path=xl/calcChain.xml><?xml version="1.0" encoding="utf-8"?>
<calcChain xmlns="http://schemas.openxmlformats.org/spreadsheetml/2006/main">
  <c r="P136" i="1" l="1"/>
  <c r="O136" i="1"/>
  <c r="N136" i="1"/>
  <c r="M136" i="1"/>
  <c r="L136" i="1"/>
  <c r="K136" i="1"/>
  <c r="J136" i="1"/>
  <c r="I136" i="1"/>
  <c r="H136" i="1"/>
  <c r="G136" i="1"/>
  <c r="E136" i="1"/>
  <c r="F136" i="1"/>
  <c r="O109" i="3"/>
  <c r="N109" i="3"/>
  <c r="M109" i="3"/>
  <c r="L109" i="3"/>
  <c r="K109" i="3"/>
  <c r="J109" i="3"/>
  <c r="I109" i="3"/>
  <c r="H109" i="3"/>
  <c r="G109" i="3"/>
  <c r="F109" i="3"/>
  <c r="E109" i="3"/>
  <c r="D109" i="3"/>
  <c r="J149" i="1"/>
  <c r="E149" i="1"/>
  <c r="P149" i="1" s="1"/>
  <c r="D149" i="1"/>
  <c r="C149" i="1"/>
  <c r="B149" i="1"/>
  <c r="F118" i="1" l="1"/>
  <c r="F146" i="1"/>
  <c r="K83" i="1" l="1"/>
  <c r="F145" i="1"/>
  <c r="O145" i="1"/>
  <c r="K145" i="1"/>
  <c r="O144" i="1"/>
  <c r="K144" i="1"/>
  <c r="I144" i="1"/>
  <c r="O142" i="1"/>
  <c r="K142" i="1"/>
  <c r="G100" i="1"/>
  <c r="F100" i="1"/>
  <c r="F89" i="1" l="1"/>
  <c r="G82" i="1"/>
  <c r="F82" i="1"/>
  <c r="F58" i="1"/>
  <c r="O58" i="1"/>
  <c r="K58" i="1"/>
  <c r="E204" i="1" l="1"/>
  <c r="G198" i="1"/>
  <c r="F198" i="1"/>
  <c r="G190" i="1"/>
  <c r="F190" i="1"/>
  <c r="G187" i="1"/>
  <c r="F187" i="1"/>
  <c r="G182" i="1"/>
  <c r="F182" i="1"/>
  <c r="O174" i="1"/>
  <c r="K174" i="1"/>
  <c r="G165" i="1"/>
  <c r="F165" i="1"/>
  <c r="F159" i="1"/>
  <c r="H145" i="1"/>
  <c r="O140" i="1"/>
  <c r="K140" i="1"/>
  <c r="G138" i="1"/>
  <c r="F138" i="1"/>
  <c r="F130" i="1"/>
  <c r="F129" i="1"/>
  <c r="O128" i="1"/>
  <c r="K128" i="1"/>
  <c r="F128" i="1"/>
  <c r="G127" i="1"/>
  <c r="F127" i="1"/>
  <c r="G122" i="1"/>
  <c r="F122" i="1"/>
  <c r="F117" i="1"/>
  <c r="H117" i="1"/>
  <c r="F109" i="1"/>
  <c r="F102" i="1"/>
  <c r="F92" i="1"/>
  <c r="F91" i="1"/>
  <c r="O81" i="1"/>
  <c r="N81" i="1"/>
  <c r="M81" i="1"/>
  <c r="L81" i="1"/>
  <c r="K81" i="1"/>
  <c r="I81" i="1"/>
  <c r="H81" i="1"/>
  <c r="G81" i="1"/>
  <c r="N48" i="3"/>
  <c r="M48" i="3"/>
  <c r="L48" i="3"/>
  <c r="K48" i="3"/>
  <c r="J48" i="3"/>
  <c r="H48" i="3"/>
  <c r="G48" i="3"/>
  <c r="F48" i="3"/>
  <c r="E48" i="3"/>
  <c r="D90" i="1"/>
  <c r="J90" i="1"/>
  <c r="I48" i="3" s="1"/>
  <c r="E90" i="1"/>
  <c r="P90" i="1" s="1"/>
  <c r="O48" i="3" s="1"/>
  <c r="F94" i="1"/>
  <c r="F83" i="1"/>
  <c r="O83" i="1"/>
  <c r="M105" i="3"/>
  <c r="L105" i="3"/>
  <c r="K105" i="3"/>
  <c r="H105" i="3"/>
  <c r="G105" i="3"/>
  <c r="F105" i="3"/>
  <c r="E105" i="3"/>
  <c r="N53" i="1"/>
  <c r="M53" i="1"/>
  <c r="I53" i="1"/>
  <c r="J73" i="1"/>
  <c r="P73" i="1" s="1"/>
  <c r="E73" i="1"/>
  <c r="D73" i="1"/>
  <c r="C73" i="1"/>
  <c r="F72" i="1"/>
  <c r="F66" i="1"/>
  <c r="F62" i="1"/>
  <c r="F61" i="1"/>
  <c r="O60" i="1"/>
  <c r="K60" i="1"/>
  <c r="F60" i="1"/>
  <c r="O59" i="1"/>
  <c r="K59" i="1"/>
  <c r="F59" i="1"/>
  <c r="H58" i="1"/>
  <c r="F56" i="1"/>
  <c r="G55" i="1"/>
  <c r="F55" i="1"/>
  <c r="F37" i="1"/>
  <c r="G20" i="1"/>
  <c r="F20" i="1"/>
  <c r="D48" i="3" l="1"/>
  <c r="F47" i="1"/>
  <c r="O47" i="1"/>
  <c r="K47" i="1"/>
  <c r="F160" i="1"/>
  <c r="F143" i="1"/>
  <c r="E136" i="3" l="1"/>
  <c r="F136" i="3"/>
  <c r="G136" i="3"/>
  <c r="H136" i="3"/>
  <c r="J136" i="3"/>
  <c r="K136" i="3"/>
  <c r="L136" i="3"/>
  <c r="M136" i="3"/>
  <c r="N136" i="3"/>
  <c r="J159" i="1"/>
  <c r="E159" i="1"/>
  <c r="C159" i="1"/>
  <c r="D159" i="1"/>
  <c r="B159" i="1"/>
  <c r="P159" i="1" l="1"/>
  <c r="F105" i="1"/>
  <c r="F103" i="1"/>
  <c r="O147" i="1" l="1"/>
  <c r="K147" i="1"/>
  <c r="F46" i="1"/>
  <c r="F44" i="1"/>
  <c r="E139" i="3" l="1"/>
  <c r="F139" i="3"/>
  <c r="G139" i="3"/>
  <c r="H139" i="3"/>
  <c r="J139" i="3"/>
  <c r="K139" i="3"/>
  <c r="L139" i="3"/>
  <c r="M139" i="3"/>
  <c r="N139" i="3"/>
  <c r="J160" i="1"/>
  <c r="E160" i="1"/>
  <c r="C160" i="1"/>
  <c r="D160" i="1"/>
  <c r="B160" i="1"/>
  <c r="P160" i="1" l="1"/>
  <c r="E117" i="3" l="1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G19" i="1"/>
  <c r="H19" i="1"/>
  <c r="I19" i="1"/>
  <c r="M19" i="1"/>
  <c r="N19" i="1"/>
  <c r="E39" i="1"/>
  <c r="E40" i="1"/>
  <c r="D118" i="3" s="1"/>
  <c r="J38" i="1"/>
  <c r="J39" i="1"/>
  <c r="I117" i="3" s="1"/>
  <c r="J40" i="1"/>
  <c r="I118" i="3" s="1"/>
  <c r="C39" i="1"/>
  <c r="D39" i="1"/>
  <c r="C40" i="1"/>
  <c r="D40" i="1"/>
  <c r="B40" i="1"/>
  <c r="B39" i="1"/>
  <c r="P40" i="1" l="1"/>
  <c r="O118" i="3" s="1"/>
  <c r="P39" i="1"/>
  <c r="O117" i="3" s="1"/>
  <c r="D117" i="3"/>
  <c r="O173" i="1" l="1"/>
  <c r="K173" i="1"/>
  <c r="O175" i="1" l="1"/>
  <c r="K175" i="1"/>
  <c r="O169" i="1"/>
  <c r="K169" i="1"/>
  <c r="O148" i="1"/>
  <c r="K148" i="1"/>
  <c r="O146" i="1"/>
  <c r="K146" i="1"/>
  <c r="G59" i="1" l="1"/>
  <c r="G58" i="1"/>
  <c r="O57" i="1"/>
  <c r="O56" i="1"/>
  <c r="K57" i="1"/>
  <c r="K56" i="1"/>
  <c r="F57" i="1"/>
  <c r="G57" i="1"/>
  <c r="G56" i="1"/>
  <c r="G53" i="1" l="1"/>
  <c r="F85" i="1"/>
  <c r="O184" i="1"/>
  <c r="L184" i="1"/>
  <c r="O96" i="1" l="1"/>
  <c r="F132" i="1"/>
  <c r="O108" i="1"/>
  <c r="K108" i="1"/>
  <c r="O66" i="1"/>
  <c r="K66" i="1"/>
  <c r="F63" i="1"/>
  <c r="F53" i="1" s="1"/>
  <c r="F35" i="1"/>
  <c r="K35" i="1"/>
  <c r="O35" i="1"/>
  <c r="O34" i="1"/>
  <c r="K34" i="1"/>
  <c r="F34" i="1"/>
  <c r="F32" i="1"/>
  <c r="F33" i="1"/>
  <c r="F30" i="1"/>
  <c r="O117" i="1"/>
  <c r="K117" i="1"/>
  <c r="K96" i="1"/>
  <c r="F108" i="1"/>
  <c r="F137" i="1" l="1"/>
  <c r="G137" i="1"/>
  <c r="H137" i="1"/>
  <c r="I137" i="1"/>
  <c r="K137" i="1"/>
  <c r="L137" i="1"/>
  <c r="M137" i="1"/>
  <c r="N137" i="1"/>
  <c r="O137" i="1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J155" i="1"/>
  <c r="I120" i="3" s="1"/>
  <c r="I115" i="3" s="1"/>
  <c r="E155" i="1"/>
  <c r="D120" i="3" s="1"/>
  <c r="D115" i="3" s="1"/>
  <c r="J154" i="1"/>
  <c r="I119" i="3" s="1"/>
  <c r="E154" i="1"/>
  <c r="C154" i="1"/>
  <c r="D154" i="1"/>
  <c r="B154" i="1"/>
  <c r="E115" i="3"/>
  <c r="F115" i="3"/>
  <c r="G115" i="3"/>
  <c r="H115" i="3"/>
  <c r="J115" i="3"/>
  <c r="K115" i="3"/>
  <c r="L115" i="3"/>
  <c r="M115" i="3"/>
  <c r="N115" i="3"/>
  <c r="P154" i="1" l="1"/>
  <c r="O119" i="3" s="1"/>
  <c r="P155" i="1"/>
  <c r="O120" i="3" s="1"/>
  <c r="O115" i="3" s="1"/>
  <c r="D119" i="3"/>
  <c r="N110" i="3"/>
  <c r="M110" i="3"/>
  <c r="L110" i="3"/>
  <c r="K110" i="3"/>
  <c r="J110" i="3"/>
  <c r="H110" i="3"/>
  <c r="G110" i="3"/>
  <c r="F110" i="3"/>
  <c r="E110" i="3"/>
  <c r="N80" i="1"/>
  <c r="M80" i="1"/>
  <c r="L80" i="1"/>
  <c r="I80" i="1"/>
  <c r="H80" i="1"/>
  <c r="J95" i="1"/>
  <c r="E95" i="1"/>
  <c r="D95" i="1"/>
  <c r="C95" i="1"/>
  <c r="B95" i="1"/>
  <c r="D176" i="1"/>
  <c r="C176" i="1"/>
  <c r="B176" i="1"/>
  <c r="D150" i="1"/>
  <c r="C150" i="1"/>
  <c r="B150" i="1"/>
  <c r="P95" i="1" l="1"/>
  <c r="N167" i="1"/>
  <c r="M167" i="1"/>
  <c r="L167" i="1"/>
  <c r="I167" i="1"/>
  <c r="H167" i="1"/>
  <c r="J176" i="1"/>
  <c r="E176" i="1"/>
  <c r="O172" i="1"/>
  <c r="N105" i="3" s="1"/>
  <c r="K172" i="1"/>
  <c r="J105" i="3" s="1"/>
  <c r="J150" i="1"/>
  <c r="E150" i="1"/>
  <c r="D110" i="3" s="1"/>
  <c r="F142" i="1"/>
  <c r="P176" i="1" l="1"/>
  <c r="I110" i="3"/>
  <c r="P150" i="1"/>
  <c r="O110" i="3" s="1"/>
  <c r="O170" i="1" l="1"/>
  <c r="L45" i="1" l="1"/>
  <c r="L19" i="1" s="1"/>
  <c r="N130" i="3" l="1"/>
  <c r="M130" i="3"/>
  <c r="L130" i="3"/>
  <c r="J130" i="3"/>
  <c r="H130" i="3"/>
  <c r="G130" i="3"/>
  <c r="F130" i="3"/>
  <c r="E130" i="3"/>
  <c r="N152" i="3"/>
  <c r="M152" i="3"/>
  <c r="L152" i="3"/>
  <c r="K152" i="3"/>
  <c r="J152" i="3"/>
  <c r="H152" i="3"/>
  <c r="G152" i="3"/>
  <c r="F152" i="3"/>
  <c r="E152" i="3"/>
  <c r="N113" i="3" l="1"/>
  <c r="N103" i="3" s="1"/>
  <c r="N99" i="3" s="1"/>
  <c r="M113" i="3"/>
  <c r="M103" i="3" s="1"/>
  <c r="M99" i="3" s="1"/>
  <c r="L113" i="3"/>
  <c r="L103" i="3" s="1"/>
  <c r="L99" i="3" s="1"/>
  <c r="K113" i="3"/>
  <c r="K103" i="3" s="1"/>
  <c r="K99" i="3" s="1"/>
  <c r="J113" i="3"/>
  <c r="H113" i="3"/>
  <c r="H103" i="3" s="1"/>
  <c r="H99" i="3" s="1"/>
  <c r="G113" i="3"/>
  <c r="G103" i="3" s="1"/>
  <c r="G99" i="3" s="1"/>
  <c r="F113" i="3"/>
  <c r="F103" i="3" s="1"/>
  <c r="F99" i="3" s="1"/>
  <c r="E113" i="3"/>
  <c r="E103" i="3" s="1"/>
  <c r="E99" i="3" s="1"/>
  <c r="M112" i="3"/>
  <c r="L112" i="3"/>
  <c r="K112" i="3"/>
  <c r="H112" i="3"/>
  <c r="G112" i="3"/>
  <c r="F112" i="3"/>
  <c r="E112" i="3"/>
  <c r="K189" i="1" l="1"/>
  <c r="L181" i="1"/>
  <c r="L202" i="1" l="1"/>
  <c r="J179" i="1"/>
  <c r="E179" i="1"/>
  <c r="O161" i="1"/>
  <c r="L158" i="1"/>
  <c r="O152" i="1"/>
  <c r="J152" i="1" s="1"/>
  <c r="K152" i="1"/>
  <c r="E153" i="1"/>
  <c r="E137" i="1" s="1"/>
  <c r="E152" i="1"/>
  <c r="J153" i="1"/>
  <c r="J137" i="1" s="1"/>
  <c r="O129" i="1"/>
  <c r="K129" i="1"/>
  <c r="K126" i="1" s="1"/>
  <c r="F84" i="1"/>
  <c r="F81" i="1" s="1"/>
  <c r="F80" i="1"/>
  <c r="P179" i="1" l="1"/>
  <c r="P152" i="1"/>
  <c r="K130" i="3"/>
  <c r="P153" i="1"/>
  <c r="P137" i="1" s="1"/>
  <c r="O54" i="1"/>
  <c r="N54" i="1"/>
  <c r="M54" i="1"/>
  <c r="L54" i="1"/>
  <c r="I54" i="1"/>
  <c r="H54" i="1"/>
  <c r="G54" i="1"/>
  <c r="E78" i="1"/>
  <c r="J78" i="1"/>
  <c r="I152" i="3" s="1"/>
  <c r="L77" i="1"/>
  <c r="L53" i="1" s="1"/>
  <c r="O72" i="1"/>
  <c r="K72" i="1"/>
  <c r="P78" i="1" l="1"/>
  <c r="O152" i="3" s="1"/>
  <c r="D152" i="3"/>
  <c r="J75" i="1"/>
  <c r="E75" i="1"/>
  <c r="D113" i="3" s="1"/>
  <c r="D103" i="3" s="1"/>
  <c r="D99" i="3" s="1"/>
  <c r="P75" i="1" l="1"/>
  <c r="O113" i="3" s="1"/>
  <c r="O103" i="3" s="1"/>
  <c r="O99" i="3" s="1"/>
  <c r="I113" i="3"/>
  <c r="I103" i="3" s="1"/>
  <c r="I99" i="3" s="1"/>
  <c r="J103" i="3"/>
  <c r="J99" i="3" s="1"/>
  <c r="O74" i="1"/>
  <c r="K74" i="1"/>
  <c r="E74" i="1"/>
  <c r="F54" i="1"/>
  <c r="F48" i="1"/>
  <c r="F36" i="1"/>
  <c r="F29" i="1"/>
  <c r="F24" i="1"/>
  <c r="N112" i="3" l="1"/>
  <c r="O53" i="1"/>
  <c r="J112" i="3"/>
  <c r="K53" i="1"/>
  <c r="J74" i="1"/>
  <c r="P74" i="1" s="1"/>
  <c r="O141" i="1"/>
  <c r="K141" i="1"/>
  <c r="J177" i="1" l="1"/>
  <c r="I112" i="3" s="1"/>
  <c r="E177" i="1"/>
  <c r="D112" i="3" s="1"/>
  <c r="O171" i="1"/>
  <c r="K171" i="1"/>
  <c r="P177" i="1" l="1"/>
  <c r="O112" i="3" s="1"/>
  <c r="O41" i="1" l="1"/>
  <c r="K41" i="1"/>
  <c r="F41" i="1"/>
  <c r="F114" i="1" l="1"/>
  <c r="K167" i="1"/>
  <c r="G168" i="1"/>
  <c r="G167" i="1" s="1"/>
  <c r="F168" i="1"/>
  <c r="F167" i="1" s="1"/>
  <c r="I156" i="1"/>
  <c r="F156" i="1"/>
  <c r="G80" i="1"/>
  <c r="N133" i="3" l="1"/>
  <c r="N132" i="3" s="1"/>
  <c r="M133" i="3"/>
  <c r="M132" i="3" s="1"/>
  <c r="L133" i="3"/>
  <c r="L132" i="3" s="1"/>
  <c r="K133" i="3"/>
  <c r="K132" i="3" s="1"/>
  <c r="J133" i="3"/>
  <c r="J132" i="3" s="1"/>
  <c r="H133" i="3"/>
  <c r="H132" i="3" s="1"/>
  <c r="G133" i="3"/>
  <c r="G132" i="3" s="1"/>
  <c r="F133" i="3"/>
  <c r="F132" i="3" s="1"/>
  <c r="E133" i="3"/>
  <c r="E132" i="3" s="1"/>
  <c r="J97" i="1"/>
  <c r="I133" i="3" s="1"/>
  <c r="I132" i="3" s="1"/>
  <c r="E97" i="1"/>
  <c r="D133" i="3" s="1"/>
  <c r="D132" i="3" s="1"/>
  <c r="P97" i="1" l="1"/>
  <c r="D102" i="1"/>
  <c r="O133" i="3" l="1"/>
  <c r="O132" i="3" s="1"/>
  <c r="C174" i="1" l="1"/>
  <c r="D174" i="1"/>
  <c r="B174" i="1"/>
  <c r="E107" i="3"/>
  <c r="F107" i="3"/>
  <c r="G107" i="3"/>
  <c r="H107" i="3"/>
  <c r="J107" i="3"/>
  <c r="K107" i="3"/>
  <c r="L107" i="3"/>
  <c r="M107" i="3"/>
  <c r="N107" i="3"/>
  <c r="D107" i="3"/>
  <c r="J174" i="1"/>
  <c r="I107" i="3" s="1"/>
  <c r="P174" i="1" l="1"/>
  <c r="O107" i="3" s="1"/>
  <c r="E38" i="3"/>
  <c r="F38" i="3"/>
  <c r="G38" i="3"/>
  <c r="H38" i="3"/>
  <c r="I38" i="3"/>
  <c r="J38" i="3"/>
  <c r="K38" i="3"/>
  <c r="L38" i="3"/>
  <c r="M38" i="3"/>
  <c r="N38" i="3"/>
  <c r="E69" i="1"/>
  <c r="P69" i="1" s="1"/>
  <c r="O38" i="3" s="1"/>
  <c r="K54" i="1"/>
  <c r="J57" i="1"/>
  <c r="I25" i="3" s="1"/>
  <c r="E25" i="3"/>
  <c r="F25" i="3"/>
  <c r="G25" i="3"/>
  <c r="H25" i="3"/>
  <c r="J25" i="3"/>
  <c r="K25" i="3"/>
  <c r="L25" i="3"/>
  <c r="M25" i="3"/>
  <c r="N25" i="3"/>
  <c r="E57" i="1"/>
  <c r="D25" i="3" s="1"/>
  <c r="P57" i="1" l="1"/>
  <c r="O25" i="3" s="1"/>
  <c r="D38" i="3"/>
  <c r="O43" i="1"/>
  <c r="O19" i="1" s="1"/>
  <c r="K43" i="1"/>
  <c r="K19" i="1" s="1"/>
  <c r="F141" i="1" l="1"/>
  <c r="I141" i="1"/>
  <c r="D119" i="1" l="1"/>
  <c r="E151" i="3"/>
  <c r="F151" i="3"/>
  <c r="G151" i="3"/>
  <c r="H151" i="3"/>
  <c r="K151" i="3"/>
  <c r="L151" i="3"/>
  <c r="M151" i="3"/>
  <c r="F131" i="3"/>
  <c r="G131" i="3"/>
  <c r="H131" i="3"/>
  <c r="J131" i="3"/>
  <c r="K131" i="3"/>
  <c r="L131" i="3"/>
  <c r="M131" i="3"/>
  <c r="N131" i="3"/>
  <c r="F97" i="3"/>
  <c r="G97" i="3"/>
  <c r="H97" i="3"/>
  <c r="J97" i="3"/>
  <c r="K97" i="3"/>
  <c r="L97" i="3"/>
  <c r="M97" i="3"/>
  <c r="N97" i="3"/>
  <c r="F20" i="3"/>
  <c r="G20" i="3"/>
  <c r="H20" i="3"/>
  <c r="J20" i="3"/>
  <c r="K20" i="3"/>
  <c r="L20" i="3"/>
  <c r="M20" i="3"/>
  <c r="N20" i="3"/>
  <c r="G99" i="1"/>
  <c r="H99" i="1"/>
  <c r="I99" i="1"/>
  <c r="L99" i="1"/>
  <c r="M99" i="1"/>
  <c r="N99" i="1"/>
  <c r="G197" i="1"/>
  <c r="H197" i="1"/>
  <c r="I197" i="1"/>
  <c r="K197" i="1"/>
  <c r="L197" i="1"/>
  <c r="M197" i="1"/>
  <c r="N197" i="1"/>
  <c r="O197" i="1"/>
  <c r="G189" i="1"/>
  <c r="H189" i="1"/>
  <c r="L189" i="1"/>
  <c r="M189" i="1"/>
  <c r="N189" i="1"/>
  <c r="O189" i="1"/>
  <c r="G181" i="1"/>
  <c r="H181" i="1"/>
  <c r="I181" i="1"/>
  <c r="K181" i="1"/>
  <c r="M181" i="1"/>
  <c r="N181" i="1"/>
  <c r="O181" i="1"/>
  <c r="G126" i="1"/>
  <c r="H126" i="1"/>
  <c r="I126" i="1"/>
  <c r="L126" i="1"/>
  <c r="M126" i="1"/>
  <c r="N126" i="1"/>
  <c r="G121" i="1"/>
  <c r="H121" i="1"/>
  <c r="I121" i="1"/>
  <c r="K121" i="1"/>
  <c r="L121" i="1"/>
  <c r="M121" i="1"/>
  <c r="N121" i="1"/>
  <c r="O121" i="1"/>
  <c r="G79" i="1"/>
  <c r="H79" i="1"/>
  <c r="I79" i="1"/>
  <c r="L79" i="1"/>
  <c r="M79" i="1"/>
  <c r="N79" i="1"/>
  <c r="G207" i="1"/>
  <c r="H207" i="1"/>
  <c r="I207" i="1"/>
  <c r="K207" i="1"/>
  <c r="L207" i="1"/>
  <c r="M207" i="1"/>
  <c r="N207" i="1"/>
  <c r="O207" i="1"/>
  <c r="F207" i="1" l="1"/>
  <c r="H63" i="1" l="1"/>
  <c r="H53" i="1" s="1"/>
  <c r="O162" i="1"/>
  <c r="N151" i="3" s="1"/>
  <c r="K162" i="1"/>
  <c r="J151" i="3" s="1"/>
  <c r="F192" i="1" l="1"/>
  <c r="I192" i="1"/>
  <c r="I189" i="1" s="1"/>
  <c r="F195" i="1" l="1"/>
  <c r="E131" i="3" s="1"/>
  <c r="O157" i="1"/>
  <c r="K157" i="1"/>
  <c r="F189" i="1" l="1"/>
  <c r="F181" i="1"/>
  <c r="F121" i="1"/>
  <c r="F79" i="1"/>
  <c r="E20" i="3" l="1"/>
  <c r="O126" i="1"/>
  <c r="D162" i="1" l="1"/>
  <c r="F42" i="1" l="1"/>
  <c r="F19" i="1" s="1"/>
  <c r="F203" i="1" l="1"/>
  <c r="F197" i="1" s="1"/>
  <c r="F126" i="1" l="1"/>
  <c r="O87" i="1" l="1"/>
  <c r="O80" i="1" s="1"/>
  <c r="K87" i="1"/>
  <c r="K80" i="1" s="1"/>
  <c r="O79" i="1" l="1"/>
  <c r="K79" i="1"/>
  <c r="E142" i="3"/>
  <c r="F142" i="3"/>
  <c r="G142" i="3"/>
  <c r="H142" i="3"/>
  <c r="J142" i="3"/>
  <c r="K142" i="3"/>
  <c r="L142" i="3"/>
  <c r="M142" i="3"/>
  <c r="N142" i="3"/>
  <c r="J134" i="1"/>
  <c r="E134" i="1"/>
  <c r="C134" i="1"/>
  <c r="D134" i="1"/>
  <c r="B134" i="1"/>
  <c r="P134" i="1" l="1"/>
  <c r="E21" i="3"/>
  <c r="F21" i="3"/>
  <c r="G21" i="3"/>
  <c r="H21" i="3"/>
  <c r="J21" i="3"/>
  <c r="K21" i="3"/>
  <c r="L21" i="3"/>
  <c r="M21" i="3"/>
  <c r="N21" i="3"/>
  <c r="E24" i="3"/>
  <c r="F24" i="3"/>
  <c r="G24" i="3"/>
  <c r="H24" i="3"/>
  <c r="K24" i="3"/>
  <c r="L24" i="3"/>
  <c r="M24" i="3"/>
  <c r="N24" i="3"/>
  <c r="E26" i="3"/>
  <c r="F26" i="3"/>
  <c r="G26" i="3"/>
  <c r="H26" i="3"/>
  <c r="K26" i="3"/>
  <c r="L26" i="3"/>
  <c r="M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9" i="3"/>
  <c r="F49" i="3"/>
  <c r="G49" i="3"/>
  <c r="H49" i="3"/>
  <c r="J49" i="3"/>
  <c r="K49" i="3"/>
  <c r="L49" i="3"/>
  <c r="M49" i="3"/>
  <c r="N49" i="3"/>
  <c r="E50" i="3"/>
  <c r="E40" i="3" s="1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4" i="3"/>
  <c r="F54" i="3"/>
  <c r="G54" i="3"/>
  <c r="H54" i="3"/>
  <c r="K54" i="3"/>
  <c r="L54" i="3"/>
  <c r="M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76" i="3"/>
  <c r="F76" i="3"/>
  <c r="G76" i="3"/>
  <c r="H76" i="3"/>
  <c r="J76" i="3"/>
  <c r="K76" i="3"/>
  <c r="L76" i="3"/>
  <c r="M76" i="3"/>
  <c r="N76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101" i="3"/>
  <c r="E100" i="3" s="1"/>
  <c r="F101" i="3"/>
  <c r="F100" i="3" s="1"/>
  <c r="G101" i="3"/>
  <c r="G100" i="3" s="1"/>
  <c r="H101" i="3"/>
  <c r="H100" i="3" s="1"/>
  <c r="J101" i="3"/>
  <c r="J100" i="3" s="1"/>
  <c r="K101" i="3"/>
  <c r="K100" i="3" s="1"/>
  <c r="L101" i="3"/>
  <c r="L100" i="3" s="1"/>
  <c r="M101" i="3"/>
  <c r="M100" i="3" s="1"/>
  <c r="N101" i="3"/>
  <c r="N100" i="3" s="1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1" i="3"/>
  <c r="F111" i="3"/>
  <c r="G111" i="3"/>
  <c r="H111" i="3"/>
  <c r="J111" i="3"/>
  <c r="K111" i="3"/>
  <c r="L111" i="3"/>
  <c r="M111" i="3"/>
  <c r="N111" i="3"/>
  <c r="E116" i="3"/>
  <c r="E114" i="3" s="1"/>
  <c r="F116" i="3"/>
  <c r="F114" i="3" s="1"/>
  <c r="G116" i="3"/>
  <c r="G114" i="3" s="1"/>
  <c r="H116" i="3"/>
  <c r="H114" i="3" s="1"/>
  <c r="J116" i="3"/>
  <c r="J114" i="3" s="1"/>
  <c r="K116" i="3"/>
  <c r="K114" i="3" s="1"/>
  <c r="L116" i="3"/>
  <c r="L114" i="3" s="1"/>
  <c r="M116" i="3"/>
  <c r="M114" i="3" s="1"/>
  <c r="N116" i="3"/>
  <c r="N114" i="3" s="1"/>
  <c r="E122" i="3"/>
  <c r="E121" i="3" s="1"/>
  <c r="F122" i="3"/>
  <c r="F121" i="3" s="1"/>
  <c r="G122" i="3"/>
  <c r="G121" i="3" s="1"/>
  <c r="H122" i="3"/>
  <c r="H121" i="3" s="1"/>
  <c r="J122" i="3"/>
  <c r="J121" i="3" s="1"/>
  <c r="K122" i="3"/>
  <c r="K121" i="3" s="1"/>
  <c r="L122" i="3"/>
  <c r="L121" i="3" s="1"/>
  <c r="M122" i="3"/>
  <c r="M121" i="3" s="1"/>
  <c r="N122" i="3"/>
  <c r="N121" i="3" s="1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F129" i="3"/>
  <c r="G129" i="3"/>
  <c r="H129" i="3"/>
  <c r="J129" i="3"/>
  <c r="K129" i="3"/>
  <c r="L129" i="3"/>
  <c r="M129" i="3"/>
  <c r="N129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1" i="3"/>
  <c r="E140" i="3" s="1"/>
  <c r="F141" i="3"/>
  <c r="F140" i="3" s="1"/>
  <c r="G141" i="3"/>
  <c r="H141" i="3"/>
  <c r="J141" i="3"/>
  <c r="K141" i="3"/>
  <c r="K140" i="3" s="1"/>
  <c r="L141" i="3"/>
  <c r="M141" i="3"/>
  <c r="M140" i="3" s="1"/>
  <c r="N141" i="3"/>
  <c r="E144" i="3"/>
  <c r="E143" i="3" s="1"/>
  <c r="F144" i="3"/>
  <c r="F143" i="3" s="1"/>
  <c r="G144" i="3"/>
  <c r="G143" i="3" s="1"/>
  <c r="H144" i="3"/>
  <c r="H143" i="3" s="1"/>
  <c r="J144" i="3"/>
  <c r="J143" i="3" s="1"/>
  <c r="K144" i="3"/>
  <c r="K143" i="3" s="1"/>
  <c r="L144" i="3"/>
  <c r="L143" i="3" s="1"/>
  <c r="M144" i="3"/>
  <c r="M143" i="3" s="1"/>
  <c r="N144" i="3"/>
  <c r="N143" i="3" s="1"/>
  <c r="E145" i="3"/>
  <c r="F145" i="3"/>
  <c r="G145" i="3"/>
  <c r="H145" i="3"/>
  <c r="J145" i="3"/>
  <c r="K145" i="3"/>
  <c r="L145" i="3"/>
  <c r="M145" i="3"/>
  <c r="N145" i="3"/>
  <c r="D146" i="3"/>
  <c r="E146" i="3"/>
  <c r="F146" i="3"/>
  <c r="G146" i="3"/>
  <c r="H146" i="3"/>
  <c r="J146" i="3"/>
  <c r="K146" i="3"/>
  <c r="L146" i="3"/>
  <c r="M146" i="3"/>
  <c r="N146" i="3"/>
  <c r="E149" i="3"/>
  <c r="E148" i="3" s="1"/>
  <c r="F149" i="3"/>
  <c r="F148" i="3" s="1"/>
  <c r="G149" i="3"/>
  <c r="G148" i="3" s="1"/>
  <c r="H149" i="3"/>
  <c r="H148" i="3" s="1"/>
  <c r="J149" i="3"/>
  <c r="J148" i="3" s="1"/>
  <c r="K149" i="3"/>
  <c r="K148" i="3" s="1"/>
  <c r="L149" i="3"/>
  <c r="L148" i="3" s="1"/>
  <c r="M149" i="3"/>
  <c r="M148" i="3" s="1"/>
  <c r="N149" i="3"/>
  <c r="N148" i="3" s="1"/>
  <c r="E150" i="3"/>
  <c r="F150" i="3"/>
  <c r="G150" i="3"/>
  <c r="H150" i="3"/>
  <c r="J150" i="3"/>
  <c r="K150" i="3"/>
  <c r="L150" i="3"/>
  <c r="M150" i="3"/>
  <c r="N150" i="3"/>
  <c r="O178" i="1"/>
  <c r="O167" i="1" s="1"/>
  <c r="J56" i="1"/>
  <c r="I24" i="3" s="1"/>
  <c r="J199" i="1"/>
  <c r="J200" i="1"/>
  <c r="J201" i="1"/>
  <c r="I141" i="3" s="1"/>
  <c r="J202" i="1"/>
  <c r="J203" i="1"/>
  <c r="I145" i="3" s="1"/>
  <c r="J204" i="1"/>
  <c r="I146" i="3" s="1"/>
  <c r="J205" i="1"/>
  <c r="I149" i="3" s="1"/>
  <c r="I148" i="3" s="1"/>
  <c r="J198" i="1"/>
  <c r="J191" i="1"/>
  <c r="I101" i="3" s="1"/>
  <c r="I100" i="3" s="1"/>
  <c r="J192" i="1"/>
  <c r="J193" i="1"/>
  <c r="I126" i="3" s="1"/>
  <c r="J194" i="1"/>
  <c r="I127" i="3" s="1"/>
  <c r="J195" i="1"/>
  <c r="J190" i="1"/>
  <c r="J187" i="1"/>
  <c r="J169" i="1"/>
  <c r="J170" i="1"/>
  <c r="I96" i="3" s="1"/>
  <c r="J171" i="1"/>
  <c r="J172" i="1"/>
  <c r="I105" i="3" s="1"/>
  <c r="J173" i="1"/>
  <c r="I106" i="3" s="1"/>
  <c r="J175" i="1"/>
  <c r="J182" i="1"/>
  <c r="J183" i="1"/>
  <c r="J184" i="1"/>
  <c r="J168" i="1"/>
  <c r="J165" i="1"/>
  <c r="J139" i="1"/>
  <c r="J140" i="1"/>
  <c r="J141" i="1"/>
  <c r="I91" i="3" s="1"/>
  <c r="J142" i="1"/>
  <c r="I92" i="3" s="1"/>
  <c r="J143" i="1"/>
  <c r="I93" i="3" s="1"/>
  <c r="J144" i="1"/>
  <c r="J145" i="1"/>
  <c r="J146" i="1"/>
  <c r="J147" i="1"/>
  <c r="J148" i="1"/>
  <c r="J151" i="1"/>
  <c r="I111" i="3" s="1"/>
  <c r="J156" i="1"/>
  <c r="J157" i="1"/>
  <c r="J161" i="1"/>
  <c r="J162" i="1"/>
  <c r="J138" i="1"/>
  <c r="J129" i="1"/>
  <c r="I78" i="3" s="1"/>
  <c r="J130" i="1"/>
  <c r="J131" i="1"/>
  <c r="J132" i="1"/>
  <c r="J133" i="1"/>
  <c r="J127" i="1"/>
  <c r="J123" i="1"/>
  <c r="I62" i="3" s="1"/>
  <c r="J124" i="1"/>
  <c r="I63" i="3" s="1"/>
  <c r="J122" i="1"/>
  <c r="J102" i="1"/>
  <c r="I55" i="3" s="1"/>
  <c r="J103" i="1"/>
  <c r="J104" i="1"/>
  <c r="I57" i="3" s="1"/>
  <c r="J105" i="1"/>
  <c r="J106" i="1"/>
  <c r="I59" i="3" s="1"/>
  <c r="J107" i="1"/>
  <c r="I60" i="3" s="1"/>
  <c r="J108" i="1"/>
  <c r="I61" i="3" s="1"/>
  <c r="J109" i="1"/>
  <c r="I67" i="3" s="1"/>
  <c r="J110" i="1"/>
  <c r="I68" i="3" s="1"/>
  <c r="J111" i="1"/>
  <c r="I69" i="3" s="1"/>
  <c r="J112" i="1"/>
  <c r="I70" i="3" s="1"/>
  <c r="J113" i="1"/>
  <c r="I71" i="3" s="1"/>
  <c r="J114" i="1"/>
  <c r="I72" i="3" s="1"/>
  <c r="J115" i="1"/>
  <c r="I73" i="3" s="1"/>
  <c r="J116" i="1"/>
  <c r="J117" i="1"/>
  <c r="J118" i="1"/>
  <c r="J119" i="1"/>
  <c r="J100" i="1"/>
  <c r="J83" i="1"/>
  <c r="I41" i="3" s="1"/>
  <c r="J84" i="1"/>
  <c r="J85" i="1"/>
  <c r="I43" i="3" s="1"/>
  <c r="J86" i="1"/>
  <c r="I44" i="3" s="1"/>
  <c r="J87" i="1"/>
  <c r="I45" i="3" s="1"/>
  <c r="J88" i="1"/>
  <c r="I46" i="3" s="1"/>
  <c r="J89" i="1"/>
  <c r="I47" i="3" s="1"/>
  <c r="J91" i="1"/>
  <c r="I49" i="3" s="1"/>
  <c r="J92" i="1"/>
  <c r="I50" i="3" s="1"/>
  <c r="J93" i="1"/>
  <c r="I51" i="3" s="1"/>
  <c r="J94" i="1"/>
  <c r="I52" i="3" s="1"/>
  <c r="J82" i="1"/>
  <c r="J59" i="1"/>
  <c r="J60" i="1"/>
  <c r="I28" i="3" s="1"/>
  <c r="J61" i="1"/>
  <c r="I29" i="3" s="1"/>
  <c r="J62" i="1"/>
  <c r="I30" i="3" s="1"/>
  <c r="J63" i="1"/>
  <c r="I32" i="3" s="1"/>
  <c r="J64" i="1"/>
  <c r="I33" i="3" s="1"/>
  <c r="J65" i="1"/>
  <c r="I34" i="3" s="1"/>
  <c r="J66" i="1"/>
  <c r="I35" i="3" s="1"/>
  <c r="J67" i="1"/>
  <c r="I36" i="3" s="1"/>
  <c r="J68" i="1"/>
  <c r="I37" i="3" s="1"/>
  <c r="J70" i="1"/>
  <c r="J71" i="1"/>
  <c r="J72" i="1"/>
  <c r="J76" i="1"/>
  <c r="J77" i="1"/>
  <c r="J55" i="1"/>
  <c r="J21" i="1"/>
  <c r="J22" i="1"/>
  <c r="J23" i="1"/>
  <c r="J24" i="1"/>
  <c r="I64" i="3" s="1"/>
  <c r="J25" i="1"/>
  <c r="I65" i="3" s="1"/>
  <c r="J26" i="1"/>
  <c r="J27" i="1"/>
  <c r="J28" i="1"/>
  <c r="J29" i="1"/>
  <c r="J30" i="1"/>
  <c r="J31" i="1"/>
  <c r="J32" i="1"/>
  <c r="I83" i="3" s="1"/>
  <c r="J33" i="1"/>
  <c r="I84" i="3" s="1"/>
  <c r="J34" i="1"/>
  <c r="J35" i="1"/>
  <c r="I86" i="3" s="1"/>
  <c r="J36" i="1"/>
  <c r="I87" i="3" s="1"/>
  <c r="J37" i="1"/>
  <c r="I88" i="3" s="1"/>
  <c r="I116" i="3"/>
  <c r="I114" i="3" s="1"/>
  <c r="J41" i="1"/>
  <c r="I122" i="3" s="1"/>
  <c r="I121" i="3" s="1"/>
  <c r="J42" i="1"/>
  <c r="J43" i="1"/>
  <c r="J44" i="1"/>
  <c r="I129" i="3" s="1"/>
  <c r="J45" i="1"/>
  <c r="J46" i="1"/>
  <c r="J47" i="1"/>
  <c r="I136" i="3" s="1"/>
  <c r="J48" i="1"/>
  <c r="I137" i="3" s="1"/>
  <c r="J49" i="1"/>
  <c r="J50" i="1"/>
  <c r="J51" i="1"/>
  <c r="I144" i="3" s="1"/>
  <c r="I143" i="3" s="1"/>
  <c r="J20" i="1"/>
  <c r="M40" i="3" l="1"/>
  <c r="K40" i="3"/>
  <c r="H40" i="3"/>
  <c r="F40" i="3"/>
  <c r="J81" i="1"/>
  <c r="N40" i="3"/>
  <c r="L40" i="3"/>
  <c r="J40" i="3"/>
  <c r="G40" i="3"/>
  <c r="I139" i="3"/>
  <c r="I138" i="3" s="1"/>
  <c r="I94" i="3"/>
  <c r="I21" i="3"/>
  <c r="J19" i="1"/>
  <c r="L102" i="3"/>
  <c r="G102" i="3"/>
  <c r="E102" i="3"/>
  <c r="N102" i="3"/>
  <c r="J102" i="3"/>
  <c r="M102" i="3"/>
  <c r="K102" i="3"/>
  <c r="H102" i="3"/>
  <c r="F102" i="3"/>
  <c r="M147" i="3"/>
  <c r="K147" i="3"/>
  <c r="H147" i="3"/>
  <c r="F147" i="3"/>
  <c r="N147" i="3"/>
  <c r="L147" i="3"/>
  <c r="J147" i="3"/>
  <c r="G147" i="3"/>
  <c r="E147" i="3"/>
  <c r="J54" i="1"/>
  <c r="I90" i="3"/>
  <c r="I97" i="3"/>
  <c r="J197" i="1"/>
  <c r="I20" i="3"/>
  <c r="I19" i="3" s="1"/>
  <c r="I131" i="3"/>
  <c r="K123" i="3"/>
  <c r="I151" i="3"/>
  <c r="I150" i="3" s="1"/>
  <c r="I147" i="3" s="1"/>
  <c r="N23" i="3"/>
  <c r="L23" i="3"/>
  <c r="J23" i="3"/>
  <c r="G23" i="3"/>
  <c r="E23" i="3"/>
  <c r="M23" i="3"/>
  <c r="K23" i="3"/>
  <c r="H23" i="3"/>
  <c r="F23" i="3"/>
  <c r="N89" i="3"/>
  <c r="L89" i="3"/>
  <c r="J89" i="3"/>
  <c r="G89" i="3"/>
  <c r="M89" i="3"/>
  <c r="K89" i="3"/>
  <c r="H89" i="3"/>
  <c r="F89" i="3"/>
  <c r="L53" i="3"/>
  <c r="H53" i="3"/>
  <c r="F53" i="3"/>
  <c r="M53" i="3"/>
  <c r="K53" i="3"/>
  <c r="G53" i="3"/>
  <c r="I39" i="3"/>
  <c r="N39" i="3"/>
  <c r="L39" i="3"/>
  <c r="J39" i="3"/>
  <c r="G39" i="3"/>
  <c r="E39" i="3"/>
  <c r="M39" i="3"/>
  <c r="K39" i="3"/>
  <c r="H39" i="3"/>
  <c r="F39" i="3"/>
  <c r="L22" i="3"/>
  <c r="H22" i="3"/>
  <c r="F22" i="3"/>
  <c r="M22" i="3"/>
  <c r="K22" i="3"/>
  <c r="G22" i="3"/>
  <c r="E22" i="3"/>
  <c r="I27" i="3"/>
  <c r="I23" i="3" s="1"/>
  <c r="J189" i="1"/>
  <c r="J181" i="1"/>
  <c r="J180" i="1" s="1"/>
  <c r="J178" i="1"/>
  <c r="J167" i="1" s="1"/>
  <c r="J121" i="1"/>
  <c r="I81" i="3"/>
  <c r="I79" i="3"/>
  <c r="I42" i="3"/>
  <c r="I40" i="3" s="1"/>
  <c r="I128" i="3"/>
  <c r="I80" i="3"/>
  <c r="E87" i="3"/>
  <c r="E82" i="3" s="1"/>
  <c r="I108" i="3"/>
  <c r="I104" i="3"/>
  <c r="L135" i="3"/>
  <c r="J135" i="3"/>
  <c r="G135" i="3"/>
  <c r="I76" i="3"/>
  <c r="I56" i="3"/>
  <c r="I142" i="3"/>
  <c r="I140" i="3" s="1"/>
  <c r="I124" i="3"/>
  <c r="I85" i="3"/>
  <c r="I82" i="3" s="1"/>
  <c r="I66" i="3"/>
  <c r="I74" i="3"/>
  <c r="N125" i="3"/>
  <c r="N123" i="3" s="1"/>
  <c r="N135" i="3"/>
  <c r="H135" i="3"/>
  <c r="M135" i="3"/>
  <c r="M134" i="3" s="1"/>
  <c r="K135" i="3"/>
  <c r="K134" i="3" s="1"/>
  <c r="F135" i="3"/>
  <c r="F134" i="3" s="1"/>
  <c r="E135" i="3"/>
  <c r="E134" i="3" s="1"/>
  <c r="L19" i="3"/>
  <c r="I95" i="3"/>
  <c r="I135" i="3"/>
  <c r="M82" i="3"/>
  <c r="F82" i="3"/>
  <c r="I75" i="3"/>
  <c r="I58" i="3"/>
  <c r="N140" i="3"/>
  <c r="L140" i="3"/>
  <c r="J140" i="3"/>
  <c r="H140" i="3"/>
  <c r="G140" i="3"/>
  <c r="M123" i="3"/>
  <c r="F123" i="3"/>
  <c r="K82" i="3"/>
  <c r="L77" i="3"/>
  <c r="H77" i="3"/>
  <c r="N19" i="3"/>
  <c r="J19" i="3"/>
  <c r="H19" i="3"/>
  <c r="G19" i="3"/>
  <c r="M19" i="3"/>
  <c r="K19" i="3"/>
  <c r="F19" i="3"/>
  <c r="E19" i="3"/>
  <c r="L123" i="3"/>
  <c r="H123" i="3"/>
  <c r="G123" i="3"/>
  <c r="N77" i="3"/>
  <c r="J77" i="3"/>
  <c r="G77" i="3"/>
  <c r="M77" i="3"/>
  <c r="K77" i="3"/>
  <c r="F77" i="3"/>
  <c r="E77" i="3"/>
  <c r="N82" i="3"/>
  <c r="L82" i="3"/>
  <c r="J82" i="3"/>
  <c r="H82" i="3"/>
  <c r="G82" i="3"/>
  <c r="J158" i="1"/>
  <c r="J207" i="1" l="1"/>
  <c r="I102" i="3"/>
  <c r="K154" i="3"/>
  <c r="L209" i="1" s="1"/>
  <c r="I130" i="3"/>
  <c r="G154" i="3"/>
  <c r="H209" i="1" s="1"/>
  <c r="J154" i="3"/>
  <c r="K209" i="1" s="1"/>
  <c r="N154" i="3"/>
  <c r="O209" i="1" s="1"/>
  <c r="M154" i="3"/>
  <c r="N209" i="1" s="1"/>
  <c r="H154" i="3"/>
  <c r="I209" i="1" s="1"/>
  <c r="I154" i="3"/>
  <c r="E154" i="3"/>
  <c r="F209" i="1" s="1"/>
  <c r="L154" i="3"/>
  <c r="M209" i="1" s="1"/>
  <c r="F154" i="3"/>
  <c r="G209" i="1" s="1"/>
  <c r="I89" i="3"/>
  <c r="K98" i="3"/>
  <c r="K153" i="3" s="1"/>
  <c r="H98" i="3"/>
  <c r="M98" i="3"/>
  <c r="M153" i="3" s="1"/>
  <c r="G98" i="3"/>
  <c r="L98" i="3"/>
  <c r="F98" i="3"/>
  <c r="F153" i="3" s="1"/>
  <c r="N98" i="3"/>
  <c r="I77" i="3"/>
  <c r="L134" i="3"/>
  <c r="G134" i="3"/>
  <c r="N134" i="3"/>
  <c r="J134" i="3"/>
  <c r="I134" i="3"/>
  <c r="H134" i="3"/>
  <c r="E201" i="1"/>
  <c r="D141" i="3" s="1"/>
  <c r="C201" i="1"/>
  <c r="D201" i="1"/>
  <c r="B201" i="1"/>
  <c r="J209" i="1" l="1"/>
  <c r="E97" i="3"/>
  <c r="E89" i="3" s="1"/>
  <c r="G153" i="3"/>
  <c r="L153" i="3"/>
  <c r="H153" i="3"/>
  <c r="E129" i="3"/>
  <c r="E123" i="3" s="1"/>
  <c r="E98" i="3" s="1"/>
  <c r="J96" i="1"/>
  <c r="J80" i="1" s="1"/>
  <c r="P201" i="1"/>
  <c r="O141" i="3" s="1"/>
  <c r="I125" i="3" l="1"/>
  <c r="I123" i="3" s="1"/>
  <c r="I98" i="3" s="1"/>
  <c r="J79" i="1"/>
  <c r="E151" i="1" l="1"/>
  <c r="C151" i="1"/>
  <c r="D151" i="1"/>
  <c r="B151" i="1"/>
  <c r="D111" i="3" l="1"/>
  <c r="P151" i="1"/>
  <c r="O111" i="3" s="1"/>
  <c r="F112" i="1"/>
  <c r="E70" i="3" l="1"/>
  <c r="F99" i="1"/>
  <c r="E53" i="3"/>
  <c r="E153" i="3" s="1"/>
  <c r="J24" i="3"/>
  <c r="N26" i="3" l="1"/>
  <c r="J26" i="3"/>
  <c r="J22" i="3" s="1"/>
  <c r="J58" i="1"/>
  <c r="J53" i="1" s="1"/>
  <c r="I26" i="3" l="1"/>
  <c r="N31" i="3"/>
  <c r="N22" i="3" s="1"/>
  <c r="J128" i="1"/>
  <c r="J126" i="1" s="1"/>
  <c r="D45" i="1"/>
  <c r="D184" i="1"/>
  <c r="D158" i="1"/>
  <c r="C130" i="1"/>
  <c r="D130" i="1"/>
  <c r="B130" i="1"/>
  <c r="D123" i="1"/>
  <c r="D68" i="1"/>
  <c r="D66" i="1"/>
  <c r="P204" i="1"/>
  <c r="O146" i="3" s="1"/>
  <c r="E199" i="1"/>
  <c r="E200" i="1"/>
  <c r="E202" i="1"/>
  <c r="E203" i="1"/>
  <c r="D145" i="3" s="1"/>
  <c r="E205" i="1"/>
  <c r="D149" i="3" s="1"/>
  <c r="D148" i="3" s="1"/>
  <c r="E198" i="1"/>
  <c r="K196" i="1"/>
  <c r="L196" i="1"/>
  <c r="M196" i="1"/>
  <c r="N196" i="1"/>
  <c r="O196" i="1"/>
  <c r="F196" i="1"/>
  <c r="G196" i="1"/>
  <c r="H196" i="1"/>
  <c r="I196" i="1"/>
  <c r="E191" i="1"/>
  <c r="D101" i="3" s="1"/>
  <c r="D100" i="3" s="1"/>
  <c r="E192" i="1"/>
  <c r="E193" i="1"/>
  <c r="D126" i="3" s="1"/>
  <c r="E194" i="1"/>
  <c r="D127" i="3" s="1"/>
  <c r="E195" i="1"/>
  <c r="E190" i="1"/>
  <c r="K188" i="1"/>
  <c r="L188" i="1"/>
  <c r="M188" i="1"/>
  <c r="N188" i="1"/>
  <c r="O188" i="1"/>
  <c r="F188" i="1"/>
  <c r="G188" i="1"/>
  <c r="H188" i="1"/>
  <c r="I188" i="1"/>
  <c r="J186" i="1"/>
  <c r="J185" i="1" s="1"/>
  <c r="E187" i="1"/>
  <c r="K186" i="1"/>
  <c r="K185" i="1" s="1"/>
  <c r="L186" i="1"/>
  <c r="L185" i="1" s="1"/>
  <c r="M186" i="1"/>
  <c r="M185" i="1" s="1"/>
  <c r="N186" i="1"/>
  <c r="N185" i="1" s="1"/>
  <c r="O186" i="1"/>
  <c r="O185" i="1" s="1"/>
  <c r="F186" i="1"/>
  <c r="F185" i="1" s="1"/>
  <c r="G186" i="1"/>
  <c r="G185" i="1" s="1"/>
  <c r="H186" i="1"/>
  <c r="H185" i="1" s="1"/>
  <c r="I186" i="1"/>
  <c r="I185" i="1" s="1"/>
  <c r="E186" i="1"/>
  <c r="E185" i="1" s="1"/>
  <c r="E183" i="1"/>
  <c r="E184" i="1"/>
  <c r="E182" i="1"/>
  <c r="K180" i="1"/>
  <c r="L180" i="1"/>
  <c r="M180" i="1"/>
  <c r="N180" i="1"/>
  <c r="O180" i="1"/>
  <c r="F180" i="1"/>
  <c r="G180" i="1"/>
  <c r="H180" i="1"/>
  <c r="I180" i="1"/>
  <c r="E169" i="1"/>
  <c r="E170" i="1"/>
  <c r="D96" i="3" s="1"/>
  <c r="E171" i="1"/>
  <c r="E172" i="1"/>
  <c r="D105" i="3" s="1"/>
  <c r="E173" i="1"/>
  <c r="D106" i="3" s="1"/>
  <c r="E175" i="1"/>
  <c r="E178" i="1"/>
  <c r="E168" i="1"/>
  <c r="K166" i="1"/>
  <c r="M166" i="1"/>
  <c r="N166" i="1"/>
  <c r="O166" i="1"/>
  <c r="F166" i="1"/>
  <c r="G166" i="1"/>
  <c r="H166" i="1"/>
  <c r="I166" i="1"/>
  <c r="J164" i="1"/>
  <c r="J163" i="1" s="1"/>
  <c r="E165" i="1"/>
  <c r="E164" i="1" s="1"/>
  <c r="E163" i="1" s="1"/>
  <c r="K164" i="1"/>
  <c r="K163" i="1" s="1"/>
  <c r="L164" i="1"/>
  <c r="L163" i="1" s="1"/>
  <c r="M164" i="1"/>
  <c r="M163" i="1" s="1"/>
  <c r="N164" i="1"/>
  <c r="N163" i="1" s="1"/>
  <c r="O164" i="1"/>
  <c r="O163" i="1" s="1"/>
  <c r="F164" i="1"/>
  <c r="F163" i="1" s="1"/>
  <c r="G164" i="1"/>
  <c r="G163" i="1" s="1"/>
  <c r="H164" i="1"/>
  <c r="H163" i="1" s="1"/>
  <c r="I164" i="1"/>
  <c r="I163" i="1" s="1"/>
  <c r="E139" i="1"/>
  <c r="P139" i="1" s="1"/>
  <c r="E140" i="1"/>
  <c r="D90" i="3" s="1"/>
  <c r="E141" i="1"/>
  <c r="E142" i="1"/>
  <c r="D92" i="3" s="1"/>
  <c r="E143" i="1"/>
  <c r="E144" i="1"/>
  <c r="E145" i="1"/>
  <c r="E146" i="1"/>
  <c r="E147" i="1"/>
  <c r="E148" i="1"/>
  <c r="P148" i="1" s="1"/>
  <c r="E156" i="1"/>
  <c r="E157" i="1"/>
  <c r="P157" i="1" s="1"/>
  <c r="E158" i="1"/>
  <c r="P158" i="1" s="1"/>
  <c r="E161" i="1"/>
  <c r="P161" i="1" s="1"/>
  <c r="E162" i="1"/>
  <c r="E138" i="1"/>
  <c r="K135" i="1"/>
  <c r="L135" i="1"/>
  <c r="M135" i="1"/>
  <c r="N135" i="1"/>
  <c r="O135" i="1"/>
  <c r="F135" i="1"/>
  <c r="G135" i="1"/>
  <c r="H135" i="1"/>
  <c r="I135" i="1"/>
  <c r="E128" i="1"/>
  <c r="D31" i="3" s="1"/>
  <c r="E129" i="1"/>
  <c r="D78" i="3" s="1"/>
  <c r="E130" i="1"/>
  <c r="E131" i="1"/>
  <c r="E132" i="1"/>
  <c r="E133" i="1"/>
  <c r="E127" i="1"/>
  <c r="K125" i="1"/>
  <c r="L125" i="1"/>
  <c r="M125" i="1"/>
  <c r="N125" i="1"/>
  <c r="F125" i="1"/>
  <c r="G125" i="1"/>
  <c r="H125" i="1"/>
  <c r="I125" i="1"/>
  <c r="E123" i="1"/>
  <c r="D62" i="3" s="1"/>
  <c r="E124" i="1"/>
  <c r="D63" i="3" s="1"/>
  <c r="E122" i="1"/>
  <c r="K120" i="1"/>
  <c r="L120" i="1"/>
  <c r="M120" i="1"/>
  <c r="N120" i="1"/>
  <c r="O120" i="1"/>
  <c r="F120" i="1"/>
  <c r="G120" i="1"/>
  <c r="H120" i="1"/>
  <c r="I120" i="1"/>
  <c r="E101" i="1"/>
  <c r="D54" i="3" s="1"/>
  <c r="E102" i="1"/>
  <c r="D55" i="3" s="1"/>
  <c r="E103" i="1"/>
  <c r="E104" i="1"/>
  <c r="D57" i="3" s="1"/>
  <c r="E105" i="1"/>
  <c r="E106" i="1"/>
  <c r="D59" i="3" s="1"/>
  <c r="E107" i="1"/>
  <c r="D60" i="3" s="1"/>
  <c r="E108" i="1"/>
  <c r="D61" i="3" s="1"/>
  <c r="E109" i="1"/>
  <c r="D67" i="3" s="1"/>
  <c r="E110" i="1"/>
  <c r="E111" i="1"/>
  <c r="D69" i="3" s="1"/>
  <c r="E112" i="1"/>
  <c r="D70" i="3" s="1"/>
  <c r="E113" i="1"/>
  <c r="D71" i="3" s="1"/>
  <c r="E114" i="1"/>
  <c r="D72" i="3" s="1"/>
  <c r="E115" i="1"/>
  <c r="D73" i="3" s="1"/>
  <c r="E116" i="1"/>
  <c r="E117" i="1"/>
  <c r="E118" i="1"/>
  <c r="P118" i="1" s="1"/>
  <c r="E119" i="1"/>
  <c r="E100" i="1"/>
  <c r="L98" i="1"/>
  <c r="M98" i="1"/>
  <c r="N98" i="1"/>
  <c r="F98" i="1"/>
  <c r="G98" i="1"/>
  <c r="H98" i="1"/>
  <c r="I98" i="1"/>
  <c r="E83" i="1"/>
  <c r="D41" i="3" s="1"/>
  <c r="E84" i="1"/>
  <c r="E85" i="1"/>
  <c r="D43" i="3" s="1"/>
  <c r="E86" i="1"/>
  <c r="D44" i="3" s="1"/>
  <c r="E87" i="1"/>
  <c r="D45" i="3" s="1"/>
  <c r="E88" i="1"/>
  <c r="D46" i="3" s="1"/>
  <c r="E89" i="1"/>
  <c r="D47" i="3" s="1"/>
  <c r="E91" i="1"/>
  <c r="D49" i="3" s="1"/>
  <c r="E92" i="1"/>
  <c r="E93" i="1"/>
  <c r="D51" i="3" s="1"/>
  <c r="E94" i="1"/>
  <c r="D52" i="3" s="1"/>
  <c r="E96" i="1"/>
  <c r="E82" i="1"/>
  <c r="K52" i="1"/>
  <c r="L52" i="1"/>
  <c r="M52" i="1"/>
  <c r="N52" i="1"/>
  <c r="O52" i="1"/>
  <c r="F52" i="1"/>
  <c r="G52" i="1"/>
  <c r="H52" i="1"/>
  <c r="I52" i="1"/>
  <c r="E56" i="1"/>
  <c r="D24" i="3" s="1"/>
  <c r="E58" i="1"/>
  <c r="E59" i="1"/>
  <c r="E60" i="1"/>
  <c r="D28" i="3" s="1"/>
  <c r="E61" i="1"/>
  <c r="D29" i="3" s="1"/>
  <c r="E62" i="1"/>
  <c r="D30" i="3" s="1"/>
  <c r="E63" i="1"/>
  <c r="D32" i="3" s="1"/>
  <c r="E64" i="1"/>
  <c r="D33" i="3" s="1"/>
  <c r="E65" i="1"/>
  <c r="D34" i="3" s="1"/>
  <c r="E66" i="1"/>
  <c r="D35" i="3" s="1"/>
  <c r="E67" i="1"/>
  <c r="D36" i="3" s="1"/>
  <c r="E68" i="1"/>
  <c r="D37" i="3" s="1"/>
  <c r="E70" i="1"/>
  <c r="E71" i="1"/>
  <c r="E72" i="1"/>
  <c r="E76" i="1"/>
  <c r="E77" i="1"/>
  <c r="P77" i="1" s="1"/>
  <c r="E55" i="1"/>
  <c r="E53" i="1" s="1"/>
  <c r="E21" i="1"/>
  <c r="D21" i="3" s="1"/>
  <c r="E22" i="1"/>
  <c r="E23" i="1"/>
  <c r="E24" i="1"/>
  <c r="D64" i="3" s="1"/>
  <c r="E25" i="1"/>
  <c r="D65" i="3" s="1"/>
  <c r="E26" i="1"/>
  <c r="E27" i="1"/>
  <c r="E28" i="1"/>
  <c r="E29" i="1"/>
  <c r="E30" i="1"/>
  <c r="E31" i="1"/>
  <c r="E32" i="1"/>
  <c r="D83" i="3" s="1"/>
  <c r="E33" i="1"/>
  <c r="D84" i="3" s="1"/>
  <c r="E34" i="1"/>
  <c r="E35" i="1"/>
  <c r="D86" i="3" s="1"/>
  <c r="E36" i="1"/>
  <c r="D87" i="3" s="1"/>
  <c r="E37" i="1"/>
  <c r="D88" i="3" s="1"/>
  <c r="E38" i="1"/>
  <c r="D116" i="3" s="1"/>
  <c r="D114" i="3" s="1"/>
  <c r="E41" i="1"/>
  <c r="D122" i="3" s="1"/>
  <c r="D121" i="3" s="1"/>
  <c r="E42" i="1"/>
  <c r="E43" i="1"/>
  <c r="E44" i="1"/>
  <c r="D129" i="3" s="1"/>
  <c r="E45" i="1"/>
  <c r="E46" i="1"/>
  <c r="E47" i="1"/>
  <c r="D136" i="3" s="1"/>
  <c r="E48" i="1"/>
  <c r="D137" i="3" s="1"/>
  <c r="E49" i="1"/>
  <c r="E50" i="1"/>
  <c r="E51" i="1"/>
  <c r="D144" i="3" s="1"/>
  <c r="D143" i="3" s="1"/>
  <c r="E20" i="1"/>
  <c r="E19" i="1" s="1"/>
  <c r="K18" i="1"/>
  <c r="M18" i="1"/>
  <c r="N18" i="1"/>
  <c r="O18" i="1"/>
  <c r="F18" i="1"/>
  <c r="G18" i="1"/>
  <c r="H18" i="1"/>
  <c r="I18" i="1"/>
  <c r="L18" i="1"/>
  <c r="D50" i="3" l="1"/>
  <c r="E81" i="1"/>
  <c r="D93" i="3"/>
  <c r="D139" i="3"/>
  <c r="D138" i="3" s="1"/>
  <c r="D94" i="3"/>
  <c r="E80" i="1"/>
  <c r="E79" i="1" s="1"/>
  <c r="E167" i="1"/>
  <c r="E166" i="1" s="1"/>
  <c r="D130" i="3"/>
  <c r="E135" i="1"/>
  <c r="E54" i="1"/>
  <c r="D26" i="3"/>
  <c r="D22" i="3" s="1"/>
  <c r="E52" i="1"/>
  <c r="D97" i="3"/>
  <c r="E197" i="1"/>
  <c r="E196" i="1" s="1"/>
  <c r="H206" i="1"/>
  <c r="H208" i="1" s="1"/>
  <c r="N206" i="1"/>
  <c r="N208" i="1" s="1"/>
  <c r="D131" i="3"/>
  <c r="I206" i="1"/>
  <c r="I208" i="1" s="1"/>
  <c r="M206" i="1"/>
  <c r="M208" i="1" s="1"/>
  <c r="P162" i="1"/>
  <c r="D151" i="3"/>
  <c r="D150" i="3" s="1"/>
  <c r="D147" i="3" s="1"/>
  <c r="E99" i="1"/>
  <c r="E98" i="1" s="1"/>
  <c r="G206" i="1"/>
  <c r="G208" i="1" s="1"/>
  <c r="F206" i="1"/>
  <c r="F208" i="1" s="1"/>
  <c r="D20" i="3"/>
  <c r="D19" i="3" s="1"/>
  <c r="D91" i="3"/>
  <c r="D39" i="3"/>
  <c r="D27" i="3"/>
  <c r="D23" i="3" s="1"/>
  <c r="E181" i="1"/>
  <c r="E180" i="1" s="1"/>
  <c r="E189" i="1"/>
  <c r="E188" i="1" s="1"/>
  <c r="D95" i="3"/>
  <c r="E126" i="1"/>
  <c r="E125" i="1" s="1"/>
  <c r="E121" i="1"/>
  <c r="E120" i="1" s="1"/>
  <c r="D128" i="3"/>
  <c r="E18" i="1"/>
  <c r="D42" i="3"/>
  <c r="D68" i="3"/>
  <c r="D124" i="3"/>
  <c r="P138" i="1"/>
  <c r="O125" i="1"/>
  <c r="D80" i="3"/>
  <c r="D125" i="3"/>
  <c r="D74" i="3"/>
  <c r="D104" i="3"/>
  <c r="D142" i="3"/>
  <c r="D140" i="3" s="1"/>
  <c r="D81" i="3"/>
  <c r="D79" i="3"/>
  <c r="D108" i="3"/>
  <c r="I31" i="3"/>
  <c r="I22" i="3" s="1"/>
  <c r="J125" i="1"/>
  <c r="D135" i="3"/>
  <c r="D76" i="3"/>
  <c r="D85" i="3"/>
  <c r="D82" i="3" s="1"/>
  <c r="D66" i="3"/>
  <c r="P119" i="1"/>
  <c r="D75" i="3"/>
  <c r="D58" i="3"/>
  <c r="D56" i="3"/>
  <c r="P20" i="1"/>
  <c r="P50" i="1"/>
  <c r="P48" i="1"/>
  <c r="O137" i="3" s="1"/>
  <c r="P46" i="1"/>
  <c r="P44" i="1"/>
  <c r="O129" i="3" s="1"/>
  <c r="P42" i="1"/>
  <c r="P72" i="1"/>
  <c r="P70" i="1"/>
  <c r="P68" i="1"/>
  <c r="O37" i="3" s="1"/>
  <c r="P67" i="1"/>
  <c r="O36" i="3" s="1"/>
  <c r="P66" i="1"/>
  <c r="O35" i="3" s="1"/>
  <c r="P64" i="1"/>
  <c r="O33" i="3" s="1"/>
  <c r="P62" i="1"/>
  <c r="O30" i="3" s="1"/>
  <c r="P60" i="1"/>
  <c r="O28" i="3" s="1"/>
  <c r="P58" i="1"/>
  <c r="O26" i="3" s="1"/>
  <c r="P82" i="1"/>
  <c r="P115" i="1"/>
  <c r="O73" i="3" s="1"/>
  <c r="P113" i="1"/>
  <c r="O71" i="3" s="1"/>
  <c r="P111" i="1"/>
  <c r="O69" i="3" s="1"/>
  <c r="P109" i="1"/>
  <c r="O67" i="3" s="1"/>
  <c r="P107" i="1"/>
  <c r="O60" i="3" s="1"/>
  <c r="P105" i="1"/>
  <c r="P103" i="1"/>
  <c r="P146" i="1"/>
  <c r="P144" i="1"/>
  <c r="P141" i="1"/>
  <c r="O91" i="3" s="1"/>
  <c r="P172" i="1"/>
  <c r="O105" i="3" s="1"/>
  <c r="P205" i="1"/>
  <c r="O149" i="3" s="1"/>
  <c r="O148" i="3" s="1"/>
  <c r="P51" i="1"/>
  <c r="O144" i="3" s="1"/>
  <c r="O143" i="3" s="1"/>
  <c r="P49" i="1"/>
  <c r="P47" i="1"/>
  <c r="O136" i="3" s="1"/>
  <c r="P45" i="1"/>
  <c r="J123" i="3" s="1"/>
  <c r="J98" i="3" s="1"/>
  <c r="P43" i="1"/>
  <c r="O128" i="3" s="1"/>
  <c r="P41" i="1"/>
  <c r="O122" i="3" s="1"/>
  <c r="O121" i="3" s="1"/>
  <c r="P76" i="1"/>
  <c r="P71" i="1"/>
  <c r="P65" i="1"/>
  <c r="O34" i="3" s="1"/>
  <c r="P63" i="1"/>
  <c r="O32" i="3" s="1"/>
  <c r="P61" i="1"/>
  <c r="O29" i="3" s="1"/>
  <c r="P59" i="1"/>
  <c r="P100" i="1"/>
  <c r="P116" i="1"/>
  <c r="O74" i="3" s="1"/>
  <c r="P114" i="1"/>
  <c r="O72" i="3" s="1"/>
  <c r="P112" i="1"/>
  <c r="O70" i="3" s="1"/>
  <c r="P110" i="1"/>
  <c r="O68" i="3" s="1"/>
  <c r="P108" i="1"/>
  <c r="O61" i="3" s="1"/>
  <c r="P106" i="1"/>
  <c r="O59" i="3" s="1"/>
  <c r="P104" i="1"/>
  <c r="O57" i="3" s="1"/>
  <c r="P102" i="1"/>
  <c r="O55" i="3" s="1"/>
  <c r="P145" i="1"/>
  <c r="P143" i="1"/>
  <c r="P142" i="1"/>
  <c r="O92" i="3" s="1"/>
  <c r="P173" i="1"/>
  <c r="O106" i="3" s="1"/>
  <c r="P198" i="1"/>
  <c r="J135" i="1"/>
  <c r="P156" i="1"/>
  <c r="P182" i="1"/>
  <c r="P183" i="1"/>
  <c r="P193" i="1"/>
  <c r="O126" i="3" s="1"/>
  <c r="J188" i="1"/>
  <c r="P202" i="1"/>
  <c r="P199" i="1"/>
  <c r="P124" i="1"/>
  <c r="O63" i="3" s="1"/>
  <c r="P123" i="1"/>
  <c r="O62" i="3" s="1"/>
  <c r="P38" i="1"/>
  <c r="O116" i="3" s="1"/>
  <c r="O114" i="3" s="1"/>
  <c r="P34" i="1"/>
  <c r="P32" i="1"/>
  <c r="O83" i="3" s="1"/>
  <c r="P30" i="1"/>
  <c r="P28" i="1"/>
  <c r="P26" i="1"/>
  <c r="P24" i="1"/>
  <c r="O64" i="3" s="1"/>
  <c r="P22" i="1"/>
  <c r="P127" i="1"/>
  <c r="P178" i="1"/>
  <c r="P187" i="1"/>
  <c r="P186" i="1" s="1"/>
  <c r="P185" i="1" s="1"/>
  <c r="P194" i="1"/>
  <c r="O127" i="3" s="1"/>
  <c r="P192" i="1"/>
  <c r="P191" i="1"/>
  <c r="O101" i="3" s="1"/>
  <c r="O100" i="3" s="1"/>
  <c r="P195" i="1"/>
  <c r="P147" i="1"/>
  <c r="P37" i="1"/>
  <c r="O88" i="3" s="1"/>
  <c r="P35" i="1"/>
  <c r="O86" i="3" s="1"/>
  <c r="P33" i="1"/>
  <c r="O84" i="3" s="1"/>
  <c r="P31" i="1"/>
  <c r="P27" i="1"/>
  <c r="P25" i="1"/>
  <c r="O65" i="3" s="1"/>
  <c r="P23" i="1"/>
  <c r="P96" i="1"/>
  <c r="P94" i="1"/>
  <c r="O52" i="3" s="1"/>
  <c r="P93" i="1"/>
  <c r="O51" i="3" s="1"/>
  <c r="P91" i="1"/>
  <c r="O49" i="3" s="1"/>
  <c r="P89" i="1"/>
  <c r="O47" i="3" s="1"/>
  <c r="P87" i="1"/>
  <c r="O45" i="3" s="1"/>
  <c r="P85" i="1"/>
  <c r="O43" i="3" s="1"/>
  <c r="P83" i="1"/>
  <c r="O41" i="3" s="1"/>
  <c r="P92" i="1"/>
  <c r="P88" i="1"/>
  <c r="O46" i="3" s="1"/>
  <c r="P86" i="1"/>
  <c r="O44" i="3" s="1"/>
  <c r="P84" i="1"/>
  <c r="J120" i="1"/>
  <c r="P132" i="1"/>
  <c r="P133" i="1"/>
  <c r="P129" i="1"/>
  <c r="O78" i="3" s="1"/>
  <c r="P175" i="1"/>
  <c r="P171" i="1"/>
  <c r="P21" i="1"/>
  <c r="O21" i="3" s="1"/>
  <c r="P29" i="1"/>
  <c r="P140" i="1"/>
  <c r="O90" i="3" s="1"/>
  <c r="P184" i="1"/>
  <c r="P36" i="1"/>
  <c r="O87" i="3" s="1"/>
  <c r="P56" i="1"/>
  <c r="O24" i="3" s="1"/>
  <c r="P122" i="1"/>
  <c r="P131" i="1"/>
  <c r="P130" i="1"/>
  <c r="P200" i="1"/>
  <c r="P168" i="1"/>
  <c r="P169" i="1"/>
  <c r="P203" i="1"/>
  <c r="O145" i="3" s="1"/>
  <c r="J196" i="1"/>
  <c r="J52" i="1"/>
  <c r="P190" i="1"/>
  <c r="P165" i="1"/>
  <c r="P164" i="1" s="1"/>
  <c r="P163" i="1" s="1"/>
  <c r="P55" i="1"/>
  <c r="J18" i="1"/>
  <c r="P117" i="1"/>
  <c r="P128" i="1"/>
  <c r="O31" i="3" s="1"/>
  <c r="D40" i="3" l="1"/>
  <c r="O50" i="3"/>
  <c r="P81" i="1"/>
  <c r="P53" i="1"/>
  <c r="O93" i="3"/>
  <c r="O139" i="3"/>
  <c r="O138" i="3" s="1"/>
  <c r="O94" i="3"/>
  <c r="P19" i="1"/>
  <c r="E207" i="1"/>
  <c r="P80" i="1"/>
  <c r="P79" i="1" s="1"/>
  <c r="D102" i="3"/>
  <c r="D154" i="3"/>
  <c r="O130" i="3"/>
  <c r="O108" i="3"/>
  <c r="P52" i="1"/>
  <c r="P54" i="1"/>
  <c r="O131" i="3"/>
  <c r="O20" i="3"/>
  <c r="O19" i="3" s="1"/>
  <c r="O97" i="3"/>
  <c r="O151" i="3"/>
  <c r="O150" i="3" s="1"/>
  <c r="O147" i="3" s="1"/>
  <c r="D89" i="3"/>
  <c r="E206" i="1"/>
  <c r="D53" i="3"/>
  <c r="O39" i="3"/>
  <c r="O22" i="3"/>
  <c r="O27" i="3"/>
  <c r="O23" i="3" s="1"/>
  <c r="P197" i="1"/>
  <c r="P189" i="1"/>
  <c r="P181" i="1"/>
  <c r="P126" i="1"/>
  <c r="P121" i="1"/>
  <c r="O42" i="3"/>
  <c r="O104" i="3"/>
  <c r="D123" i="3"/>
  <c r="O75" i="3"/>
  <c r="D134" i="3"/>
  <c r="D77" i="3"/>
  <c r="O124" i="3"/>
  <c r="O142" i="3"/>
  <c r="O140" i="3" s="1"/>
  <c r="O135" i="3"/>
  <c r="O95" i="3"/>
  <c r="O81" i="3"/>
  <c r="O80" i="3"/>
  <c r="O76" i="3"/>
  <c r="O58" i="3"/>
  <c r="O85" i="3"/>
  <c r="O82" i="3" s="1"/>
  <c r="O79" i="3"/>
  <c r="O125" i="3"/>
  <c r="O56" i="3"/>
  <c r="O66" i="3"/>
  <c r="L166" i="1"/>
  <c r="L206" i="1" s="1"/>
  <c r="L208" i="1" s="1"/>
  <c r="O40" i="3" l="1"/>
  <c r="O154" i="3" s="1"/>
  <c r="E209" i="1"/>
  <c r="P207" i="1"/>
  <c r="D98" i="3"/>
  <c r="D153" i="3" s="1"/>
  <c r="E208" i="1" s="1"/>
  <c r="O102" i="3"/>
  <c r="O134" i="3"/>
  <c r="O123" i="3"/>
  <c r="O77" i="3"/>
  <c r="P170" i="1"/>
  <c r="P167" i="1" s="1"/>
  <c r="J166" i="1"/>
  <c r="O98" i="3" l="1"/>
  <c r="P209" i="1"/>
  <c r="O96" i="3"/>
  <c r="O89" i="3" s="1"/>
  <c r="O101" i="1" l="1"/>
  <c r="K101" i="1"/>
  <c r="K99" i="1" s="1"/>
  <c r="J54" i="3" l="1"/>
  <c r="J53" i="3" s="1"/>
  <c r="J153" i="3" s="1"/>
  <c r="K98" i="1"/>
  <c r="K206" i="1" s="1"/>
  <c r="N54" i="3"/>
  <c r="O99" i="1"/>
  <c r="O98" i="1" s="1"/>
  <c r="O206" i="1" s="1"/>
  <c r="N53" i="3"/>
  <c r="N153" i="3" s="1"/>
  <c r="J101" i="1"/>
  <c r="O208" i="1" l="1"/>
  <c r="K208" i="1"/>
  <c r="I54" i="3"/>
  <c r="I53" i="3" s="1"/>
  <c r="I153" i="3" s="1"/>
  <c r="J99" i="1"/>
  <c r="P101" i="1"/>
  <c r="P18" i="1"/>
  <c r="P180" i="1"/>
  <c r="P196" i="1"/>
  <c r="O54" i="3" l="1"/>
  <c r="P99" i="1"/>
  <c r="P98" i="1" s="1"/>
  <c r="O53" i="3"/>
  <c r="O153" i="3" s="1"/>
  <c r="J98" i="1"/>
  <c r="J206" i="1" s="1"/>
  <c r="J208" i="1" s="1"/>
  <c r="P188" i="1"/>
  <c r="P166" i="1"/>
  <c r="P135" i="1"/>
  <c r="P125" i="1"/>
  <c r="P120" i="1"/>
  <c r="P206" i="1" l="1"/>
  <c r="P208" i="1" s="1"/>
  <c r="C48" i="1" l="1"/>
  <c r="C200" i="1" l="1"/>
  <c r="D200" i="1"/>
  <c r="B200" i="1"/>
  <c r="C157" i="1"/>
  <c r="D157" i="1"/>
  <c r="B157" i="1"/>
  <c r="C104" i="1" l="1"/>
  <c r="D104" i="1"/>
  <c r="B104" i="1"/>
  <c r="C29" i="1"/>
  <c r="D29" i="1"/>
  <c r="B29" i="1"/>
  <c r="C71" i="1"/>
  <c r="D71" i="1"/>
  <c r="B71" i="1"/>
  <c r="B91" i="1"/>
  <c r="C91" i="1"/>
  <c r="D91" i="1"/>
  <c r="D92" i="1"/>
  <c r="B110" i="1"/>
  <c r="C110" i="1"/>
  <c r="D110" i="1"/>
  <c r="B111" i="1"/>
  <c r="C111" i="1"/>
  <c r="D111" i="1"/>
  <c r="C107" i="1"/>
  <c r="D107" i="1"/>
  <c r="B107" i="1"/>
  <c r="C184" i="1"/>
  <c r="B184" i="1"/>
  <c r="C183" i="1"/>
  <c r="D183" i="1"/>
  <c r="B183" i="1"/>
  <c r="D94" i="1"/>
  <c r="C94" i="1"/>
  <c r="B94" i="1"/>
  <c r="C93" i="1"/>
  <c r="D93" i="1"/>
  <c r="B93" i="1"/>
  <c r="C45" i="1"/>
  <c r="B45" i="1"/>
  <c r="C119" i="1"/>
  <c r="B119" i="1"/>
  <c r="C117" i="1"/>
  <c r="D117" i="1"/>
  <c r="C118" i="1"/>
  <c r="D118" i="1"/>
  <c r="B118" i="1"/>
  <c r="B117" i="1"/>
  <c r="C116" i="1"/>
  <c r="D116" i="1"/>
  <c r="B116" i="1"/>
  <c r="C115" i="1"/>
  <c r="D115" i="1"/>
  <c r="B115" i="1"/>
  <c r="C114" i="1"/>
  <c r="D114" i="1"/>
  <c r="B114" i="1"/>
  <c r="C113" i="1"/>
  <c r="D113" i="1"/>
  <c r="B113" i="1"/>
  <c r="C112" i="1"/>
  <c r="D112" i="1"/>
  <c r="B112" i="1"/>
  <c r="C109" i="1"/>
  <c r="D109" i="1"/>
  <c r="B109" i="1"/>
  <c r="C108" i="1"/>
  <c r="D108" i="1"/>
  <c r="B108" i="1"/>
  <c r="C106" i="1"/>
  <c r="D106" i="1"/>
  <c r="B106" i="1"/>
  <c r="C105" i="1"/>
  <c r="D105" i="1"/>
  <c r="B105" i="1"/>
  <c r="C103" i="1"/>
  <c r="D103" i="1"/>
  <c r="B103" i="1"/>
  <c r="C102" i="1"/>
  <c r="B102" i="1"/>
  <c r="C101" i="1"/>
  <c r="D101" i="1"/>
  <c r="B101" i="1"/>
  <c r="C96" i="1"/>
  <c r="D96" i="1"/>
  <c r="B96" i="1"/>
  <c r="C89" i="1"/>
  <c r="D89" i="1"/>
  <c r="B89" i="1"/>
  <c r="C87" i="1"/>
  <c r="D87" i="1"/>
  <c r="B87" i="1"/>
  <c r="C85" i="1"/>
  <c r="D85" i="1"/>
  <c r="B85" i="1"/>
  <c r="C83" i="1"/>
  <c r="D83" i="1"/>
  <c r="B83" i="1"/>
  <c r="C77" i="1"/>
  <c r="D77" i="1"/>
  <c r="B77" i="1"/>
  <c r="C76" i="1"/>
  <c r="D76" i="1"/>
  <c r="B76" i="1"/>
  <c r="C72" i="1"/>
  <c r="D72" i="1"/>
  <c r="B72" i="1"/>
  <c r="D70" i="1"/>
  <c r="C70" i="1"/>
  <c r="B70" i="1"/>
  <c r="C66" i="1"/>
  <c r="C67" i="1"/>
  <c r="D67" i="1"/>
  <c r="B67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38" i="1"/>
  <c r="D38" i="1"/>
  <c r="B38" i="1"/>
  <c r="C27" i="1"/>
  <c r="D27" i="1"/>
  <c r="C28" i="1"/>
  <c r="D28" i="1"/>
  <c r="B28" i="1"/>
  <c r="B27" i="1"/>
  <c r="C30" i="1"/>
  <c r="D30" i="1"/>
  <c r="C31" i="1"/>
  <c r="D31" i="1"/>
  <c r="B31" i="1"/>
  <c r="B30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D124" i="1"/>
  <c r="C124" i="1"/>
  <c r="B124" i="1"/>
  <c r="C128" i="1"/>
  <c r="D128" i="1"/>
  <c r="B128" i="1"/>
  <c r="C129" i="1"/>
  <c r="D129" i="1"/>
  <c r="B129" i="1"/>
  <c r="C131" i="1"/>
  <c r="D131" i="1"/>
  <c r="C132" i="1"/>
  <c r="D132" i="1"/>
  <c r="B132" i="1"/>
  <c r="B131" i="1"/>
  <c r="C133" i="1"/>
  <c r="D133" i="1"/>
  <c r="B133" i="1"/>
  <c r="C139" i="1"/>
  <c r="D139" i="1"/>
  <c r="B139" i="1"/>
  <c r="C143" i="1"/>
  <c r="D143" i="1"/>
  <c r="B143" i="1"/>
  <c r="C142" i="1"/>
  <c r="D142" i="1"/>
  <c r="B142" i="1"/>
  <c r="C141" i="1"/>
  <c r="D141" i="1"/>
  <c r="B141" i="1"/>
  <c r="C140" i="1"/>
  <c r="D140" i="1"/>
  <c r="B140" i="1"/>
  <c r="C144" i="1"/>
  <c r="D144" i="1"/>
  <c r="B144" i="1"/>
  <c r="C145" i="1"/>
  <c r="D145" i="1"/>
  <c r="B145" i="1"/>
  <c r="C146" i="1"/>
  <c r="D146" i="1"/>
  <c r="B146" i="1"/>
  <c r="C147" i="1"/>
  <c r="D147" i="1"/>
  <c r="B147" i="1"/>
  <c r="C148" i="1"/>
  <c r="D148" i="1"/>
  <c r="B148" i="1"/>
  <c r="C156" i="1"/>
  <c r="D156" i="1"/>
  <c r="B156" i="1"/>
  <c r="C161" i="1"/>
  <c r="D161" i="1"/>
  <c r="B161" i="1"/>
  <c r="C162" i="1"/>
  <c r="B162" i="1"/>
  <c r="C169" i="1"/>
  <c r="D169" i="1"/>
  <c r="B169" i="1"/>
  <c r="C170" i="1"/>
  <c r="D170" i="1"/>
  <c r="B170" i="1"/>
  <c r="C171" i="1"/>
  <c r="D171" i="1"/>
  <c r="B171" i="1"/>
  <c r="C173" i="1"/>
  <c r="D173" i="1"/>
  <c r="B173" i="1"/>
  <c r="C172" i="1"/>
  <c r="D172" i="1"/>
  <c r="B172" i="1"/>
  <c r="C175" i="1"/>
  <c r="D175" i="1"/>
  <c r="B175" i="1"/>
  <c r="C178" i="1"/>
  <c r="D178" i="1"/>
  <c r="B178" i="1"/>
  <c r="C191" i="1"/>
  <c r="D191" i="1"/>
  <c r="B191" i="1"/>
  <c r="C192" i="1"/>
  <c r="D192" i="1"/>
  <c r="B192" i="1"/>
  <c r="C193" i="1"/>
  <c r="D193" i="1"/>
  <c r="B193" i="1"/>
  <c r="C194" i="1"/>
  <c r="D194" i="1"/>
  <c r="B194" i="1"/>
  <c r="C195" i="1"/>
  <c r="D195" i="1"/>
  <c r="B195" i="1"/>
  <c r="C199" i="1"/>
  <c r="D199" i="1"/>
  <c r="B199" i="1"/>
  <c r="C202" i="1"/>
  <c r="D202" i="1"/>
  <c r="B202" i="1"/>
  <c r="C203" i="1"/>
  <c r="D203" i="1"/>
  <c r="B203" i="1"/>
  <c r="C204" i="1"/>
  <c r="D204" i="1"/>
  <c r="B204" i="1"/>
  <c r="C205" i="1"/>
  <c r="D205" i="1"/>
  <c r="B205" i="1"/>
  <c r="C198" i="1"/>
  <c r="B198" i="1"/>
  <c r="C190" i="1"/>
  <c r="B190" i="1"/>
  <c r="C187" i="1"/>
  <c r="B187" i="1"/>
  <c r="C182" i="1"/>
  <c r="B182" i="1"/>
  <c r="C168" i="1"/>
  <c r="B168" i="1"/>
  <c r="C165" i="1"/>
  <c r="B165" i="1"/>
  <c r="C138" i="1"/>
  <c r="B138" i="1"/>
  <c r="C127" i="1"/>
  <c r="B127" i="1"/>
  <c r="C122" i="1"/>
  <c r="B122" i="1"/>
  <c r="C100" i="1"/>
  <c r="B100" i="1"/>
  <c r="C82" i="1"/>
  <c r="B82" i="1"/>
  <c r="C55" i="1"/>
  <c r="B55" i="1"/>
  <c r="C20" i="1"/>
  <c r="B20" i="1"/>
  <c r="D198" i="1"/>
  <c r="D190" i="1"/>
  <c r="D187" i="1"/>
  <c r="D182" i="1"/>
  <c r="D168" i="1"/>
  <c r="D165" i="1"/>
  <c r="D138" i="1"/>
  <c r="D127" i="1"/>
  <c r="D122" i="1"/>
  <c r="D100" i="1"/>
  <c r="D82" i="1"/>
  <c r="D55" i="1"/>
  <c r="D20" i="1"/>
</calcChain>
</file>

<file path=xl/sharedStrings.xml><?xml version="1.0" encoding="utf-8"?>
<sst xmlns="http://schemas.openxmlformats.org/spreadsheetml/2006/main" count="624" uniqueCount="477">
  <si>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</si>
  <si>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</si>
  <si>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</si>
  <si>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</si>
  <si>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</si>
  <si>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</si>
  <si>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</si>
  <si>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</si>
  <si>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</si>
  <si>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</si>
  <si>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</si>
  <si>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</si>
  <si>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</si>
  <si>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</si>
  <si>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</si>
  <si>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</si>
  <si>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</si>
  <si>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</si>
  <si>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</si>
  <si>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</si>
  <si>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</si>
  <si>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</si>
  <si>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</si>
  <si>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</si>
  <si>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</si>
  <si>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</si>
  <si>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</si>
  <si>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</si>
  <si>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</si>
  <si>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</si>
  <si>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</si>
  <si>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</si>
  <si>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</si>
  <si>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</si>
  <si>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</si>
  <si>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</si>
  <si>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</si>
  <si>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</si>
  <si>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</si>
  <si>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</si>
  <si>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</si>
  <si>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</si>
  <si>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</si>
  <si>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</si>
  <si>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</si>
  <si>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</si>
  <si>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</si>
  <si>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</si>
  <si>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</si>
  <si>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</si>
  <si>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</si>
  <si>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</si>
  <si>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</si>
  <si>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</si>
  <si>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</si>
  <si>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</si>
  <si>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</si>
  <si>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</si>
  <si>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</si>
  <si>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</si>
  <si>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</si>
  <si>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</si>
  <si>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</si>
  <si>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</si>
  <si>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</si>
  <si>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</si>
  <si>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</si>
  <si>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</si>
  <si>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</si>
  <si>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</si>
  <si>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</si>
  <si>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</si>
  <si>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</si>
  <si>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</si>
  <si>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</si>
  <si>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</si>
  <si>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</si>
  <si>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</si>
  <si>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</si>
  <si>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</si>
  <si>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</si>
  <si>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</si>
  <si>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</si>
  <si>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</si>
  <si>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</si>
  <si>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</si>
  <si>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</si>
  <si>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</si>
  <si>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</si>
  <si>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</si>
  <si>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</si>
  <si>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</si>
  <si>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</si>
  <si>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</si>
  <si>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</si>
  <si>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</si>
  <si>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</si>
  <si>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</si>
  <si>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</si>
  <si>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</si>
  <si>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</si>
  <si>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</si>
  <si>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</si>
  <si>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</si>
  <si>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</si>
  <si>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</si>
  <si>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</si>
  <si>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</si>
  <si>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</si>
  <si>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</si>
  <si>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</si>
  <si>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</si>
  <si>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</si>
  <si>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</si>
  <si>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</si>
  <si>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</si>
  <si>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</si>
  <si>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</si>
  <si>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</si>
  <si>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</si>
  <si>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</si>
  <si>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</si>
  <si>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</si>
  <si>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</si>
  <si>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</si>
  <si>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</si>
  <si>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</si>
  <si>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</si>
  <si>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</si>
  <si>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</si>
  <si>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</si>
  <si>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</si>
  <si>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</si>
  <si>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</si>
  <si>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</si>
  <si>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</si>
  <si>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</si>
  <si>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</si>
  <si>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</si>
  <si>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</si>
  <si>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</si>
  <si>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</si>
  <si>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</si>
  <si>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</si>
  <si>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</si>
  <si>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</si>
  <si>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</si>
  <si>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</si>
  <si>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</si>
  <si>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</si>
  <si>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</si>
  <si>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</si>
  <si>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</si>
  <si>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</si>
  <si>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</si>
  <si>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</si>
  <si>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</si>
  <si>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</si>
  <si>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</si>
  <si>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</si>
  <si>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</si>
  <si>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</si>
  <si>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</si>
  <si>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</si>
  <si>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</si>
  <si>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</si>
  <si>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</si>
  <si>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</si>
  <si>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</si>
  <si>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</si>
  <si>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</si>
  <si>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</si>
  <si>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</si>
  <si>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</si>
  <si>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</si>
  <si>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</si>
  <si>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</si>
  <si>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</si>
  <si>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</si>
  <si>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</si>
  <si>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</si>
  <si>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</si>
  <si>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</si>
  <si>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</si>
  <si>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</si>
  <si>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</si>
  <si>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</si>
  <si>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</si>
  <si>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</si>
  <si>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</si>
  <si>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</si>
  <si>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</si>
  <si>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</si>
  <si>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</si>
  <si>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</si>
  <si>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</si>
  <si>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</si>
  <si>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</si>
  <si>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</si>
  <si>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</si>
  <si>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</si>
  <si>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</si>
  <si>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</si>
  <si>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</si>
  <si>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</si>
  <si>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</si>
  <si>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</si>
  <si>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</si>
  <si>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</si>
  <si>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</si>
  <si>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</si>
  <si>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</si>
  <si>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</si>
  <si>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</si>
  <si>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</si>
  <si>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</si>
  <si>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</si>
  <si>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</si>
  <si>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</si>
  <si>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</si>
  <si>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</si>
  <si>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</si>
  <si>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</si>
  <si>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</si>
  <si>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</si>
  <si>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</si>
  <si>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</si>
  <si>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</si>
  <si>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</si>
  <si>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</si>
  <si>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</si>
  <si>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</si>
  <si>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</si>
  <si>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</si>
  <si>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</si>
  <si>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</si>
  <si>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</si>
  <si>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</si>
  <si>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</si>
  <si>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</si>
  <si>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</si>
  <si>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</si>
  <si>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</si>
  <si>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</si>
  <si>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</si>
  <si>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</si>
  <si>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</si>
  <si>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</si>
  <si>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</si>
  <si>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</si>
  <si>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</si>
  <si>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</si>
  <si>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</si>
  <si>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</si>
  <si>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</si>
  <si>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</si>
  <si>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</si>
  <si>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</si>
  <si>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</si>
  <si>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</si>
  <si>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</si>
  <si>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</si>
  <si>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</si>
  <si>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</si>
  <si>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</si>
  <si>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</si>
  <si>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</si>
  <si>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</si>
  <si>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</si>
  <si>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</si>
  <si>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</si>
  <si>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</si>
  <si>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</si>
  <si>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</si>
  <si>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</si>
  <si>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</si>
  <si>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</si>
  <si>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</si>
  <si>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</si>
  <si>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</si>
  <si>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</si>
  <si>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</si>
  <si>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</si>
  <si>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</si>
  <si>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</si>
  <si>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</si>
  <si>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</si>
  <si>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</si>
  <si>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</si>
  <si>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</si>
  <si>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</si>
  <si>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</si>
  <si>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</si>
  <si>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</si>
  <si>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</si>
  <si>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</si>
  <si>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</si>
  <si>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</si>
  <si>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</si>
  <si>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</si>
  <si>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</si>
  <si>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</si>
  <si>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</si>
  <si>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</si>
  <si>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</si>
  <si>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</si>
  <si>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</si>
  <si>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</si>
  <si>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</si>
  <si>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</si>
  <si>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</si>
  <si>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</si>
  <si>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</si>
  <si>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</si>
  <si>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</si>
  <si>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</si>
  <si>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</si>
  <si>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</si>
  <si>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</si>
  <si>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</si>
  <si>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</si>
  <si>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</si>
  <si>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</si>
  <si>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</si>
  <si>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</si>
  <si>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</si>
  <si>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</si>
  <si>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</si>
  <si>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</si>
  <si>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</si>
  <si>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</si>
  <si>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</si>
  <si>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</si>
  <si>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</si>
  <si>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</si>
  <si>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</si>
  <si>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</si>
  <si>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</si>
  <si>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</si>
  <si>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</si>
  <si>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</si>
  <si>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</si>
  <si>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</si>
  <si>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</si>
  <si>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</si>
  <si>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</si>
  <si>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</si>
  <si>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</si>
  <si>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</si>
  <si>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</si>
  <si>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</si>
  <si>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</si>
  <si>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</si>
  <si>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</si>
  <si>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</si>
  <si>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</si>
  <si>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</si>
  <si>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</si>
  <si>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</si>
  <si>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</si>
  <si>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</si>
  <si>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</si>
  <si>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</si>
  <si>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</si>
  <si>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</si>
  <si>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</si>
  <si>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</si>
  <si>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</si>
  <si>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</si>
  <si>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</si>
  <si>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</si>
  <si>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</si>
  <si>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</si>
  <si>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</si>
  <si>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</si>
  <si>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</si>
  <si>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</si>
  <si>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</si>
  <si>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</si>
  <si>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</si>
  <si>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</si>
  <si>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</si>
  <si>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</si>
  <si>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</si>
  <si>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</si>
  <si>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</si>
  <si>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</si>
  <si>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</si>
  <si>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</si>
  <si>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</si>
  <si>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</si>
  <si>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</si>
  <si>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</si>
  <si>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</si>
  <si>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</si>
  <si>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</si>
  <si>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</si>
  <si>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</si>
  <si>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</si>
  <si>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</si>
  <si>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</si>
  <si>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</si>
  <si>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</si>
  <si>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</si>
  <si>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</si>
  <si>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</si>
  <si>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</si>
  <si>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</si>
  <si>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</si>
  <si>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</si>
  <si>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</si>
  <si>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</si>
  <si>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</si>
  <si>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</si>
  <si>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</si>
  <si>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</si>
  <si>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</si>
  <si>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</si>
  <si>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</si>
  <si>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</si>
  <si>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</si>
  <si>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</si>
  <si>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</si>
  <si>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</si>
  <si>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</si>
  <si>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</si>
  <si>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</si>
  <si>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</si>
  <si>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</si>
  <si>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</si>
  <si>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</si>
  <si>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</si>
  <si>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</si>
  <si>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</si>
  <si>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</si>
  <si>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</si>
  <si>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</si>
  <si>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</si>
  <si>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</si>
  <si>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</si>
  <si>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</si>
  <si>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</si>
  <si>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</si>
  <si>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</si>
  <si>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</si>
  <si>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</si>
  <si>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</si>
  <si>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</si>
  <si>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</si>
  <si>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</si>
  <si>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</si>
  <si>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</si>
  <si>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</si>
  <si>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</si>
  <si>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</si>
  <si>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</si>
  <si>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</si>
  <si>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>Сумський міський голова</t>
  </si>
  <si>
    <t>О.М. Лисенко</t>
  </si>
  <si>
    <t>Виконавець: Липова С.А.</t>
  </si>
  <si>
    <t xml:space="preserve"> __________________</t>
  </si>
  <si>
    <t>(зі змінами)»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</si>
  <si>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</si>
  <si>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</si>
  <si>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</si>
  <si>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</si>
  <si>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</si>
  <si>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</si>
  <si>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 xml:space="preserve">                        Додаток № 3</t>
  </si>
  <si>
    <t>1218110</t>
  </si>
  <si>
    <t xml:space="preserve">територіальної   громади    на   2020   рік»  </t>
  </si>
  <si>
    <t>0617321</t>
  </si>
  <si>
    <t xml:space="preserve">                        Додаток № 4</t>
  </si>
  <si>
    <t>від  13  травня  2020  року   № 6729 -  МР</t>
  </si>
  <si>
    <t>від  13  травня   2020   року   № 6729 -  МР</t>
  </si>
  <si>
    <t xml:space="preserve">територіальної   громади    на    2020   рік» </t>
  </si>
  <si>
    <t xml:space="preserve">    код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</si>
</sst>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63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 wrapText="1"/>
    </xf>
    <xf numFmtId="49" fontId="44" fillId="0" borderId="0" xfId="0" applyNumberFormat="1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top"/>
    </xf>
    <xf numFmtId="0" fontId="47" fillId="0" borderId="0" xfId="0" applyNumberFormat="1" applyFont="1" applyFill="1" applyAlignment="1" applyProtection="1"/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1" fontId="23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Alignment="1" applyProtection="1">
      <alignment horizontal="center" vertical="top"/>
    </xf>
    <xf numFmtId="3" fontId="40" fillId="0" borderId="0" xfId="0" applyNumberFormat="1" applyFont="1" applyFill="1" applyBorder="1" applyAlignment="1">
      <alignment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706"/>
  <sheetViews>
    <sheetView showGridLines="0" showZeros="0" tabSelected="1" view="pageBreakPreview" zoomScale="76" zoomScaleNormal="71" zoomScaleSheetLayoutView="76" workbookViewId="0">
      <selection activeCell="D4" sqref="D4"/>
    </sheetView>
  </sheetViews>
  <sheetFormatPr defaultColWidth="9.1640625" defaultRowHeight="15" x14ac:dyDescent="0.25"/>
  <cols>
    <col min="1" max="1" width="16.6640625" style="92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81" customWidth="1"/>
    <col min="17" max="529" width="9.1640625" style="34"/>
    <col min="530" max="16384" width="9.1640625" style="20"/>
  </cols>
  <sheetData>
    <row r="1" spans="1:529" ht="26.25" customHeight="1" x14ac:dyDescent="0.25">
      <c r="K1" s="132" t="s">
        <v>450</v>
      </c>
      <c r="L1" s="151" t="s">
        <v>468</v>
      </c>
      <c r="M1" s="151"/>
      <c r="N1" s="151"/>
      <c r="O1" s="151"/>
      <c r="P1" s="123"/>
    </row>
    <row r="2" spans="1:529" ht="26.25" customHeight="1" x14ac:dyDescent="0.25">
      <c r="K2" s="132"/>
      <c r="L2" s="123" t="s">
        <v>453</v>
      </c>
      <c r="M2" s="123"/>
      <c r="N2" s="123"/>
      <c r="O2" s="123"/>
      <c r="P2" s="94"/>
    </row>
    <row r="3" spans="1:529" ht="26.25" customHeight="1" x14ac:dyDescent="0.25">
      <c r="K3" s="132"/>
      <c r="L3" s="153" t="s">
        <v>454</v>
      </c>
      <c r="M3" s="153"/>
      <c r="N3" s="153"/>
      <c r="O3" s="153"/>
      <c r="P3" s="153"/>
    </row>
    <row r="4" spans="1:529" ht="26.25" customHeight="1" x14ac:dyDescent="0.25">
      <c r="K4" s="132"/>
      <c r="L4" s="152" t="s">
        <v>455</v>
      </c>
      <c r="M4" s="152"/>
      <c r="N4" s="152"/>
      <c r="O4" s="152"/>
      <c r="P4" s="152"/>
    </row>
    <row r="5" spans="1:529" ht="26.25" customHeight="1" x14ac:dyDescent="0.25">
      <c r="K5" s="132"/>
      <c r="L5" s="123" t="s">
        <v>456</v>
      </c>
      <c r="M5" s="123"/>
      <c r="N5" s="123"/>
      <c r="O5" s="123"/>
      <c r="P5" s="123"/>
    </row>
    <row r="6" spans="1:529" ht="23.25" customHeight="1" x14ac:dyDescent="0.25">
      <c r="K6" s="135"/>
      <c r="L6" s="123" t="s">
        <v>462</v>
      </c>
      <c r="M6" s="123"/>
      <c r="N6" s="123"/>
      <c r="O6" s="123"/>
      <c r="P6" s="123"/>
    </row>
    <row r="7" spans="1:529" ht="26.25" customHeight="1" x14ac:dyDescent="0.25">
      <c r="K7" s="115"/>
      <c r="L7" s="123" t="s">
        <v>475</v>
      </c>
      <c r="M7" s="123"/>
      <c r="N7" s="123"/>
      <c r="O7" s="123"/>
      <c r="P7" s="123"/>
      <c r="Q7" s="115"/>
    </row>
    <row r="8" spans="1:529" ht="26.25" customHeight="1" x14ac:dyDescent="0.25">
      <c r="K8" s="149"/>
      <c r="L8" s="149" t="s">
        <v>461</v>
      </c>
      <c r="M8" s="149"/>
      <c r="N8" s="149"/>
      <c r="O8" s="149"/>
      <c r="P8" s="149"/>
      <c r="Q8" s="149"/>
    </row>
    <row r="9" spans="1:529" ht="26.25" x14ac:dyDescent="0.4">
      <c r="L9" s="113" t="s">
        <v>474</v>
      </c>
      <c r="M9" s="113"/>
      <c r="N9" s="113"/>
      <c r="O9" s="113"/>
      <c r="P9" s="113"/>
    </row>
    <row r="10" spans="1:529" ht="26.25" x14ac:dyDescent="0.4">
      <c r="L10" s="113"/>
      <c r="M10" s="113"/>
      <c r="N10" s="113"/>
      <c r="O10" s="113"/>
      <c r="P10" s="113"/>
    </row>
    <row r="11" spans="1:529" s="56" customFormat="1" ht="59.25" customHeight="1" x14ac:dyDescent="0.3">
      <c r="A11" s="156" t="s">
        <v>418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</row>
    <row r="12" spans="1:529" s="56" customFormat="1" ht="42" customHeight="1" x14ac:dyDescent="0.3">
      <c r="A12" s="136" t="s">
        <v>424</v>
      </c>
      <c r="B12" s="136"/>
      <c r="C12" s="120"/>
      <c r="D12" s="120"/>
      <c r="E12" s="120"/>
      <c r="F12" s="120"/>
      <c r="G12" s="120"/>
      <c r="H12" s="120"/>
      <c r="I12" s="120"/>
      <c r="J12" s="120"/>
      <c r="K12" s="97"/>
      <c r="L12" s="97"/>
      <c r="M12" s="97"/>
      <c r="N12" s="97"/>
      <c r="O12" s="97"/>
      <c r="P12" s="97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</row>
    <row r="13" spans="1:529" s="56" customFormat="1" ht="31.5" customHeight="1" x14ac:dyDescent="0.3">
      <c r="A13" s="137" t="s">
        <v>476</v>
      </c>
      <c r="B13" s="137"/>
      <c r="C13" s="120"/>
      <c r="D13" s="120"/>
      <c r="E13" s="120"/>
      <c r="F13" s="120"/>
      <c r="G13" s="120"/>
      <c r="H13" s="120"/>
      <c r="I13" s="120"/>
      <c r="J13" s="120"/>
      <c r="K13" s="97"/>
      <c r="L13" s="97"/>
      <c r="M13" s="97"/>
      <c r="N13" s="97"/>
      <c r="O13" s="97"/>
      <c r="P13" s="97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</row>
    <row r="14" spans="1:529" s="58" customFormat="1" ht="14.25" customHeight="1" x14ac:dyDescent="0.3">
      <c r="A14" s="86"/>
      <c r="B14" s="63"/>
      <c r="C14" s="63"/>
      <c r="D14" s="19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22" t="s">
        <v>420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</row>
    <row r="15" spans="1:529" s="21" customFormat="1" ht="34.5" customHeight="1" x14ac:dyDescent="0.2">
      <c r="A15" s="157" t="s">
        <v>397</v>
      </c>
      <c r="B15" s="155" t="s">
        <v>398</v>
      </c>
      <c r="C15" s="155" t="s">
        <v>384</v>
      </c>
      <c r="D15" s="155" t="s">
        <v>399</v>
      </c>
      <c r="E15" s="155" t="s">
        <v>265</v>
      </c>
      <c r="F15" s="155"/>
      <c r="G15" s="155"/>
      <c r="H15" s="155"/>
      <c r="I15" s="155"/>
      <c r="J15" s="155" t="s">
        <v>266</v>
      </c>
      <c r="K15" s="155"/>
      <c r="L15" s="155"/>
      <c r="M15" s="155"/>
      <c r="N15" s="155"/>
      <c r="O15" s="155"/>
      <c r="P15" s="155" t="s">
        <v>267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57"/>
      <c r="B16" s="155"/>
      <c r="C16" s="155"/>
      <c r="D16" s="155"/>
      <c r="E16" s="155" t="s">
        <v>385</v>
      </c>
      <c r="F16" s="155" t="s">
        <v>268</v>
      </c>
      <c r="G16" s="155" t="s">
        <v>269</v>
      </c>
      <c r="H16" s="155"/>
      <c r="I16" s="155" t="s">
        <v>270</v>
      </c>
      <c r="J16" s="155" t="s">
        <v>385</v>
      </c>
      <c r="K16" s="155" t="s">
        <v>386</v>
      </c>
      <c r="L16" s="155" t="s">
        <v>268</v>
      </c>
      <c r="M16" s="155" t="s">
        <v>269</v>
      </c>
      <c r="N16" s="155"/>
      <c r="O16" s="155" t="s">
        <v>270</v>
      </c>
      <c r="P16" s="15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54" customHeight="1" x14ac:dyDescent="0.2">
      <c r="A17" s="157"/>
      <c r="B17" s="155"/>
      <c r="C17" s="155"/>
      <c r="D17" s="155"/>
      <c r="E17" s="155"/>
      <c r="F17" s="155"/>
      <c r="G17" s="121" t="s">
        <v>271</v>
      </c>
      <c r="H17" s="121" t="s">
        <v>272</v>
      </c>
      <c r="I17" s="155"/>
      <c r="J17" s="155"/>
      <c r="K17" s="155"/>
      <c r="L17" s="155"/>
      <c r="M17" s="79" t="s">
        <v>271</v>
      </c>
      <c r="N17" s="79" t="s">
        <v>272</v>
      </c>
      <c r="O17" s="155"/>
      <c r="P17" s="15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87" t="s">
        <v>180</v>
      </c>
      <c r="B18" s="65"/>
      <c r="C18" s="65"/>
      <c r="D18" s="32" t="s">
        <v>48</v>
      </c>
      <c r="E18" s="66">
        <f>E19</f>
        <v>201732503</v>
      </c>
      <c r="F18" s="66">
        <f t="shared" ref="F18:J18" si="0">F19</f>
        <v>173732503</v>
      </c>
      <c r="G18" s="66">
        <f t="shared" si="0"/>
        <v>93283855</v>
      </c>
      <c r="H18" s="66">
        <f t="shared" si="0"/>
        <v>5289300</v>
      </c>
      <c r="I18" s="66">
        <f t="shared" si="0"/>
        <v>28000000</v>
      </c>
      <c r="J18" s="66">
        <f t="shared" si="0"/>
        <v>34689593.200000003</v>
      </c>
      <c r="K18" s="66">
        <f t="shared" ref="K18" si="1">K19</f>
        <v>34172750</v>
      </c>
      <c r="L18" s="66">
        <f t="shared" ref="L18" si="2">L19</f>
        <v>516843.2</v>
      </c>
      <c r="M18" s="66">
        <f t="shared" ref="M18" si="3">M19</f>
        <v>91105</v>
      </c>
      <c r="N18" s="66">
        <f t="shared" ref="N18" si="4">N19</f>
        <v>52450</v>
      </c>
      <c r="O18" s="66">
        <f t="shared" ref="O18:P18" si="5">O19</f>
        <v>34172750</v>
      </c>
      <c r="P18" s="66">
        <f t="shared" si="5"/>
        <v>236422096.19999999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19.5" customHeight="1" x14ac:dyDescent="0.25">
      <c r="A19" s="77" t="s">
        <v>181</v>
      </c>
      <c r="B19" s="67"/>
      <c r="C19" s="67"/>
      <c r="D19" s="33" t="s">
        <v>48</v>
      </c>
      <c r="E19" s="68">
        <f>E20+E21+E22+E23+E24+E25+E26+E27+E28+E29+E30+E31+E32+E33+E34+E35+E36+E37+E38+E41+E42+E43+E44+E45+E46+E47+E48+E49+E50+E51+E39+E40</f>
        <v>201732503</v>
      </c>
      <c r="F19" s="68">
        <f t="shared" ref="F19:P19" si="6">F20+F21+F22+F23+F24+F25+F26+F27+F28+F29+F30+F31+F32+F33+F34+F35+F36+F37+F38+F41+F42+F43+F44+F45+F46+F47+F48+F49+F50+F51+F39+F40</f>
        <v>173732503</v>
      </c>
      <c r="G19" s="68">
        <f t="shared" si="6"/>
        <v>93283855</v>
      </c>
      <c r="H19" s="68">
        <f t="shared" si="6"/>
        <v>5289300</v>
      </c>
      <c r="I19" s="68">
        <f t="shared" si="6"/>
        <v>28000000</v>
      </c>
      <c r="J19" s="68">
        <f t="shared" si="6"/>
        <v>34689593.200000003</v>
      </c>
      <c r="K19" s="68">
        <f t="shared" si="6"/>
        <v>34172750</v>
      </c>
      <c r="L19" s="68">
        <f t="shared" si="6"/>
        <v>516843.2</v>
      </c>
      <c r="M19" s="68">
        <f t="shared" si="6"/>
        <v>91105</v>
      </c>
      <c r="N19" s="68">
        <f t="shared" si="6"/>
        <v>52450</v>
      </c>
      <c r="O19" s="68">
        <f t="shared" si="6"/>
        <v>34172750</v>
      </c>
      <c r="P19" s="68">
        <f t="shared" si="6"/>
        <v>236422096.19999999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23" customFormat="1" ht="46.5" customHeight="1" x14ac:dyDescent="0.25">
      <c r="A20" s="43" t="s">
        <v>182</v>
      </c>
      <c r="B20" s="44" t="str">
        <f>'дод 4'!A20</f>
        <v>0160</v>
      </c>
      <c r="C20" s="44" t="str">
        <f>'дод 4'!B20</f>
        <v>0111</v>
      </c>
      <c r="D20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0" s="69">
        <f t="shared" ref="E20:E51" si="7">F20+I20</f>
        <v>100069882</v>
      </c>
      <c r="F20" s="69">
        <f>105070300+350000+405400-4697800+243482-1103300+14800-213000</f>
        <v>100069882</v>
      </c>
      <c r="G20" s="69">
        <f>77144000-3850700+199575-174600</f>
        <v>73318275</v>
      </c>
      <c r="H20" s="69">
        <v>2750400</v>
      </c>
      <c r="I20" s="69"/>
      <c r="J20" s="69">
        <f>L20+O20</f>
        <v>1230200</v>
      </c>
      <c r="K20" s="69">
        <v>1230200</v>
      </c>
      <c r="L20" s="69"/>
      <c r="M20" s="69"/>
      <c r="N20" s="69"/>
      <c r="O20" s="69">
        <v>1230200</v>
      </c>
      <c r="P20" s="69">
        <f t="shared" ref="P20:P51" si="8">E20+J20</f>
        <v>101300082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</row>
    <row r="21" spans="1:529" s="23" customFormat="1" ht="21.75" customHeight="1" x14ac:dyDescent="0.25">
      <c r="A21" s="43" t="s">
        <v>283</v>
      </c>
      <c r="B21" s="44" t="str">
        <f>'дод 4'!A21</f>
        <v>0180</v>
      </c>
      <c r="C21" s="44" t="str">
        <f>'дод 4'!B21</f>
        <v>0133</v>
      </c>
      <c r="D21" s="24" t="str">
        <f>'дод 4'!C21</f>
        <v>Інша діяльність у сфері державного управління</v>
      </c>
      <c r="E21" s="69">
        <f t="shared" si="7"/>
        <v>310000</v>
      </c>
      <c r="F21" s="69">
        <v>310000</v>
      </c>
      <c r="G21" s="69"/>
      <c r="H21" s="69"/>
      <c r="I21" s="69"/>
      <c r="J21" s="69">
        <f t="shared" ref="J21:J51" si="9">L21+O21</f>
        <v>0</v>
      </c>
      <c r="K21" s="69"/>
      <c r="L21" s="69"/>
      <c r="M21" s="69"/>
      <c r="N21" s="69"/>
      <c r="O21" s="69"/>
      <c r="P21" s="69">
        <f t="shared" si="8"/>
        <v>310000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43.5" customHeight="1" x14ac:dyDescent="0.25">
      <c r="A22" s="43" t="s">
        <v>299</v>
      </c>
      <c r="B22" s="44" t="str">
        <f>'дод 4'!A56</f>
        <v>3033</v>
      </c>
      <c r="C22" s="44" t="str">
        <f>'дод 4'!B56</f>
        <v>1070</v>
      </c>
      <c r="D22" s="24" t="str">
        <f>'дод 4'!C56</f>
        <v>Компенсаційні виплати на пільговий проїзд автомобільним транспортом окремим категоріям громадян</v>
      </c>
      <c r="E22" s="69">
        <f t="shared" si="7"/>
        <v>124200</v>
      </c>
      <c r="F22" s="69">
        <v>124200</v>
      </c>
      <c r="G22" s="69"/>
      <c r="H22" s="69"/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124200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6.75" customHeight="1" x14ac:dyDescent="0.25">
      <c r="A23" s="43" t="s">
        <v>183</v>
      </c>
      <c r="B23" s="44" t="str">
        <f>'дод 4'!A58</f>
        <v>3036</v>
      </c>
      <c r="C23" s="44" t="str">
        <f>'дод 4'!B58</f>
        <v>1070</v>
      </c>
      <c r="D23" s="24" t="str">
        <f>'дод 4'!C58</f>
        <v>Компенсаційні виплати на пільговий проїзд електротранспортом окремим категоріям громадян</v>
      </c>
      <c r="E23" s="69">
        <f t="shared" si="7"/>
        <v>270325</v>
      </c>
      <c r="F23" s="69">
        <v>270325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270325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6" customHeight="1" x14ac:dyDescent="0.25">
      <c r="A24" s="43" t="s">
        <v>184</v>
      </c>
      <c r="B24" s="44" t="str">
        <f>'дод 4'!A64</f>
        <v>3121</v>
      </c>
      <c r="C24" s="44" t="str">
        <f>'дод 4'!B64</f>
        <v>1040</v>
      </c>
      <c r="D24" s="24" t="str">
        <f>'дод 4'!C64</f>
        <v>Утримання та забезпечення діяльності центрів соціальних служб для сім’ї, дітей та молоді</v>
      </c>
      <c r="E24" s="69">
        <f t="shared" si="7"/>
        <v>2529735</v>
      </c>
      <c r="F24" s="69">
        <f>2487735+42000</f>
        <v>2529735</v>
      </c>
      <c r="G24" s="69">
        <v>1883250</v>
      </c>
      <c r="H24" s="69">
        <v>50170</v>
      </c>
      <c r="I24" s="69"/>
      <c r="J24" s="69">
        <f t="shared" si="9"/>
        <v>0</v>
      </c>
      <c r="K24" s="69"/>
      <c r="L24" s="69"/>
      <c r="M24" s="69"/>
      <c r="N24" s="69"/>
      <c r="O24" s="69"/>
      <c r="P24" s="69">
        <f t="shared" si="8"/>
        <v>2529735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48.75" customHeight="1" x14ac:dyDescent="0.25">
      <c r="A25" s="43" t="s">
        <v>185</v>
      </c>
      <c r="B25" s="44" t="str">
        <f>'дод 4'!A65</f>
        <v>3131</v>
      </c>
      <c r="C25" s="44" t="str">
        <f>'дод 4'!B65</f>
        <v>1040</v>
      </c>
      <c r="D25" s="24" t="str">
        <f>'дод 4'!C65</f>
        <v>Здійснення заходів та реалізація проектів на виконання Державної цільової соціальної програми "Молодь України"</v>
      </c>
      <c r="E25" s="69">
        <f t="shared" si="7"/>
        <v>850000</v>
      </c>
      <c r="F25" s="69">
        <v>850000</v>
      </c>
      <c r="G25" s="69"/>
      <c r="H25" s="69"/>
      <c r="I25" s="69"/>
      <c r="J25" s="69">
        <f t="shared" si="9"/>
        <v>0</v>
      </c>
      <c r="K25" s="69"/>
      <c r="L25" s="69"/>
      <c r="M25" s="69"/>
      <c r="N25" s="69"/>
      <c r="O25" s="69"/>
      <c r="P25" s="69">
        <f t="shared" si="8"/>
        <v>850000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60" customHeight="1" x14ac:dyDescent="0.25">
      <c r="A26" s="43" t="s">
        <v>186</v>
      </c>
      <c r="B26" s="44" t="str">
        <f>'дод 4'!A66</f>
        <v>3140</v>
      </c>
      <c r="C26" s="44" t="str">
        <f>'дод 4'!B66</f>
        <v>1040</v>
      </c>
      <c r="D26" s="24" t="str">
        <f>'дод 4'!C66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69">
        <f t="shared" si="7"/>
        <v>560000</v>
      </c>
      <c r="F26" s="69">
        <v>560000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560000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7.5" customHeight="1" x14ac:dyDescent="0.25">
      <c r="A27" s="43" t="s">
        <v>355</v>
      </c>
      <c r="B27" s="44" t="str">
        <f>'дод 4'!A75</f>
        <v>3241</v>
      </c>
      <c r="C27" s="44" t="str">
        <f>'дод 4'!B75</f>
        <v>1090</v>
      </c>
      <c r="D27" s="24" t="str">
        <f>'дод 4'!C75</f>
        <v>Забезпечення діяльності інших закладів у сфері соціального захисту і соціального забезпечення</v>
      </c>
      <c r="E27" s="69">
        <f t="shared" si="7"/>
        <v>1198395</v>
      </c>
      <c r="F27" s="69">
        <v>1198395</v>
      </c>
      <c r="G27" s="69">
        <v>852910</v>
      </c>
      <c r="H27" s="69">
        <v>114300</v>
      </c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1198395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3.75" customHeight="1" x14ac:dyDescent="0.25">
      <c r="A28" s="43" t="s">
        <v>356</v>
      </c>
      <c r="B28" s="44" t="str">
        <f>'дод 4'!A76</f>
        <v>3242</v>
      </c>
      <c r="C28" s="44" t="str">
        <f>'дод 4'!B76</f>
        <v>1090</v>
      </c>
      <c r="D28" s="24" t="str">
        <f>'дод 4'!C76</f>
        <v>Інші заходи у сфері соціального захисту і соціального забезпечення</v>
      </c>
      <c r="E28" s="69">
        <f t="shared" si="7"/>
        <v>218310</v>
      </c>
      <c r="F28" s="69">
        <v>218310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218310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375</v>
      </c>
      <c r="B29" s="44" t="str">
        <f>'дод 4'!A79</f>
        <v>4060</v>
      </c>
      <c r="C29" s="44" t="str">
        <f>'дод 4'!B79</f>
        <v>0828</v>
      </c>
      <c r="D29" s="24" t="str">
        <f>'дод 4'!C79</f>
        <v>Забезпечення діяльності палаців i будинків культури, клубів, центрів дозвілля та iнших клубних закладів</v>
      </c>
      <c r="E29" s="69">
        <f t="shared" si="7"/>
        <v>4595000</v>
      </c>
      <c r="F29" s="70">
        <f>4745000-150000</f>
        <v>4595000</v>
      </c>
      <c r="G29" s="69">
        <v>2098000</v>
      </c>
      <c r="H29" s="69">
        <v>727600</v>
      </c>
      <c r="I29" s="69"/>
      <c r="J29" s="69">
        <f t="shared" si="9"/>
        <v>25500</v>
      </c>
      <c r="K29" s="69">
        <v>25500</v>
      </c>
      <c r="L29" s="69"/>
      <c r="M29" s="69"/>
      <c r="N29" s="69"/>
      <c r="O29" s="69">
        <v>25500</v>
      </c>
      <c r="P29" s="69">
        <f t="shared" si="8"/>
        <v>4620500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0.75" customHeight="1" x14ac:dyDescent="0.25">
      <c r="A30" s="43" t="s">
        <v>353</v>
      </c>
      <c r="B30" s="44" t="str">
        <f>'дод 4'!A80</f>
        <v>4081</v>
      </c>
      <c r="C30" s="44" t="str">
        <f>'дод 4'!B80</f>
        <v>0829</v>
      </c>
      <c r="D30" s="24" t="str">
        <f>'дод 4'!C80</f>
        <v>Забезпечення діяльності інших закладів в галузі культури і мистецтва</v>
      </c>
      <c r="E30" s="69">
        <f t="shared" si="7"/>
        <v>3437900</v>
      </c>
      <c r="F30" s="69">
        <f>2374900+300000+276000+150000+337000</f>
        <v>3437900</v>
      </c>
      <c r="G30" s="69">
        <v>1389000</v>
      </c>
      <c r="H30" s="69">
        <v>91200</v>
      </c>
      <c r="I30" s="69"/>
      <c r="J30" s="69">
        <f t="shared" si="9"/>
        <v>224000</v>
      </c>
      <c r="K30" s="69">
        <v>224000</v>
      </c>
      <c r="L30" s="69"/>
      <c r="M30" s="69"/>
      <c r="N30" s="69"/>
      <c r="O30" s="69">
        <v>224000</v>
      </c>
      <c r="P30" s="69">
        <f t="shared" si="8"/>
        <v>3661900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25.5" customHeight="1" x14ac:dyDescent="0.25">
      <c r="A31" s="43" t="s">
        <v>354</v>
      </c>
      <c r="B31" s="44" t="str">
        <f>'дод 4'!A81</f>
        <v>4082</v>
      </c>
      <c r="C31" s="44" t="str">
        <f>'дод 4'!B81</f>
        <v>0829</v>
      </c>
      <c r="D31" s="24" t="str">
        <f>'дод 4'!C81</f>
        <v>Інші заходи в галузі культури і мистецтва</v>
      </c>
      <c r="E31" s="69">
        <f t="shared" si="7"/>
        <v>465000</v>
      </c>
      <c r="F31" s="69">
        <v>465000</v>
      </c>
      <c r="G31" s="69"/>
      <c r="H31" s="69"/>
      <c r="I31" s="69"/>
      <c r="J31" s="69">
        <f t="shared" si="9"/>
        <v>0</v>
      </c>
      <c r="K31" s="69"/>
      <c r="L31" s="69"/>
      <c r="M31" s="69"/>
      <c r="N31" s="69"/>
      <c r="O31" s="69"/>
      <c r="P31" s="69">
        <f t="shared" si="8"/>
        <v>465000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6.75" customHeight="1" x14ac:dyDescent="0.25">
      <c r="A32" s="52" t="s">
        <v>187</v>
      </c>
      <c r="B32" s="45" t="str">
        <f>'дод 4'!A83</f>
        <v>5011</v>
      </c>
      <c r="C32" s="45" t="str">
        <f>'дод 4'!B83</f>
        <v>0810</v>
      </c>
      <c r="D32" s="22" t="str">
        <f>'дод 4'!C83</f>
        <v>Проведення навчально-тренувальних зборів і змагань з олімпійських видів спорту</v>
      </c>
      <c r="E32" s="69">
        <f t="shared" si="7"/>
        <v>1761000</v>
      </c>
      <c r="F32" s="69">
        <f>750000+1000000+11000</f>
        <v>1761000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1761000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4.5" customHeight="1" x14ac:dyDescent="0.25">
      <c r="A33" s="52" t="s">
        <v>188</v>
      </c>
      <c r="B33" s="45" t="str">
        <f>'дод 4'!A84</f>
        <v>5012</v>
      </c>
      <c r="C33" s="45" t="str">
        <f>'дод 4'!B84</f>
        <v>0810</v>
      </c>
      <c r="D33" s="22" t="str">
        <f>'дод 4'!C84</f>
        <v>Проведення навчально-тренувальних зборів і змагань з неолімпійських видів спорту</v>
      </c>
      <c r="E33" s="69">
        <f t="shared" si="7"/>
        <v>2275000</v>
      </c>
      <c r="F33" s="69">
        <f>750000+1300000+127000+98000</f>
        <v>2275000</v>
      </c>
      <c r="G33" s="69"/>
      <c r="H33" s="69"/>
      <c r="I33" s="69"/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2275000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9" customHeight="1" x14ac:dyDescent="0.25">
      <c r="A34" s="52" t="s">
        <v>189</v>
      </c>
      <c r="B34" s="45" t="str">
        <f>'дод 4'!A85</f>
        <v>5031</v>
      </c>
      <c r="C34" s="45" t="str">
        <f>'дод 4'!B85</f>
        <v>0810</v>
      </c>
      <c r="D34" s="22" t="str">
        <f>'дод 4'!C85</f>
        <v>Утримання та навчально-тренувальна робота комунальних дитячо-юнацьких спортивних шкіл</v>
      </c>
      <c r="E34" s="69">
        <f t="shared" si="7"/>
        <v>13555830</v>
      </c>
      <c r="F34" s="69">
        <f>13106830+37000+412000</f>
        <v>13555830</v>
      </c>
      <c r="G34" s="69">
        <v>9753300</v>
      </c>
      <c r="H34" s="69">
        <v>819990</v>
      </c>
      <c r="I34" s="69">
        <v>0</v>
      </c>
      <c r="J34" s="69">
        <f t="shared" si="9"/>
        <v>728000</v>
      </c>
      <c r="K34" s="69">
        <f>500000+228000</f>
        <v>728000</v>
      </c>
      <c r="L34" s="69"/>
      <c r="M34" s="69"/>
      <c r="N34" s="69"/>
      <c r="O34" s="69">
        <f>500000+228000</f>
        <v>728000</v>
      </c>
      <c r="P34" s="69">
        <f t="shared" si="8"/>
        <v>14283830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3.75" customHeight="1" x14ac:dyDescent="0.25">
      <c r="A35" s="52" t="s">
        <v>419</v>
      </c>
      <c r="B35" s="45" t="str">
        <f>'дод 4'!A86</f>
        <v>5032</v>
      </c>
      <c r="C35" s="45" t="str">
        <f>'дод 4'!B86</f>
        <v>0810</v>
      </c>
      <c r="D35" s="22" t="str">
        <f>'дод 4'!C86</f>
        <v>Фінансова підтримка дитячо-юнацьких спортивних шкіл фізкультурно-спортивних товариств</v>
      </c>
      <c r="E35" s="69">
        <f t="shared" si="7"/>
        <v>11306630</v>
      </c>
      <c r="F35" s="69">
        <f>11143630+20000+143000</f>
        <v>11306630</v>
      </c>
      <c r="G35" s="69"/>
      <c r="H35" s="69"/>
      <c r="I35" s="69"/>
      <c r="J35" s="69">
        <f t="shared" si="9"/>
        <v>100000</v>
      </c>
      <c r="K35" s="69">
        <f>93000+7000</f>
        <v>100000</v>
      </c>
      <c r="L35" s="69"/>
      <c r="M35" s="69"/>
      <c r="N35" s="69"/>
      <c r="O35" s="69">
        <f>93000+7000</f>
        <v>100000</v>
      </c>
      <c r="P35" s="69">
        <f t="shared" si="8"/>
        <v>11406630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48" customHeight="1" x14ac:dyDescent="0.25">
      <c r="A36" s="52" t="s">
        <v>190</v>
      </c>
      <c r="B36" s="45" t="str">
        <f>'дод 4'!A87</f>
        <v>5061</v>
      </c>
      <c r="C36" s="45" t="str">
        <f>'дод 4'!B87</f>
        <v>0810</v>
      </c>
      <c r="D36" s="22" t="str">
        <f>'дод 4'!C87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69">
        <f t="shared" si="7"/>
        <v>3943120</v>
      </c>
      <c r="F36" s="69">
        <f>3728120+165000+50000</f>
        <v>3943120</v>
      </c>
      <c r="G36" s="69">
        <v>2446900</v>
      </c>
      <c r="H36" s="69">
        <v>370100</v>
      </c>
      <c r="I36" s="69"/>
      <c r="J36" s="69">
        <f t="shared" si="9"/>
        <v>1079120</v>
      </c>
      <c r="K36" s="69">
        <v>900000</v>
      </c>
      <c r="L36" s="69">
        <v>179120</v>
      </c>
      <c r="M36" s="69">
        <v>91105</v>
      </c>
      <c r="N36" s="69">
        <v>51050</v>
      </c>
      <c r="O36" s="69">
        <v>900000</v>
      </c>
      <c r="P36" s="69">
        <f t="shared" si="8"/>
        <v>5022240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39" customHeight="1" x14ac:dyDescent="0.25">
      <c r="A37" s="52" t="s">
        <v>410</v>
      </c>
      <c r="B37" s="45" t="str">
        <f>'дод 4'!A88</f>
        <v>5062</v>
      </c>
      <c r="C37" s="45" t="str">
        <f>'дод 4'!B88</f>
        <v>0810</v>
      </c>
      <c r="D37" s="22" t="str">
        <f>'дод 4'!C88</f>
        <v>Підтримка спорту вищих досягнень та організацій, які здійснюють фізкультурно-спортивну діяльність в регіоні</v>
      </c>
      <c r="E37" s="69">
        <f t="shared" si="7"/>
        <v>7088390</v>
      </c>
      <c r="F37" s="69">
        <f>6608390+200000+215000+65000</f>
        <v>7088390</v>
      </c>
      <c r="G37" s="69"/>
      <c r="H37" s="69"/>
      <c r="I37" s="69"/>
      <c r="J37" s="69">
        <f t="shared" si="9"/>
        <v>43450</v>
      </c>
      <c r="K37" s="69">
        <v>43450</v>
      </c>
      <c r="L37" s="69"/>
      <c r="M37" s="69"/>
      <c r="N37" s="69"/>
      <c r="O37" s="69">
        <v>43450</v>
      </c>
      <c r="P37" s="69">
        <f t="shared" si="8"/>
        <v>7131840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24" customHeight="1" x14ac:dyDescent="0.25">
      <c r="A38" s="52" t="s">
        <v>191</v>
      </c>
      <c r="B38" s="45" t="str">
        <f>'дод 4'!A116</f>
        <v>7412</v>
      </c>
      <c r="C38" s="45" t="str">
        <f>'дод 4'!B116</f>
        <v>0451</v>
      </c>
      <c r="D38" s="22" t="str">
        <f>'дод 4'!C116</f>
        <v>Регулювання цін на послуги місцевого автотранспорту</v>
      </c>
      <c r="E38" s="69">
        <f t="shared" si="7"/>
        <v>10000000</v>
      </c>
      <c r="F38" s="69"/>
      <c r="G38" s="69"/>
      <c r="H38" s="69"/>
      <c r="I38" s="69">
        <v>10000000</v>
      </c>
      <c r="J38" s="69">
        <f t="shared" si="9"/>
        <v>0</v>
      </c>
      <c r="K38" s="69"/>
      <c r="L38" s="69"/>
      <c r="M38" s="69"/>
      <c r="N38" s="69"/>
      <c r="O38" s="69"/>
      <c r="P38" s="69">
        <f t="shared" si="8"/>
        <v>10000000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24" customHeight="1" x14ac:dyDescent="0.25">
      <c r="A39" s="52" t="s">
        <v>465</v>
      </c>
      <c r="B39" s="45">
        <f>'дод 4'!A117</f>
        <v>7413</v>
      </c>
      <c r="C39" s="45" t="str">
        <f>'дод 4'!B117</f>
        <v>0451</v>
      </c>
      <c r="D39" s="150" t="str">
        <f>'дод 4'!C117</f>
        <v>Інші заходи у сфері автотранспорту</v>
      </c>
      <c r="E39" s="69">
        <f t="shared" si="7"/>
        <v>2800000</v>
      </c>
      <c r="F39" s="69"/>
      <c r="G39" s="69"/>
      <c r="H39" s="69"/>
      <c r="I39" s="69">
        <v>2800000</v>
      </c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2800000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24" customHeight="1" x14ac:dyDescent="0.25">
      <c r="A40" s="52" t="s">
        <v>466</v>
      </c>
      <c r="B40" s="45">
        <f>'дод 4'!A118</f>
        <v>7426</v>
      </c>
      <c r="C40" s="45">
        <f>'дод 4'!B118</f>
        <v>453</v>
      </c>
      <c r="D40" s="150" t="str">
        <f>'дод 4'!C118</f>
        <v>Інші заходи у сфері електротранспорту</v>
      </c>
      <c r="E40" s="69">
        <f t="shared" si="7"/>
        <v>15200000</v>
      </c>
      <c r="F40" s="69"/>
      <c r="G40" s="69"/>
      <c r="H40" s="69"/>
      <c r="I40" s="69">
        <v>15200000</v>
      </c>
      <c r="J40" s="69">
        <f t="shared" si="9"/>
        <v>0</v>
      </c>
      <c r="K40" s="69"/>
      <c r="L40" s="69"/>
      <c r="M40" s="69"/>
      <c r="N40" s="69"/>
      <c r="O40" s="69"/>
      <c r="P40" s="69">
        <f t="shared" si="8"/>
        <v>15200000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31.5" customHeight="1" x14ac:dyDescent="0.25">
      <c r="A41" s="52" t="s">
        <v>275</v>
      </c>
      <c r="B41" s="45" t="str">
        <f>'дод 4'!A122</f>
        <v>7530</v>
      </c>
      <c r="C41" s="45" t="str">
        <f>'дод 4'!B122</f>
        <v>0460</v>
      </c>
      <c r="D41" s="22" t="str">
        <f>'дод 4'!C122</f>
        <v>Інші заходи у сфері зв'язку, телекомунікації та інформатики</v>
      </c>
      <c r="E41" s="69">
        <f t="shared" si="7"/>
        <v>13450000</v>
      </c>
      <c r="F41" s="69">
        <f>10000000+3450000</f>
        <v>13450000</v>
      </c>
      <c r="G41" s="69"/>
      <c r="H41" s="69"/>
      <c r="I41" s="69"/>
      <c r="J41" s="69">
        <f t="shared" si="9"/>
        <v>6050000</v>
      </c>
      <c r="K41" s="69">
        <f>5000000+1050000</f>
        <v>6050000</v>
      </c>
      <c r="L41" s="69"/>
      <c r="M41" s="69"/>
      <c r="N41" s="69"/>
      <c r="O41" s="69">
        <f>5000000+1050000</f>
        <v>6050000</v>
      </c>
      <c r="P41" s="69">
        <f t="shared" si="8"/>
        <v>19500000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0.25" customHeight="1" x14ac:dyDescent="0.25">
      <c r="A42" s="52" t="s">
        <v>192</v>
      </c>
      <c r="B42" s="45" t="str">
        <f>'дод 4'!A124</f>
        <v>7610</v>
      </c>
      <c r="C42" s="45" t="str">
        <f>'дод 4'!B124</f>
        <v>0411</v>
      </c>
      <c r="D42" s="22" t="str">
        <f>'дод 4'!C124</f>
        <v>Сприяння розвитку малого та середнього підприємництва</v>
      </c>
      <c r="E42" s="69">
        <f t="shared" si="7"/>
        <v>215000</v>
      </c>
      <c r="F42" s="69">
        <f>115000+100000</f>
        <v>215000</v>
      </c>
      <c r="G42" s="69"/>
      <c r="H42" s="69"/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215000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3.25" customHeight="1" x14ac:dyDescent="0.25">
      <c r="A43" s="52" t="s">
        <v>193</v>
      </c>
      <c r="B43" s="45" t="str">
        <f>'дод 4'!A128</f>
        <v>7670</v>
      </c>
      <c r="C43" s="45" t="str">
        <f>'дод 4'!B128</f>
        <v>0490</v>
      </c>
      <c r="D43" s="22" t="str">
        <f>'дод 4'!C128</f>
        <v>Внески до статутного капіталу суб’єктів господарювання</v>
      </c>
      <c r="E43" s="69">
        <f t="shared" si="7"/>
        <v>0</v>
      </c>
      <c r="F43" s="69"/>
      <c r="G43" s="69"/>
      <c r="H43" s="69"/>
      <c r="I43" s="69"/>
      <c r="J43" s="69">
        <f t="shared" si="9"/>
        <v>22572000</v>
      </c>
      <c r="K43" s="69">
        <f>22572000</f>
        <v>22572000</v>
      </c>
      <c r="L43" s="69"/>
      <c r="M43" s="69"/>
      <c r="N43" s="69"/>
      <c r="O43" s="69">
        <f>22572000</f>
        <v>22572000</v>
      </c>
      <c r="P43" s="69">
        <f t="shared" si="8"/>
        <v>22572000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36.75" customHeight="1" x14ac:dyDescent="0.25">
      <c r="A44" s="52" t="s">
        <v>289</v>
      </c>
      <c r="B44" s="45" t="str">
        <f>'дод 4'!A129</f>
        <v>7680</v>
      </c>
      <c r="C44" s="45" t="str">
        <f>'дод 4'!B129</f>
        <v>0490</v>
      </c>
      <c r="D44" s="22" t="str">
        <f>'дод 4'!C129</f>
        <v>Членські внески до асоціацій органів місцевого самоврядування</v>
      </c>
      <c r="E44" s="69">
        <f t="shared" si="7"/>
        <v>241467</v>
      </c>
      <c r="F44" s="69">
        <f>158069+82000+1715-317</f>
        <v>241467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241467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90" customHeight="1" x14ac:dyDescent="0.25">
      <c r="A45" s="52" t="s">
        <v>351</v>
      </c>
      <c r="B45" s="45" t="str">
        <f>'дод 4'!A130</f>
        <v>7691</v>
      </c>
      <c r="C45" s="45" t="str">
        <f>'дод 4'!B130</f>
        <v>0490</v>
      </c>
      <c r="D45" s="22" t="str">
        <f>'дод 4'!C130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69">
        <f t="shared" si="7"/>
        <v>0</v>
      </c>
      <c r="F45" s="69"/>
      <c r="G45" s="69"/>
      <c r="H45" s="69"/>
      <c r="I45" s="69"/>
      <c r="J45" s="69">
        <f t="shared" si="9"/>
        <v>68223.199999999997</v>
      </c>
      <c r="K45" s="69"/>
      <c r="L45" s="69">
        <f>64711+3512.2</f>
        <v>68223.199999999997</v>
      </c>
      <c r="M45" s="69"/>
      <c r="N45" s="69"/>
      <c r="O45" s="69"/>
      <c r="P45" s="69">
        <f t="shared" si="8"/>
        <v>68223.199999999997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3.25" customHeight="1" x14ac:dyDescent="0.25">
      <c r="A46" s="52" t="s">
        <v>282</v>
      </c>
      <c r="B46" s="45" t="str">
        <f>'дод 4'!A131</f>
        <v>7693</v>
      </c>
      <c r="C46" s="45" t="str">
        <f>'дод 4'!B131</f>
        <v>0490</v>
      </c>
      <c r="D46" s="22" t="str">
        <f>'дод 4'!C131</f>
        <v>Інші заходи, пов'язані з економічною діяльністю</v>
      </c>
      <c r="E46" s="69">
        <f t="shared" si="7"/>
        <v>1869189</v>
      </c>
      <c r="F46" s="69">
        <f>1617587+250000+3000-1398</f>
        <v>1869189</v>
      </c>
      <c r="G46" s="69"/>
      <c r="H46" s="69"/>
      <c r="I46" s="69"/>
      <c r="J46" s="69">
        <f t="shared" si="9"/>
        <v>0</v>
      </c>
      <c r="K46" s="69"/>
      <c r="L46" s="69"/>
      <c r="M46" s="69"/>
      <c r="N46" s="69"/>
      <c r="O46" s="69"/>
      <c r="P46" s="69">
        <f t="shared" si="8"/>
        <v>1869189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34.5" customHeight="1" x14ac:dyDescent="0.25">
      <c r="A47" s="52" t="s">
        <v>194</v>
      </c>
      <c r="B47" s="45" t="str">
        <f>'дод 4'!A136</f>
        <v>8110</v>
      </c>
      <c r="C47" s="45" t="str">
        <f>'дод 4'!B136</f>
        <v>0320</v>
      </c>
      <c r="D47" s="22" t="str">
        <f>'дод 4'!C136</f>
        <v>Заходи із запобігання та ліквідації надзвичайних ситуацій та наслідків стихійного лиха</v>
      </c>
      <c r="E47" s="69">
        <f t="shared" si="7"/>
        <v>584500</v>
      </c>
      <c r="F47" s="69">
        <f>284500+300000</f>
        <v>584500</v>
      </c>
      <c r="G47" s="69"/>
      <c r="H47" s="69">
        <v>7500</v>
      </c>
      <c r="I47" s="69"/>
      <c r="J47" s="69">
        <f t="shared" si="9"/>
        <v>2299600</v>
      </c>
      <c r="K47" s="69">
        <f>2159600+140000</f>
        <v>2299600</v>
      </c>
      <c r="L47" s="69"/>
      <c r="M47" s="69"/>
      <c r="N47" s="69"/>
      <c r="O47" s="69">
        <f>2159600+140000</f>
        <v>2299600</v>
      </c>
      <c r="P47" s="69">
        <f t="shared" si="8"/>
        <v>2884100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19.5" customHeight="1" x14ac:dyDescent="0.25">
      <c r="A48" s="52" t="s">
        <v>264</v>
      </c>
      <c r="B48" s="45" t="str">
        <f>'дод 4'!A137</f>
        <v>8120</v>
      </c>
      <c r="C48" s="45" t="str">
        <f>'дод 4'!B137</f>
        <v>0320</v>
      </c>
      <c r="D48" s="22" t="str">
        <f>'дод 4'!C137</f>
        <v>Заходи з організації рятування на водах</v>
      </c>
      <c r="E48" s="69">
        <f t="shared" si="7"/>
        <v>2030270</v>
      </c>
      <c r="F48" s="69">
        <f>1892080+19210+32020+78970+7990</f>
        <v>2030270</v>
      </c>
      <c r="G48" s="69">
        <v>1542220</v>
      </c>
      <c r="H48" s="69">
        <v>79880</v>
      </c>
      <c r="I48" s="69"/>
      <c r="J48" s="69">
        <f t="shared" si="9"/>
        <v>5500</v>
      </c>
      <c r="K48" s="69"/>
      <c r="L48" s="69">
        <v>5500</v>
      </c>
      <c r="M48" s="69"/>
      <c r="N48" s="69">
        <v>1400</v>
      </c>
      <c r="O48" s="69"/>
      <c r="P48" s="69">
        <f t="shared" si="8"/>
        <v>2035770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1.75" customHeight="1" x14ac:dyDescent="0.25">
      <c r="A49" s="52" t="s">
        <v>285</v>
      </c>
      <c r="B49" s="45" t="str">
        <f>'дод 4'!A139</f>
        <v>8230</v>
      </c>
      <c r="C49" s="45" t="str">
        <f>'дод 4'!B139</f>
        <v>0380</v>
      </c>
      <c r="D49" s="22" t="str">
        <f>'дод 4'!C139</f>
        <v>Інші заходи громадського порядку та безпеки</v>
      </c>
      <c r="E49" s="69">
        <f t="shared" si="7"/>
        <v>683360</v>
      </c>
      <c r="F49" s="69">
        <v>683360</v>
      </c>
      <c r="G49" s="69"/>
      <c r="H49" s="69">
        <v>278160</v>
      </c>
      <c r="I49" s="69"/>
      <c r="J49" s="69">
        <f t="shared" si="9"/>
        <v>0</v>
      </c>
      <c r="K49" s="69"/>
      <c r="L49" s="69"/>
      <c r="M49" s="69"/>
      <c r="N49" s="69"/>
      <c r="O49" s="69"/>
      <c r="P49" s="69">
        <f t="shared" si="8"/>
        <v>683360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23.25" customHeight="1" x14ac:dyDescent="0.25">
      <c r="A50" s="43" t="s">
        <v>195</v>
      </c>
      <c r="B50" s="44" t="str">
        <f>'дод 4'!A142</f>
        <v>8340</v>
      </c>
      <c r="C50" s="44" t="str">
        <f>'дод 4'!B142</f>
        <v>0540</v>
      </c>
      <c r="D50" s="24" t="str">
        <f>'дод 4'!C142</f>
        <v>Природоохоронні заходи за рахунок цільових фондів</v>
      </c>
      <c r="E50" s="69">
        <f t="shared" si="7"/>
        <v>0</v>
      </c>
      <c r="F50" s="69"/>
      <c r="G50" s="69"/>
      <c r="H50" s="69"/>
      <c r="I50" s="69"/>
      <c r="J50" s="69">
        <f t="shared" si="9"/>
        <v>264000</v>
      </c>
      <c r="K50" s="69"/>
      <c r="L50" s="69">
        <v>264000</v>
      </c>
      <c r="M50" s="69"/>
      <c r="N50" s="69"/>
      <c r="O50" s="69"/>
      <c r="P50" s="69">
        <f t="shared" si="8"/>
        <v>264000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26.25" customHeight="1" x14ac:dyDescent="0.25">
      <c r="A51" s="52" t="s">
        <v>296</v>
      </c>
      <c r="B51" s="45" t="str">
        <f>'дод 4'!A144</f>
        <v>8420</v>
      </c>
      <c r="C51" s="45" t="str">
        <f>'дод 4'!B144</f>
        <v>0830</v>
      </c>
      <c r="D51" s="22" t="str">
        <f>'дод 4'!C144</f>
        <v>Інші заходи у сфері засобів масової інформації</v>
      </c>
      <c r="E51" s="69">
        <f t="shared" si="7"/>
        <v>100000</v>
      </c>
      <c r="F51" s="69">
        <v>100000</v>
      </c>
      <c r="G51" s="69"/>
      <c r="H51" s="69"/>
      <c r="I51" s="69"/>
      <c r="J51" s="69">
        <f t="shared" si="9"/>
        <v>0</v>
      </c>
      <c r="K51" s="69"/>
      <c r="L51" s="69"/>
      <c r="M51" s="69"/>
      <c r="N51" s="69"/>
      <c r="O51" s="69"/>
      <c r="P51" s="69">
        <f t="shared" si="8"/>
        <v>100000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31" customFormat="1" ht="23.25" customHeight="1" x14ac:dyDescent="0.2">
      <c r="A52" s="88" t="s">
        <v>196</v>
      </c>
      <c r="B52" s="72"/>
      <c r="C52" s="72"/>
      <c r="D52" s="30" t="s">
        <v>34</v>
      </c>
      <c r="E52" s="66">
        <f>E53</f>
        <v>969588759</v>
      </c>
      <c r="F52" s="66">
        <f t="shared" ref="F52:J52" si="10">F53</f>
        <v>969588759</v>
      </c>
      <c r="G52" s="66">
        <f t="shared" si="10"/>
        <v>651436327</v>
      </c>
      <c r="H52" s="66">
        <f t="shared" si="10"/>
        <v>81257931</v>
      </c>
      <c r="I52" s="66">
        <f t="shared" si="10"/>
        <v>0</v>
      </c>
      <c r="J52" s="66">
        <f t="shared" si="10"/>
        <v>89496727.549999997</v>
      </c>
      <c r="K52" s="66">
        <f t="shared" ref="K52" si="11">K53</f>
        <v>35780219.549999997</v>
      </c>
      <c r="L52" s="66">
        <f t="shared" ref="L52" si="12">L53</f>
        <v>53527508</v>
      </c>
      <c r="M52" s="66">
        <f t="shared" ref="M52" si="13">M53</f>
        <v>4208876</v>
      </c>
      <c r="N52" s="66">
        <f t="shared" ref="N52" si="14">N53</f>
        <v>3124191</v>
      </c>
      <c r="O52" s="66">
        <f t="shared" ref="O52:P52" si="15">O53</f>
        <v>35969219.549999997</v>
      </c>
      <c r="P52" s="66">
        <f t="shared" si="15"/>
        <v>1059085486.55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</row>
    <row r="53" spans="1:529" s="40" customFormat="1" ht="26.25" customHeight="1" x14ac:dyDescent="0.25">
      <c r="A53" s="89" t="s">
        <v>197</v>
      </c>
      <c r="B53" s="73"/>
      <c r="C53" s="73"/>
      <c r="D53" s="33" t="s">
        <v>34</v>
      </c>
      <c r="E53" s="68">
        <f>E55+E56+E58+E60+E62+E63+E65+E66+E67+E68+E70+E71+E72+E73+E74+E76+E77+E78</f>
        <v>969588759</v>
      </c>
      <c r="F53" s="68">
        <f t="shared" ref="F53:P53" si="16">F55+F56+F58+F60+F62+F63+F65+F66+F67+F68+F70+F71+F72+F73+F74+F76+F77+F78</f>
        <v>969588759</v>
      </c>
      <c r="G53" s="68">
        <f t="shared" si="16"/>
        <v>651436327</v>
      </c>
      <c r="H53" s="68">
        <f t="shared" si="16"/>
        <v>81257931</v>
      </c>
      <c r="I53" s="68">
        <f t="shared" si="16"/>
        <v>0</v>
      </c>
      <c r="J53" s="68">
        <f t="shared" si="16"/>
        <v>89496727.549999997</v>
      </c>
      <c r="K53" s="68">
        <f t="shared" si="16"/>
        <v>35780219.549999997</v>
      </c>
      <c r="L53" s="68">
        <f t="shared" si="16"/>
        <v>53527508</v>
      </c>
      <c r="M53" s="68">
        <f t="shared" si="16"/>
        <v>4208876</v>
      </c>
      <c r="N53" s="68">
        <f t="shared" si="16"/>
        <v>3124191</v>
      </c>
      <c r="O53" s="68">
        <f t="shared" si="16"/>
        <v>35969219.549999997</v>
      </c>
      <c r="P53" s="68">
        <f t="shared" si="16"/>
        <v>1059085486.55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</row>
    <row r="54" spans="1:529" s="40" customFormat="1" ht="18.75" customHeight="1" x14ac:dyDescent="0.25">
      <c r="A54" s="89"/>
      <c r="B54" s="73"/>
      <c r="C54" s="73"/>
      <c r="D54" s="33" t="s">
        <v>308</v>
      </c>
      <c r="E54" s="68">
        <f>E59++E61+E64+E57+E69+E75</f>
        <v>382256478</v>
      </c>
      <c r="F54" s="68">
        <f t="shared" ref="F54:P54" si="17">F59++F61+F64+F57+F69+F75</f>
        <v>382256478</v>
      </c>
      <c r="G54" s="68">
        <f t="shared" si="17"/>
        <v>307191100</v>
      </c>
      <c r="H54" s="68">
        <f t="shared" si="17"/>
        <v>0</v>
      </c>
      <c r="I54" s="68">
        <f t="shared" si="17"/>
        <v>0</v>
      </c>
      <c r="J54" s="68">
        <f>J59++J61+J64+J57+J69+J75</f>
        <v>1736617.55</v>
      </c>
      <c r="K54" s="68">
        <f t="shared" si="17"/>
        <v>1736617.55</v>
      </c>
      <c r="L54" s="68">
        <f t="shared" si="17"/>
        <v>0</v>
      </c>
      <c r="M54" s="68">
        <f t="shared" si="17"/>
        <v>0</v>
      </c>
      <c r="N54" s="68">
        <f t="shared" si="17"/>
        <v>0</v>
      </c>
      <c r="O54" s="68">
        <f t="shared" si="17"/>
        <v>1736617.55</v>
      </c>
      <c r="P54" s="68">
        <f t="shared" si="17"/>
        <v>383993095.55000001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</row>
    <row r="55" spans="1:529" s="23" customFormat="1" ht="46.5" customHeight="1" x14ac:dyDescent="0.25">
      <c r="A55" s="43" t="s">
        <v>198</v>
      </c>
      <c r="B55" s="44" t="str">
        <f>'дод 4'!A20</f>
        <v>0160</v>
      </c>
      <c r="C55" s="44" t="str">
        <f>'дод 4'!B20</f>
        <v>0111</v>
      </c>
      <c r="D55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55" s="69">
        <f t="shared" ref="E55:E78" si="18">F55+I55</f>
        <v>3547900</v>
      </c>
      <c r="F55" s="69">
        <f>3470000+3900-161800+242800-7000</f>
        <v>3547900</v>
      </c>
      <c r="G55" s="69">
        <f>2711100-132600-5700</f>
        <v>2572800</v>
      </c>
      <c r="H55" s="69">
        <v>48700</v>
      </c>
      <c r="I55" s="69"/>
      <c r="J55" s="69">
        <f>L55+O55</f>
        <v>0</v>
      </c>
      <c r="K55" s="69"/>
      <c r="L55" s="69"/>
      <c r="M55" s="69"/>
      <c r="N55" s="69"/>
      <c r="O55" s="69"/>
      <c r="P55" s="69">
        <f t="shared" ref="P55:P78" si="19">E55+J55</f>
        <v>3547900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21.75" customHeight="1" x14ac:dyDescent="0.25">
      <c r="A56" s="43" t="s">
        <v>199</v>
      </c>
      <c r="B56" s="44" t="str">
        <f>'дод 4'!A24</f>
        <v>1010</v>
      </c>
      <c r="C56" s="44" t="str">
        <f>'дод 4'!B24</f>
        <v>0910</v>
      </c>
      <c r="D56" s="24" t="str">
        <f>'дод 4'!C24</f>
        <v>Надання дошкільної освіти</v>
      </c>
      <c r="E56" s="69">
        <f t="shared" si="18"/>
        <v>243244632</v>
      </c>
      <c r="F56" s="69">
        <f>244339090+176336+1322957+112300-3000000-13457+307406</f>
        <v>243244632</v>
      </c>
      <c r="G56" s="69">
        <f>159350000+144540-11030</f>
        <v>159483510</v>
      </c>
      <c r="H56" s="69">
        <v>26923940</v>
      </c>
      <c r="I56" s="69"/>
      <c r="J56" s="69">
        <f>L56+O56</f>
        <v>22916603</v>
      </c>
      <c r="K56" s="69">
        <f>4200000+500000+88136+760000+703043+347304-7536</f>
        <v>6590947</v>
      </c>
      <c r="L56" s="69">
        <v>16325656</v>
      </c>
      <c r="M56" s="69"/>
      <c r="N56" s="69"/>
      <c r="O56" s="69">
        <f>4200000+500000+88136+760000+703043+347304-7536</f>
        <v>6590947</v>
      </c>
      <c r="P56" s="69">
        <f t="shared" si="19"/>
        <v>266161235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21.75" customHeight="1" x14ac:dyDescent="0.25">
      <c r="A57" s="43"/>
      <c r="B57" s="44"/>
      <c r="C57" s="44"/>
      <c r="D57" s="22" t="s">
        <v>308</v>
      </c>
      <c r="E57" s="69">
        <f t="shared" si="18"/>
        <v>162879</v>
      </c>
      <c r="F57" s="69">
        <f>176336-13457</f>
        <v>162879</v>
      </c>
      <c r="G57" s="69">
        <f>144540-11030</f>
        <v>133510</v>
      </c>
      <c r="H57" s="69"/>
      <c r="I57" s="69"/>
      <c r="J57" s="69">
        <f>L57+O57</f>
        <v>80600</v>
      </c>
      <c r="K57" s="69">
        <f>88136-7536</f>
        <v>80600</v>
      </c>
      <c r="L57" s="69"/>
      <c r="M57" s="69"/>
      <c r="N57" s="69"/>
      <c r="O57" s="69">
        <f>88136-7536</f>
        <v>80600</v>
      </c>
      <c r="P57" s="69">
        <f t="shared" si="19"/>
        <v>243479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23" customFormat="1" ht="54" customHeight="1" x14ac:dyDescent="0.25">
      <c r="A58" s="43" t="s">
        <v>200</v>
      </c>
      <c r="B58" s="44" t="str">
        <f>'дод 4'!A26</f>
        <v>1020</v>
      </c>
      <c r="C58" s="44" t="str">
        <f>'дод 4'!B26</f>
        <v>0921</v>
      </c>
      <c r="D58" s="24" t="str">
        <f>'дод 4'!C26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8" s="69">
        <f t="shared" si="18"/>
        <v>539963903</v>
      </c>
      <c r="F58" s="69">
        <f>533365430-2738900+2738900-50000+2067000+1396248+800+1533444+15313000-11301200+106000+50000+70000+213600-7000000+208752+5996529+274015-25839-2303876+50000</f>
        <v>539963903</v>
      </c>
      <c r="G58" s="69">
        <f>373446500+1144470+657+12572250-9278430+171100</f>
        <v>378056547</v>
      </c>
      <c r="H58" s="69">
        <f>40458440-2303876</f>
        <v>38154564</v>
      </c>
      <c r="I58" s="69"/>
      <c r="J58" s="69">
        <f t="shared" ref="J58:J78" si="20">L58+O58</f>
        <v>53104835.640000001</v>
      </c>
      <c r="K58" s="69">
        <f>11599400+2199897+739872+3050000+2916586+700000-106000-7502.36+202738-76472+742539+19558-21229+2283702-50000</f>
        <v>24193088.640000001</v>
      </c>
      <c r="L58" s="69">
        <v>28911747</v>
      </c>
      <c r="M58" s="69">
        <v>1713303</v>
      </c>
      <c r="N58" s="69">
        <v>147329</v>
      </c>
      <c r="O58" s="69">
        <f>11599400+2199897+739872+3050000+2916586+700000-106000-7502.36+202738-76472+742539+19558-21229+2283702-50000</f>
        <v>24193088.640000001</v>
      </c>
      <c r="P58" s="69">
        <f t="shared" si="19"/>
        <v>593068738.63999999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</row>
    <row r="59" spans="1:529" s="23" customFormat="1" x14ac:dyDescent="0.25">
      <c r="A59" s="43"/>
      <c r="B59" s="44"/>
      <c r="C59" s="44"/>
      <c r="D59" s="22" t="s">
        <v>308</v>
      </c>
      <c r="E59" s="69">
        <f t="shared" si="18"/>
        <v>356792090</v>
      </c>
      <c r="F59" s="69">
        <f>331836400+2067000+1396248+15313000+208752+5996529-25839</f>
        <v>356792090</v>
      </c>
      <c r="G59" s="69">
        <f>272443700+1144470+12572250+171100</f>
        <v>286331520</v>
      </c>
      <c r="H59" s="69"/>
      <c r="I59" s="69"/>
      <c r="J59" s="69">
        <f t="shared" si="20"/>
        <v>1384710</v>
      </c>
      <c r="K59" s="69">
        <f>739872-76472+742539-21229</f>
        <v>1384710</v>
      </c>
      <c r="L59" s="69"/>
      <c r="M59" s="69"/>
      <c r="N59" s="69"/>
      <c r="O59" s="69">
        <f>739872+742539-76472-21229</f>
        <v>1384710</v>
      </c>
      <c r="P59" s="69">
        <f t="shared" si="19"/>
        <v>358176800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</row>
    <row r="60" spans="1:529" s="23" customFormat="1" ht="63.75" customHeight="1" x14ac:dyDescent="0.25">
      <c r="A60" s="43" t="s">
        <v>431</v>
      </c>
      <c r="B60" s="44">
        <f>'дод 4'!A28</f>
        <v>1030</v>
      </c>
      <c r="C60" s="44" t="str">
        <f>'дод 4'!B28</f>
        <v>0922</v>
      </c>
      <c r="D60" s="24" t="str">
        <f>'дод 4'!C28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0" s="69">
        <f t="shared" si="18"/>
        <v>9444719</v>
      </c>
      <c r="F60" s="69">
        <f>9152880+50000+110000+106000+25839</f>
        <v>9444719</v>
      </c>
      <c r="G60" s="69">
        <v>6532300</v>
      </c>
      <c r="H60" s="69">
        <v>709270</v>
      </c>
      <c r="I60" s="69">
        <v>0</v>
      </c>
      <c r="J60" s="69">
        <f t="shared" si="20"/>
        <v>213403</v>
      </c>
      <c r="K60" s="69">
        <f>150000+22000+20174+21229</f>
        <v>213403</v>
      </c>
      <c r="L60" s="69"/>
      <c r="M60" s="69"/>
      <c r="N60" s="69"/>
      <c r="O60" s="69">
        <f>150000+22000+20174+21229</f>
        <v>213403</v>
      </c>
      <c r="P60" s="69">
        <f t="shared" si="19"/>
        <v>9658122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</row>
    <row r="61" spans="1:529" s="23" customFormat="1" ht="17.25" customHeight="1" x14ac:dyDescent="0.25">
      <c r="A61" s="43"/>
      <c r="B61" s="44"/>
      <c r="C61" s="44"/>
      <c r="D61" s="22" t="s">
        <v>308</v>
      </c>
      <c r="E61" s="69">
        <f t="shared" si="18"/>
        <v>6240139</v>
      </c>
      <c r="F61" s="69">
        <f>6214300+25839</f>
        <v>6240139</v>
      </c>
      <c r="G61" s="69">
        <v>5102000</v>
      </c>
      <c r="H61" s="69">
        <v>0</v>
      </c>
      <c r="I61" s="69">
        <v>0</v>
      </c>
      <c r="J61" s="69">
        <f t="shared" si="20"/>
        <v>21229</v>
      </c>
      <c r="K61" s="69">
        <v>21229</v>
      </c>
      <c r="L61" s="69"/>
      <c r="M61" s="69"/>
      <c r="N61" s="69"/>
      <c r="O61" s="69">
        <v>21229</v>
      </c>
      <c r="P61" s="69">
        <f t="shared" si="19"/>
        <v>6261368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</row>
    <row r="62" spans="1:529" s="23" customFormat="1" ht="32.25" customHeight="1" x14ac:dyDescent="0.25">
      <c r="A62" s="43" t="s">
        <v>263</v>
      </c>
      <c r="B62" s="44" t="str">
        <f>'дод 4'!A30</f>
        <v>1090</v>
      </c>
      <c r="C62" s="44" t="str">
        <f>'дод 4'!B30</f>
        <v>0960</v>
      </c>
      <c r="D62" s="24" t="str">
        <f>'дод 4'!C30</f>
        <v>Надання позашкільної освіти закладами позашкільної освіти, заходи із позашкільної роботи з дітьми</v>
      </c>
      <c r="E62" s="69">
        <f t="shared" si="18"/>
        <v>28048440</v>
      </c>
      <c r="F62" s="69">
        <f>27792840+230600+25000</f>
        <v>28048440</v>
      </c>
      <c r="G62" s="69">
        <v>19715700</v>
      </c>
      <c r="H62" s="69">
        <v>3358190</v>
      </c>
      <c r="I62" s="69">
        <v>0</v>
      </c>
      <c r="J62" s="69">
        <f t="shared" si="20"/>
        <v>300000</v>
      </c>
      <c r="K62" s="69">
        <v>300000</v>
      </c>
      <c r="L62" s="69"/>
      <c r="M62" s="69"/>
      <c r="N62" s="69"/>
      <c r="O62" s="69">
        <v>300000</v>
      </c>
      <c r="P62" s="69">
        <f t="shared" si="19"/>
        <v>28348440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</row>
    <row r="63" spans="1:529" s="23" customFormat="1" ht="33.75" customHeight="1" x14ac:dyDescent="0.25">
      <c r="A63" s="43" t="s">
        <v>262</v>
      </c>
      <c r="B63" s="44" t="str">
        <f>'дод 4'!A32</f>
        <v>1110</v>
      </c>
      <c r="C63" s="44" t="str">
        <f>'дод 4'!B32</f>
        <v>0930</v>
      </c>
      <c r="D63" s="24" t="str">
        <f>'дод 4'!C32</f>
        <v>Підготовка кадрів закладами професійної (професійно-технічної) освіти та іншими закладами освіти</v>
      </c>
      <c r="E63" s="69">
        <f t="shared" si="18"/>
        <v>116807900</v>
      </c>
      <c r="F63" s="69">
        <f>116310900-341000+217000+621000</f>
        <v>116807900</v>
      </c>
      <c r="G63" s="69">
        <v>69744500</v>
      </c>
      <c r="H63" s="69">
        <f>11348217-341000</f>
        <v>11007217</v>
      </c>
      <c r="I63" s="69"/>
      <c r="J63" s="69">
        <f t="shared" si="20"/>
        <v>8079105</v>
      </c>
      <c r="K63" s="69"/>
      <c r="L63" s="69">
        <v>7974105</v>
      </c>
      <c r="M63" s="69">
        <v>2495573</v>
      </c>
      <c r="N63" s="69">
        <v>2976862</v>
      </c>
      <c r="O63" s="69">
        <v>105000</v>
      </c>
      <c r="P63" s="69">
        <f t="shared" si="19"/>
        <v>124887005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</row>
    <row r="64" spans="1:529" s="23" customFormat="1" ht="15.75" customHeight="1" x14ac:dyDescent="0.25">
      <c r="A64" s="43"/>
      <c r="B64" s="44"/>
      <c r="C64" s="44"/>
      <c r="D64" s="22" t="s">
        <v>308</v>
      </c>
      <c r="E64" s="69">
        <f t="shared" si="18"/>
        <v>17825000</v>
      </c>
      <c r="F64" s="69">
        <v>17825000</v>
      </c>
      <c r="G64" s="69">
        <v>14610650</v>
      </c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17825000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</row>
    <row r="65" spans="1:529" s="23" customFormat="1" ht="21.75" customHeight="1" x14ac:dyDescent="0.25">
      <c r="A65" s="43" t="s">
        <v>201</v>
      </c>
      <c r="B65" s="44" t="str">
        <f>'дод 4'!A34</f>
        <v>1150</v>
      </c>
      <c r="C65" s="44" t="str">
        <f>'дод 4'!B34</f>
        <v>0990</v>
      </c>
      <c r="D65" s="24" t="str">
        <f>'дод 4'!C34</f>
        <v>Методичне забезпечення діяльності закладів освіти</v>
      </c>
      <c r="E65" s="69">
        <f t="shared" si="18"/>
        <v>2893730</v>
      </c>
      <c r="F65" s="69">
        <v>2893730</v>
      </c>
      <c r="G65" s="69">
        <v>2237500</v>
      </c>
      <c r="H65" s="69">
        <v>120380</v>
      </c>
      <c r="I65" s="69"/>
      <c r="J65" s="69">
        <f t="shared" si="20"/>
        <v>0</v>
      </c>
      <c r="K65" s="69"/>
      <c r="L65" s="69"/>
      <c r="M65" s="69"/>
      <c r="N65" s="69"/>
      <c r="O65" s="69"/>
      <c r="P65" s="69">
        <f t="shared" si="19"/>
        <v>2893730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</row>
    <row r="66" spans="1:529" s="23" customFormat="1" ht="16.5" customHeight="1" x14ac:dyDescent="0.25">
      <c r="A66" s="43" t="s">
        <v>357</v>
      </c>
      <c r="B66" s="44" t="str">
        <f>'дод 4'!A35</f>
        <v>1161</v>
      </c>
      <c r="C66" s="44" t="str">
        <f>'дод 4'!B35</f>
        <v>0990</v>
      </c>
      <c r="D66" s="24" t="str">
        <f>'дод 4'!C35</f>
        <v>Забезпечення діяльності інших закладів у сфері освіти</v>
      </c>
      <c r="E66" s="69">
        <f t="shared" si="18"/>
        <v>9388520</v>
      </c>
      <c r="F66" s="69">
        <f>9333170+12000+43350</f>
        <v>9388520</v>
      </c>
      <c r="G66" s="69">
        <v>6782550</v>
      </c>
      <c r="H66" s="69">
        <v>613500</v>
      </c>
      <c r="I66" s="69"/>
      <c r="J66" s="69">
        <f t="shared" si="20"/>
        <v>432000</v>
      </c>
      <c r="K66" s="69">
        <f>100000+200000+132000</f>
        <v>432000</v>
      </c>
      <c r="L66" s="69"/>
      <c r="M66" s="69"/>
      <c r="N66" s="69"/>
      <c r="O66" s="69">
        <f>100000+200000+132000</f>
        <v>432000</v>
      </c>
      <c r="P66" s="69">
        <f t="shared" si="19"/>
        <v>9820520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</row>
    <row r="67" spans="1:529" s="23" customFormat="1" ht="20.25" customHeight="1" x14ac:dyDescent="0.25">
      <c r="A67" s="43" t="s">
        <v>358</v>
      </c>
      <c r="B67" s="44" t="str">
        <f>'дод 4'!A36</f>
        <v>1162</v>
      </c>
      <c r="C67" s="44" t="str">
        <f>'дод 4'!B36</f>
        <v>0990</v>
      </c>
      <c r="D67" s="24" t="str">
        <f>'дод 4'!C36</f>
        <v>Інші програми та заходи у сфері освіти</v>
      </c>
      <c r="E67" s="69">
        <f t="shared" si="18"/>
        <v>107400</v>
      </c>
      <c r="F67" s="69">
        <v>107400</v>
      </c>
      <c r="G67" s="69"/>
      <c r="H67" s="69"/>
      <c r="I67" s="69"/>
      <c r="J67" s="69">
        <f t="shared" si="20"/>
        <v>0</v>
      </c>
      <c r="K67" s="69"/>
      <c r="L67" s="69"/>
      <c r="M67" s="69"/>
      <c r="N67" s="69"/>
      <c r="O67" s="69"/>
      <c r="P67" s="69">
        <f t="shared" si="19"/>
        <v>107400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3" customFormat="1" x14ac:dyDescent="0.25">
      <c r="A68" s="43" t="s">
        <v>395</v>
      </c>
      <c r="B68" s="44">
        <v>1170</v>
      </c>
      <c r="C68" s="44" t="s">
        <v>75</v>
      </c>
      <c r="D68" s="22" t="str">
        <f>'дод 4'!C37</f>
        <v>Забезпечення діяльності інклюзивно-ресурсних центрів</v>
      </c>
      <c r="E68" s="69">
        <f t="shared" si="18"/>
        <v>1627940</v>
      </c>
      <c r="F68" s="69">
        <v>1627940</v>
      </c>
      <c r="G68" s="69">
        <v>1224320</v>
      </c>
      <c r="H68" s="69">
        <v>81470</v>
      </c>
      <c r="I68" s="69"/>
      <c r="J68" s="69">
        <f t="shared" si="20"/>
        <v>0</v>
      </c>
      <c r="K68" s="69"/>
      <c r="L68" s="69"/>
      <c r="M68" s="69"/>
      <c r="N68" s="69"/>
      <c r="O68" s="69"/>
      <c r="P68" s="69">
        <f t="shared" si="19"/>
        <v>1627940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x14ac:dyDescent="0.25">
      <c r="A69" s="43"/>
      <c r="B69" s="44"/>
      <c r="C69" s="44"/>
      <c r="D69" s="22" t="s">
        <v>308</v>
      </c>
      <c r="E69" s="69">
        <f t="shared" si="18"/>
        <v>1236370</v>
      </c>
      <c r="F69" s="69">
        <v>1236370</v>
      </c>
      <c r="G69" s="69">
        <v>1013420</v>
      </c>
      <c r="H69" s="69"/>
      <c r="I69" s="69"/>
      <c r="J69" s="69"/>
      <c r="K69" s="69"/>
      <c r="L69" s="69"/>
      <c r="M69" s="69"/>
      <c r="N69" s="69"/>
      <c r="O69" s="69"/>
      <c r="P69" s="69">
        <f t="shared" si="19"/>
        <v>1236370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3" customFormat="1" ht="64.5" customHeight="1" x14ac:dyDescent="0.25">
      <c r="A70" s="43" t="s">
        <v>202</v>
      </c>
      <c r="B70" s="44" t="str">
        <f>'дод 4'!A66</f>
        <v>3140</v>
      </c>
      <c r="C70" s="44" t="str">
        <f>'дод 4'!B66</f>
        <v>1040</v>
      </c>
      <c r="D70" s="24" t="str">
        <f>'дод 4'!C66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0" s="69">
        <f t="shared" si="18"/>
        <v>7000000</v>
      </c>
      <c r="F70" s="69">
        <v>7000000</v>
      </c>
      <c r="G70" s="69"/>
      <c r="H70" s="69"/>
      <c r="I70" s="69"/>
      <c r="J70" s="69">
        <f t="shared" si="20"/>
        <v>0</v>
      </c>
      <c r="K70" s="69"/>
      <c r="L70" s="69"/>
      <c r="M70" s="69"/>
      <c r="N70" s="69"/>
      <c r="O70" s="69"/>
      <c r="P70" s="69">
        <f t="shared" si="19"/>
        <v>7000000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3" customFormat="1" ht="31.5" customHeight="1" x14ac:dyDescent="0.25">
      <c r="A71" s="43" t="s">
        <v>374</v>
      </c>
      <c r="B71" s="44" t="str">
        <f>'дод 4'!A76</f>
        <v>3242</v>
      </c>
      <c r="C71" s="44" t="str">
        <f>'дод 4'!B76</f>
        <v>1090</v>
      </c>
      <c r="D71" s="24" t="str">
        <f>'дод 4'!C76</f>
        <v>Інші заходи у сфері соціального захисту і соціального забезпечення</v>
      </c>
      <c r="E71" s="69">
        <f t="shared" si="18"/>
        <v>52490</v>
      </c>
      <c r="F71" s="69">
        <v>52490</v>
      </c>
      <c r="G71" s="69"/>
      <c r="H71" s="69"/>
      <c r="I71" s="69"/>
      <c r="J71" s="69">
        <f t="shared" si="20"/>
        <v>0</v>
      </c>
      <c r="K71" s="69"/>
      <c r="L71" s="69"/>
      <c r="M71" s="69"/>
      <c r="N71" s="69"/>
      <c r="O71" s="69"/>
      <c r="P71" s="69">
        <f t="shared" si="19"/>
        <v>52490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3" customFormat="1" ht="33" customHeight="1" x14ac:dyDescent="0.25">
      <c r="A72" s="43" t="s">
        <v>203</v>
      </c>
      <c r="B72" s="44" t="str">
        <f>'дод 4'!A85</f>
        <v>5031</v>
      </c>
      <c r="C72" s="44" t="str">
        <f>'дод 4'!B85</f>
        <v>0810</v>
      </c>
      <c r="D72" s="24" t="str">
        <f>'дод 4'!C85</f>
        <v>Утримання та навчально-тренувальна робота комунальних дитячо-юнацьких спортивних шкіл</v>
      </c>
      <c r="E72" s="69">
        <f t="shared" si="18"/>
        <v>6797500</v>
      </c>
      <c r="F72" s="69">
        <f>6725500+60000+2000+10000</f>
        <v>6797500</v>
      </c>
      <c r="G72" s="69">
        <v>5086600</v>
      </c>
      <c r="H72" s="69">
        <v>240700</v>
      </c>
      <c r="I72" s="69"/>
      <c r="J72" s="69">
        <f t="shared" si="20"/>
        <v>750000</v>
      </c>
      <c r="K72" s="69">
        <f>550000+200000</f>
        <v>750000</v>
      </c>
      <c r="L72" s="69"/>
      <c r="M72" s="69"/>
      <c r="N72" s="69"/>
      <c r="O72" s="69">
        <f>550000+200000</f>
        <v>750000</v>
      </c>
      <c r="P72" s="69">
        <f t="shared" si="19"/>
        <v>7547500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</row>
    <row r="73" spans="1:529" s="23" customFormat="1" ht="33" customHeight="1" x14ac:dyDescent="0.25">
      <c r="A73" s="43" t="s">
        <v>471</v>
      </c>
      <c r="B73" s="44">
        <v>7321</v>
      </c>
      <c r="C73" s="44" t="str">
        <f>'дод 4'!B105</f>
        <v>0443</v>
      </c>
      <c r="D73" s="24" t="str">
        <f>'дод 4'!C105</f>
        <v>Будівництво освітніх установ та закладів</v>
      </c>
      <c r="E73" s="69">
        <f t="shared" si="18"/>
        <v>0</v>
      </c>
      <c r="F73" s="69"/>
      <c r="G73" s="69"/>
      <c r="H73" s="69"/>
      <c r="I73" s="69"/>
      <c r="J73" s="69">
        <f t="shared" si="20"/>
        <v>50000</v>
      </c>
      <c r="K73" s="69">
        <v>50000</v>
      </c>
      <c r="L73" s="69"/>
      <c r="M73" s="69"/>
      <c r="N73" s="69"/>
      <c r="O73" s="69">
        <v>50000</v>
      </c>
      <c r="P73" s="69">
        <f t="shared" si="19"/>
        <v>50000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</row>
    <row r="74" spans="1:529" s="23" customFormat="1" ht="45.75" customHeight="1" x14ac:dyDescent="0.25">
      <c r="A74" s="43" t="s">
        <v>439</v>
      </c>
      <c r="B74" s="44">
        <v>7363</v>
      </c>
      <c r="C74" s="117" t="s">
        <v>102</v>
      </c>
      <c r="D74" s="118" t="s">
        <v>438</v>
      </c>
      <c r="E74" s="69">
        <f t="shared" si="18"/>
        <v>0</v>
      </c>
      <c r="F74" s="69"/>
      <c r="G74" s="69"/>
      <c r="H74" s="69"/>
      <c r="I74" s="69"/>
      <c r="J74" s="69">
        <f t="shared" si="20"/>
        <v>257580.90999999997</v>
      </c>
      <c r="K74" s="69">
        <f>7502.36+250078.55</f>
        <v>257580.90999999997</v>
      </c>
      <c r="L74" s="69"/>
      <c r="M74" s="69"/>
      <c r="N74" s="69"/>
      <c r="O74" s="69">
        <f>7502.36+250078.55</f>
        <v>257580.90999999997</v>
      </c>
      <c r="P74" s="69">
        <f t="shared" si="19"/>
        <v>257580.90999999997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</row>
    <row r="75" spans="1:529" s="23" customFormat="1" x14ac:dyDescent="0.25">
      <c r="A75" s="43"/>
      <c r="B75" s="44"/>
      <c r="C75" s="44"/>
      <c r="D75" s="22" t="s">
        <v>308</v>
      </c>
      <c r="E75" s="69">
        <f t="shared" ref="E75" si="21">F75+I75</f>
        <v>0</v>
      </c>
      <c r="F75" s="69"/>
      <c r="G75" s="69"/>
      <c r="H75" s="69"/>
      <c r="I75" s="69"/>
      <c r="J75" s="69">
        <f t="shared" ref="J75" si="22">L75+O75</f>
        <v>250078.55</v>
      </c>
      <c r="K75" s="69">
        <v>250078.55</v>
      </c>
      <c r="L75" s="69"/>
      <c r="M75" s="69"/>
      <c r="N75" s="69"/>
      <c r="O75" s="69">
        <v>250078.55</v>
      </c>
      <c r="P75" s="69">
        <f t="shared" si="19"/>
        <v>250078.55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</row>
    <row r="76" spans="1:529" s="23" customFormat="1" ht="25.5" customHeight="1" x14ac:dyDescent="0.25">
      <c r="A76" s="43" t="s">
        <v>204</v>
      </c>
      <c r="B76" s="44" t="str">
        <f>'дод 4'!A125</f>
        <v>7640</v>
      </c>
      <c r="C76" s="44" t="str">
        <f>'дод 4'!B125</f>
        <v>0470</v>
      </c>
      <c r="D76" s="24" t="str">
        <f>'дод 4'!C125</f>
        <v>Заходи з енергозбереження</v>
      </c>
      <c r="E76" s="69">
        <f t="shared" si="18"/>
        <v>578800</v>
      </c>
      <c r="F76" s="69">
        <v>578800</v>
      </c>
      <c r="G76" s="69"/>
      <c r="H76" s="69"/>
      <c r="I76" s="69"/>
      <c r="J76" s="69">
        <f t="shared" si="20"/>
        <v>2993200</v>
      </c>
      <c r="K76" s="69">
        <v>2993200</v>
      </c>
      <c r="L76" s="69"/>
      <c r="M76" s="69"/>
      <c r="N76" s="69"/>
      <c r="O76" s="69">
        <v>2993200</v>
      </c>
      <c r="P76" s="69">
        <f t="shared" si="19"/>
        <v>3572000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</row>
    <row r="77" spans="1:529" s="23" customFormat="1" ht="27" customHeight="1" x14ac:dyDescent="0.25">
      <c r="A77" s="43" t="s">
        <v>205</v>
      </c>
      <c r="B77" s="44" t="str">
        <f>'дод 4'!A142</f>
        <v>8340</v>
      </c>
      <c r="C77" s="44" t="str">
        <f>'дод 4'!B142</f>
        <v>0540</v>
      </c>
      <c r="D77" s="24" t="str">
        <f>'дод 4'!C142</f>
        <v>Природоохоронні заходи за рахунок цільових фондів</v>
      </c>
      <c r="E77" s="69">
        <f t="shared" si="18"/>
        <v>0</v>
      </c>
      <c r="F77" s="69"/>
      <c r="G77" s="69"/>
      <c r="H77" s="69"/>
      <c r="I77" s="69"/>
      <c r="J77" s="69">
        <f t="shared" si="20"/>
        <v>400000</v>
      </c>
      <c r="K77" s="69"/>
      <c r="L77" s="69">
        <f>306000+10000</f>
        <v>316000</v>
      </c>
      <c r="M77" s="69"/>
      <c r="N77" s="69"/>
      <c r="O77" s="69">
        <v>84000</v>
      </c>
      <c r="P77" s="69">
        <f t="shared" si="19"/>
        <v>400000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</row>
    <row r="78" spans="1:529" s="23" customFormat="1" ht="48.75" customHeight="1" x14ac:dyDescent="0.25">
      <c r="A78" s="43" t="s">
        <v>440</v>
      </c>
      <c r="B78" s="44">
        <v>9800</v>
      </c>
      <c r="C78" s="45" t="s">
        <v>59</v>
      </c>
      <c r="D78" s="119" t="s">
        <v>441</v>
      </c>
      <c r="E78" s="69">
        <f t="shared" si="18"/>
        <v>84885</v>
      </c>
      <c r="F78" s="69">
        <v>84885</v>
      </c>
      <c r="G78" s="69"/>
      <c r="H78" s="69"/>
      <c r="I78" s="69"/>
      <c r="J78" s="69">
        <f t="shared" si="20"/>
        <v>0</v>
      </c>
      <c r="K78" s="69"/>
      <c r="L78" s="69"/>
      <c r="M78" s="69"/>
      <c r="N78" s="69"/>
      <c r="O78" s="69"/>
      <c r="P78" s="69">
        <f t="shared" si="19"/>
        <v>84885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</row>
    <row r="79" spans="1:529" s="31" customFormat="1" ht="21" customHeight="1" x14ac:dyDescent="0.2">
      <c r="A79" s="76" t="s">
        <v>206</v>
      </c>
      <c r="B79" s="74"/>
      <c r="C79" s="74"/>
      <c r="D79" s="30" t="s">
        <v>36</v>
      </c>
      <c r="E79" s="66">
        <f>E80</f>
        <v>231525748</v>
      </c>
      <c r="F79" s="66">
        <f t="shared" ref="F79:P79" si="23">F80</f>
        <v>231326748</v>
      </c>
      <c r="G79" s="66">
        <f t="shared" si="23"/>
        <v>1637700</v>
      </c>
      <c r="H79" s="66">
        <f t="shared" si="23"/>
        <v>35400</v>
      </c>
      <c r="I79" s="66">
        <f t="shared" si="23"/>
        <v>199000</v>
      </c>
      <c r="J79" s="66">
        <f t="shared" si="23"/>
        <v>104835074</v>
      </c>
      <c r="K79" s="66">
        <f t="shared" si="23"/>
        <v>103950074</v>
      </c>
      <c r="L79" s="66">
        <f t="shared" si="23"/>
        <v>0</v>
      </c>
      <c r="M79" s="66">
        <f t="shared" si="23"/>
        <v>0</v>
      </c>
      <c r="N79" s="66">
        <f t="shared" si="23"/>
        <v>0</v>
      </c>
      <c r="O79" s="66">
        <f t="shared" si="23"/>
        <v>104835074</v>
      </c>
      <c r="P79" s="66">
        <f t="shared" si="23"/>
        <v>336360822</v>
      </c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</row>
    <row r="80" spans="1:529" s="40" customFormat="1" ht="18.75" customHeight="1" x14ac:dyDescent="0.25">
      <c r="A80" s="77" t="s">
        <v>207</v>
      </c>
      <c r="B80" s="75"/>
      <c r="C80" s="75"/>
      <c r="D80" s="33" t="s">
        <v>36</v>
      </c>
      <c r="E80" s="68">
        <f>E82+E83+E85+E87+E89+E91+E93+E94+E95+E96+E97</f>
        <v>231525748</v>
      </c>
      <c r="F80" s="68">
        <f t="shared" ref="F80:P80" si="24">F82+F83+F85+F87+F89+F91+F93+F94+F95+F96+F97</f>
        <v>231326748</v>
      </c>
      <c r="G80" s="68">
        <f t="shared" si="24"/>
        <v>1637700</v>
      </c>
      <c r="H80" s="68">
        <f t="shared" si="24"/>
        <v>35400</v>
      </c>
      <c r="I80" s="68">
        <f t="shared" si="24"/>
        <v>199000</v>
      </c>
      <c r="J80" s="68">
        <f t="shared" si="24"/>
        <v>104835074</v>
      </c>
      <c r="K80" s="68">
        <f t="shared" si="24"/>
        <v>103950074</v>
      </c>
      <c r="L80" s="68">
        <f t="shared" si="24"/>
        <v>0</v>
      </c>
      <c r="M80" s="68">
        <f t="shared" si="24"/>
        <v>0</v>
      </c>
      <c r="N80" s="68">
        <f t="shared" si="24"/>
        <v>0</v>
      </c>
      <c r="O80" s="68">
        <f t="shared" si="24"/>
        <v>104835074</v>
      </c>
      <c r="P80" s="68">
        <f t="shared" si="24"/>
        <v>336360822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</row>
    <row r="81" spans="1:529" s="40" customFormat="1" ht="18.75" customHeight="1" x14ac:dyDescent="0.25">
      <c r="A81" s="77"/>
      <c r="B81" s="75"/>
      <c r="C81" s="75"/>
      <c r="D81" s="33" t="s">
        <v>308</v>
      </c>
      <c r="E81" s="68">
        <f>E84+E86+E88+E90+E92</f>
        <v>61502848</v>
      </c>
      <c r="F81" s="68">
        <f t="shared" ref="F81:P81" si="25">F84+F86+F88+F90+F92</f>
        <v>61502848</v>
      </c>
      <c r="G81" s="68">
        <f t="shared" si="25"/>
        <v>0</v>
      </c>
      <c r="H81" s="68">
        <f t="shared" si="25"/>
        <v>0</v>
      </c>
      <c r="I81" s="68">
        <f t="shared" si="25"/>
        <v>0</v>
      </c>
      <c r="J81" s="68">
        <f t="shared" si="25"/>
        <v>0</v>
      </c>
      <c r="K81" s="68">
        <f t="shared" si="25"/>
        <v>0</v>
      </c>
      <c r="L81" s="68">
        <f t="shared" si="25"/>
        <v>0</v>
      </c>
      <c r="M81" s="68">
        <f t="shared" si="25"/>
        <v>0</v>
      </c>
      <c r="N81" s="68">
        <f t="shared" si="25"/>
        <v>0</v>
      </c>
      <c r="O81" s="68">
        <f t="shared" si="25"/>
        <v>0</v>
      </c>
      <c r="P81" s="68">
        <f t="shared" si="25"/>
        <v>61502848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</row>
    <row r="82" spans="1:529" s="23" customFormat="1" ht="50.25" customHeight="1" x14ac:dyDescent="0.25">
      <c r="A82" s="43" t="s">
        <v>208</v>
      </c>
      <c r="B82" s="44" t="str">
        <f>'дод 4'!A20</f>
        <v>0160</v>
      </c>
      <c r="C82" s="44" t="str">
        <f>'дод 4'!B20</f>
        <v>0111</v>
      </c>
      <c r="D8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82" s="69">
        <f t="shared" ref="E82:E97" si="26">F82+I82</f>
        <v>2346500</v>
      </c>
      <c r="F82" s="69">
        <f>2218500+30000+3500-97800+196800-4500</f>
        <v>2346500</v>
      </c>
      <c r="G82" s="69">
        <f>1721600-80200-3700</f>
        <v>1637700</v>
      </c>
      <c r="H82" s="69">
        <v>35400</v>
      </c>
      <c r="I82" s="69"/>
      <c r="J82" s="69">
        <f>L82+O82</f>
        <v>0</v>
      </c>
      <c r="K82" s="69"/>
      <c r="L82" s="69"/>
      <c r="M82" s="69"/>
      <c r="N82" s="69"/>
      <c r="O82" s="69"/>
      <c r="P82" s="69">
        <f t="shared" ref="P82:P97" si="27">E82+J82</f>
        <v>2346500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14.25" customHeight="1" x14ac:dyDescent="0.25">
      <c r="A83" s="43" t="s">
        <v>209</v>
      </c>
      <c r="B83" s="44" t="str">
        <f>'дод 4'!A41</f>
        <v>2010</v>
      </c>
      <c r="C83" s="44" t="str">
        <f>'дод 4'!B41</f>
        <v>0731</v>
      </c>
      <c r="D83" s="24" t="str">
        <f>'дод 4'!C41</f>
        <v>Багатопрофільна стаціонарна медична допомога населенню</v>
      </c>
      <c r="E83" s="69">
        <f t="shared" si="26"/>
        <v>120917491</v>
      </c>
      <c r="F83" s="69">
        <f>118457491+150000+717000-100000+30000+725000+400000+60000+450000+28000</f>
        <v>120917491</v>
      </c>
      <c r="G83" s="69"/>
      <c r="H83" s="69"/>
      <c r="I83" s="71"/>
      <c r="J83" s="69">
        <f t="shared" ref="J83:J97" si="28">L83+O83</f>
        <v>46795500</v>
      </c>
      <c r="K83" s="69">
        <f>27530000+1100000+1606500-3000000+1500000+10000000+6000000+75000+10000000+454000-16000000+5930000+1500000+100000</f>
        <v>46795500</v>
      </c>
      <c r="L83" s="69"/>
      <c r="M83" s="69"/>
      <c r="N83" s="69"/>
      <c r="O83" s="69">
        <f>27530000+1100000+1606500-3000000+1500000+10000000+6000000+75000+10000000+454000-16000000+5930000+1500000+100000</f>
        <v>46795500</v>
      </c>
      <c r="P83" s="69">
        <f t="shared" si="27"/>
        <v>167712991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3" customFormat="1" ht="17.25" customHeight="1" x14ac:dyDescent="0.25">
      <c r="A84" s="43"/>
      <c r="B84" s="44"/>
      <c r="C84" s="44"/>
      <c r="D84" s="22" t="s">
        <v>308</v>
      </c>
      <c r="E84" s="69">
        <f t="shared" si="26"/>
        <v>48187871</v>
      </c>
      <c r="F84" s="69">
        <f>45209900+2680300+147671+150000</f>
        <v>48187871</v>
      </c>
      <c r="G84" s="69"/>
      <c r="H84" s="69"/>
      <c r="I84" s="71"/>
      <c r="J84" s="69">
        <f t="shared" si="28"/>
        <v>0</v>
      </c>
      <c r="K84" s="69"/>
      <c r="L84" s="69"/>
      <c r="M84" s="69"/>
      <c r="N84" s="69"/>
      <c r="O84" s="69"/>
      <c r="P84" s="69">
        <f t="shared" si="27"/>
        <v>48187871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36.75" customHeight="1" x14ac:dyDescent="0.25">
      <c r="A85" s="43" t="s">
        <v>214</v>
      </c>
      <c r="B85" s="44" t="str">
        <f>'дод 4'!A43</f>
        <v>2030</v>
      </c>
      <c r="C85" s="44" t="str">
        <f>'дод 4'!B43</f>
        <v>0733</v>
      </c>
      <c r="D85" s="24" t="str">
        <f>'дод 4'!C43</f>
        <v>Лікарсько-акушерська допомога вагітним, породіллям та новонародженим</v>
      </c>
      <c r="E85" s="69">
        <f t="shared" si="26"/>
        <v>15420473</v>
      </c>
      <c r="F85" s="69">
        <f>15275473+50000+95000</f>
        <v>15420473</v>
      </c>
      <c r="G85" s="71"/>
      <c r="H85" s="71"/>
      <c r="I85" s="71"/>
      <c r="J85" s="69">
        <f t="shared" si="28"/>
        <v>15040600</v>
      </c>
      <c r="K85" s="69">
        <v>15040600</v>
      </c>
      <c r="L85" s="69"/>
      <c r="M85" s="69"/>
      <c r="N85" s="69"/>
      <c r="O85" s="69">
        <v>15040600</v>
      </c>
      <c r="P85" s="69">
        <f t="shared" si="27"/>
        <v>30461073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3" customFormat="1" ht="16.5" customHeight="1" x14ac:dyDescent="0.25">
      <c r="A86" s="43"/>
      <c r="B86" s="44"/>
      <c r="C86" s="44"/>
      <c r="D86" s="22" t="s">
        <v>308</v>
      </c>
      <c r="E86" s="69">
        <f t="shared" si="26"/>
        <v>6347600</v>
      </c>
      <c r="F86" s="69">
        <v>6347600</v>
      </c>
      <c r="G86" s="71"/>
      <c r="H86" s="71"/>
      <c r="I86" s="71"/>
      <c r="J86" s="69">
        <f t="shared" si="28"/>
        <v>0</v>
      </c>
      <c r="K86" s="69"/>
      <c r="L86" s="69"/>
      <c r="M86" s="69"/>
      <c r="N86" s="69"/>
      <c r="O86" s="69"/>
      <c r="P86" s="69">
        <f t="shared" si="27"/>
        <v>6347600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24" customHeight="1" x14ac:dyDescent="0.25">
      <c r="A87" s="43" t="s">
        <v>213</v>
      </c>
      <c r="B87" s="44" t="str">
        <f>'дод 4'!A45</f>
        <v>2100</v>
      </c>
      <c r="C87" s="44" t="str">
        <f>'дод 4'!B45</f>
        <v>0722</v>
      </c>
      <c r="D87" s="24" t="str">
        <f>'дод 4'!C45</f>
        <v>Стоматологічна допомога населенню</v>
      </c>
      <c r="E87" s="69">
        <f t="shared" si="26"/>
        <v>6663426</v>
      </c>
      <c r="F87" s="69">
        <v>6663426</v>
      </c>
      <c r="G87" s="71"/>
      <c r="H87" s="71"/>
      <c r="I87" s="71"/>
      <c r="J87" s="69">
        <f t="shared" si="28"/>
        <v>1130000</v>
      </c>
      <c r="K87" s="69">
        <f>1210600-80600</f>
        <v>1130000</v>
      </c>
      <c r="L87" s="69"/>
      <c r="M87" s="69"/>
      <c r="N87" s="69"/>
      <c r="O87" s="69">
        <f>1210600-80600</f>
        <v>1130000</v>
      </c>
      <c r="P87" s="69">
        <f t="shared" si="27"/>
        <v>7793426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15" customHeight="1" x14ac:dyDescent="0.25">
      <c r="A88" s="43"/>
      <c r="B88" s="44"/>
      <c r="C88" s="44"/>
      <c r="D88" s="22" t="s">
        <v>308</v>
      </c>
      <c r="E88" s="69">
        <f t="shared" si="26"/>
        <v>1132200</v>
      </c>
      <c r="F88" s="69">
        <v>1132200</v>
      </c>
      <c r="G88" s="71"/>
      <c r="H88" s="71"/>
      <c r="I88" s="71"/>
      <c r="J88" s="69">
        <f t="shared" si="28"/>
        <v>0</v>
      </c>
      <c r="K88" s="69"/>
      <c r="L88" s="69"/>
      <c r="M88" s="69"/>
      <c r="N88" s="69"/>
      <c r="O88" s="69"/>
      <c r="P88" s="69">
        <f t="shared" si="27"/>
        <v>1132200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40.5" customHeight="1" x14ac:dyDescent="0.25">
      <c r="A89" s="43" t="s">
        <v>212</v>
      </c>
      <c r="B89" s="44" t="str">
        <f>'дод 4'!A47</f>
        <v>2111</v>
      </c>
      <c r="C89" s="44" t="str">
        <f>'дод 4'!B47</f>
        <v>0726</v>
      </c>
      <c r="D89" s="24" t="str">
        <f>'дод 4'!C47</f>
        <v>Первинна медична допомога населенню, що надається центрами первинної медичної (медико-санітарної) допомоги</v>
      </c>
      <c r="E89" s="69">
        <f t="shared" si="26"/>
        <v>1984936</v>
      </c>
      <c r="F89" s="69">
        <f>1672468+173000+25000+12000+2468+100000</f>
        <v>1984936</v>
      </c>
      <c r="G89" s="71"/>
      <c r="H89" s="71"/>
      <c r="I89" s="71"/>
      <c r="J89" s="69">
        <f t="shared" si="28"/>
        <v>0</v>
      </c>
      <c r="K89" s="69"/>
      <c r="L89" s="69"/>
      <c r="M89" s="69"/>
      <c r="N89" s="69"/>
      <c r="O89" s="69"/>
      <c r="P89" s="69">
        <f t="shared" si="27"/>
        <v>1984936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18.75" customHeight="1" x14ac:dyDescent="0.25">
      <c r="A90" s="43"/>
      <c r="B90" s="44"/>
      <c r="C90" s="44"/>
      <c r="D90" s="25" t="str">
        <f>'дод 4'!C48</f>
        <v>у т.ч. за рахунок субвенцій з держбюджету</v>
      </c>
      <c r="E90" s="69">
        <f t="shared" ref="E90" si="29">F90+I90</f>
        <v>2468</v>
      </c>
      <c r="F90" s="69">
        <v>2468</v>
      </c>
      <c r="G90" s="71"/>
      <c r="H90" s="71"/>
      <c r="I90" s="71"/>
      <c r="J90" s="69">
        <f t="shared" ref="J90" si="30">L90+O90</f>
        <v>0</v>
      </c>
      <c r="K90" s="69"/>
      <c r="L90" s="69"/>
      <c r="M90" s="69"/>
      <c r="N90" s="69"/>
      <c r="O90" s="69"/>
      <c r="P90" s="69">
        <f t="shared" ref="P90" si="31">E90+J90</f>
        <v>2468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32.25" customHeight="1" x14ac:dyDescent="0.25">
      <c r="A91" s="43" t="s">
        <v>211</v>
      </c>
      <c r="B91" s="44">
        <f>'дод 4'!A49</f>
        <v>2144</v>
      </c>
      <c r="C91" s="44" t="str">
        <f>'дод 4'!B49</f>
        <v>0763</v>
      </c>
      <c r="D91" s="25" t="str">
        <f>'дод 4'!C49</f>
        <v>Централізовані заходи з лікування хворих на цукровий та нецукровий діабет</v>
      </c>
      <c r="E91" s="69">
        <f t="shared" si="26"/>
        <v>7432709</v>
      </c>
      <c r="F91" s="69">
        <f>2090140+1000000+4342569</f>
        <v>7432709</v>
      </c>
      <c r="G91" s="71"/>
      <c r="H91" s="71"/>
      <c r="I91" s="71"/>
      <c r="J91" s="69">
        <f t="shared" si="28"/>
        <v>0</v>
      </c>
      <c r="K91" s="69"/>
      <c r="L91" s="69"/>
      <c r="M91" s="69"/>
      <c r="N91" s="69"/>
      <c r="O91" s="69"/>
      <c r="P91" s="69">
        <f t="shared" si="27"/>
        <v>7432709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3" customFormat="1" ht="18.75" customHeight="1" x14ac:dyDescent="0.25">
      <c r="A92" s="43"/>
      <c r="B92" s="44"/>
      <c r="C92" s="44"/>
      <c r="D92" s="25" t="str">
        <f>'дод 4'!C50</f>
        <v>у т.ч. за рахунок субвенцій з держбюджету</v>
      </c>
      <c r="E92" s="69">
        <f t="shared" si="26"/>
        <v>5832709</v>
      </c>
      <c r="F92" s="69">
        <f>1490140+4342569</f>
        <v>5832709</v>
      </c>
      <c r="G92" s="71"/>
      <c r="H92" s="71"/>
      <c r="I92" s="71"/>
      <c r="J92" s="69">
        <f t="shared" si="28"/>
        <v>0</v>
      </c>
      <c r="K92" s="69"/>
      <c r="L92" s="69"/>
      <c r="M92" s="69"/>
      <c r="N92" s="69"/>
      <c r="O92" s="69"/>
      <c r="P92" s="69">
        <f t="shared" si="27"/>
        <v>5832709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</row>
    <row r="93" spans="1:529" s="23" customFormat="1" ht="30" customHeight="1" x14ac:dyDescent="0.25">
      <c r="A93" s="43" t="s">
        <v>382</v>
      </c>
      <c r="B93" s="45" t="str">
        <f>'дод 4'!A51</f>
        <v>2151</v>
      </c>
      <c r="C93" s="45" t="str">
        <f>'дод 4'!B51</f>
        <v>0763</v>
      </c>
      <c r="D93" s="24" t="str">
        <f>'дод 4'!C51</f>
        <v>Забезпечення діяльності інших закладів у сфері охорони здоров’я</v>
      </c>
      <c r="E93" s="69">
        <f t="shared" si="26"/>
        <v>2894213</v>
      </c>
      <c r="F93" s="69">
        <v>2894213</v>
      </c>
      <c r="G93" s="71"/>
      <c r="H93" s="71"/>
      <c r="I93" s="71"/>
      <c r="J93" s="69">
        <f t="shared" si="28"/>
        <v>0</v>
      </c>
      <c r="K93" s="69"/>
      <c r="L93" s="69"/>
      <c r="M93" s="69"/>
      <c r="N93" s="69"/>
      <c r="O93" s="69"/>
      <c r="P93" s="69">
        <f t="shared" si="27"/>
        <v>2894213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24.75" customHeight="1" x14ac:dyDescent="0.25">
      <c r="A94" s="43" t="s">
        <v>383</v>
      </c>
      <c r="B94" s="45" t="str">
        <f>'дод 4'!A52</f>
        <v>2152</v>
      </c>
      <c r="C94" s="45" t="str">
        <f>'дод 4'!B52</f>
        <v>0763</v>
      </c>
      <c r="D94" s="22" t="str">
        <f>'дод 4'!C52</f>
        <v>Інші програми та заходи у сфері охорони здоров’я</v>
      </c>
      <c r="E94" s="69">
        <f t="shared" si="26"/>
        <v>73667000</v>
      </c>
      <c r="F94" s="69">
        <f>18815000+3000000+7000000+625000+63490000-8000000-1500000-5930000-1883000-1950000</f>
        <v>73667000</v>
      </c>
      <c r="G94" s="69"/>
      <c r="H94" s="69"/>
      <c r="I94" s="69"/>
      <c r="J94" s="69">
        <f t="shared" si="28"/>
        <v>16000000</v>
      </c>
      <c r="K94" s="69">
        <v>16000000</v>
      </c>
      <c r="L94" s="69"/>
      <c r="M94" s="69"/>
      <c r="N94" s="69"/>
      <c r="O94" s="69">
        <v>16000000</v>
      </c>
      <c r="P94" s="69">
        <f t="shared" si="27"/>
        <v>89667000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44.25" customHeight="1" x14ac:dyDescent="0.25">
      <c r="A95" s="43" t="s">
        <v>449</v>
      </c>
      <c r="B95" s="45">
        <f>'дод 4'!A110</f>
        <v>7361</v>
      </c>
      <c r="C95" s="45" t="str">
        <f>'дод 4'!B110</f>
        <v>0490</v>
      </c>
      <c r="D95" s="22" t="str">
        <f>'дод 4'!C110</f>
        <v>Співфінансування інвестиційних проектів, що реалізуються за рахунок коштів державного фонду регіонального розвитку</v>
      </c>
      <c r="E95" s="69">
        <f t="shared" si="26"/>
        <v>0</v>
      </c>
      <c r="F95" s="69"/>
      <c r="G95" s="69"/>
      <c r="H95" s="69"/>
      <c r="I95" s="69"/>
      <c r="J95" s="69">
        <f t="shared" si="28"/>
        <v>3000000</v>
      </c>
      <c r="K95" s="69">
        <v>3000000</v>
      </c>
      <c r="L95" s="69"/>
      <c r="M95" s="69"/>
      <c r="N95" s="69"/>
      <c r="O95" s="69">
        <v>3000000</v>
      </c>
      <c r="P95" s="69">
        <f t="shared" si="27"/>
        <v>3000000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3" customFormat="1" ht="18.75" customHeight="1" x14ac:dyDescent="0.25">
      <c r="A96" s="43" t="s">
        <v>210</v>
      </c>
      <c r="B96" s="44" t="str">
        <f>'дод 4'!A125</f>
        <v>7640</v>
      </c>
      <c r="C96" s="44" t="str">
        <f>'дод 4'!B125</f>
        <v>0470</v>
      </c>
      <c r="D96" s="24" t="str">
        <f>'дод 4'!C125</f>
        <v>Заходи з енергозбереження</v>
      </c>
      <c r="E96" s="69">
        <f t="shared" si="26"/>
        <v>199000</v>
      </c>
      <c r="F96" s="69"/>
      <c r="G96" s="69"/>
      <c r="H96" s="69"/>
      <c r="I96" s="69">
        <v>199000</v>
      </c>
      <c r="J96" s="69">
        <f t="shared" si="28"/>
        <v>21983974</v>
      </c>
      <c r="K96" s="69">
        <f>17559604+14714700-6500000+1200000-1100000+9670-1500000-2400000</f>
        <v>21983974</v>
      </c>
      <c r="L96" s="69"/>
      <c r="M96" s="69"/>
      <c r="N96" s="69"/>
      <c r="O96" s="69">
        <f>17559604+14714700-6500000+1200000-1100000+9670-1500000-2400000</f>
        <v>21983974</v>
      </c>
      <c r="P96" s="69">
        <f t="shared" si="27"/>
        <v>22182974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</row>
    <row r="97" spans="1:529" s="23" customFormat="1" ht="45" customHeight="1" x14ac:dyDescent="0.25">
      <c r="A97" s="43" t="s">
        <v>425</v>
      </c>
      <c r="B97" s="44">
        <v>7700</v>
      </c>
      <c r="C97" s="43" t="s">
        <v>113</v>
      </c>
      <c r="D97" s="24" t="s">
        <v>426</v>
      </c>
      <c r="E97" s="69">
        <f t="shared" si="26"/>
        <v>0</v>
      </c>
      <c r="F97" s="69"/>
      <c r="G97" s="69"/>
      <c r="H97" s="69"/>
      <c r="I97" s="69"/>
      <c r="J97" s="69">
        <f t="shared" si="28"/>
        <v>885000</v>
      </c>
      <c r="K97" s="69"/>
      <c r="L97" s="69"/>
      <c r="M97" s="69"/>
      <c r="N97" s="69"/>
      <c r="O97" s="69">
        <v>885000</v>
      </c>
      <c r="P97" s="69">
        <f t="shared" si="27"/>
        <v>885000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</row>
    <row r="98" spans="1:529" s="31" customFormat="1" ht="36" customHeight="1" x14ac:dyDescent="0.2">
      <c r="A98" s="76" t="s">
        <v>215</v>
      </c>
      <c r="B98" s="74"/>
      <c r="C98" s="74"/>
      <c r="D98" s="30" t="s">
        <v>51</v>
      </c>
      <c r="E98" s="66">
        <f>E99</f>
        <v>169984226.63</v>
      </c>
      <c r="F98" s="66">
        <f t="shared" ref="F98:J98" si="32">F99</f>
        <v>169984226.63</v>
      </c>
      <c r="G98" s="66">
        <f t="shared" si="32"/>
        <v>55494025</v>
      </c>
      <c r="H98" s="66">
        <f t="shared" si="32"/>
        <v>1564490</v>
      </c>
      <c r="I98" s="66">
        <f t="shared" si="32"/>
        <v>0</v>
      </c>
      <c r="J98" s="66">
        <f t="shared" si="32"/>
        <v>1267640</v>
      </c>
      <c r="K98" s="66">
        <f t="shared" ref="K98" si="33">K99</f>
        <v>1159540</v>
      </c>
      <c r="L98" s="66">
        <f t="shared" ref="L98" si="34">L99</f>
        <v>108100</v>
      </c>
      <c r="M98" s="66">
        <f t="shared" ref="M98" si="35">M99</f>
        <v>85100</v>
      </c>
      <c r="N98" s="66">
        <f t="shared" ref="N98" si="36">N99</f>
        <v>0</v>
      </c>
      <c r="O98" s="66">
        <f t="shared" ref="O98:P98" si="37">O99</f>
        <v>1159540</v>
      </c>
      <c r="P98" s="66">
        <f t="shared" si="37"/>
        <v>171251866.63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</row>
    <row r="99" spans="1:529" s="40" customFormat="1" ht="32.25" customHeight="1" x14ac:dyDescent="0.25">
      <c r="A99" s="77" t="s">
        <v>216</v>
      </c>
      <c r="B99" s="75"/>
      <c r="C99" s="75"/>
      <c r="D99" s="33" t="s">
        <v>51</v>
      </c>
      <c r="E99" s="68">
        <f>E100+E101+E102+E103+E104+E105+E106+E107+E108+E109+E110+E111+E112+E113+E114+E115+E116+E117+E118+E119</f>
        <v>169984226.63</v>
      </c>
      <c r="F99" s="68">
        <f t="shared" ref="F99:P99" si="38">F100+F101+F102+F103+F104+F105+F106+F107+F108+F109+F110+F111+F112+F113+F114+F115+F116+F117+F118+F119</f>
        <v>169984226.63</v>
      </c>
      <c r="G99" s="68">
        <f t="shared" si="38"/>
        <v>55494025</v>
      </c>
      <c r="H99" s="68">
        <f t="shared" si="38"/>
        <v>1564490</v>
      </c>
      <c r="I99" s="68">
        <f t="shared" si="38"/>
        <v>0</v>
      </c>
      <c r="J99" s="68">
        <f t="shared" si="38"/>
        <v>1267640</v>
      </c>
      <c r="K99" s="68">
        <f>K100+K101+K102+K103+K104+K105+K106+K107+K108+K109+K110+K111+K112+K113+K114+K115+K116+K117+K118+K119</f>
        <v>1159540</v>
      </c>
      <c r="L99" s="68">
        <f t="shared" si="38"/>
        <v>108100</v>
      </c>
      <c r="M99" s="68">
        <f t="shared" si="38"/>
        <v>85100</v>
      </c>
      <c r="N99" s="68">
        <f t="shared" si="38"/>
        <v>0</v>
      </c>
      <c r="O99" s="68">
        <f t="shared" si="38"/>
        <v>1159540</v>
      </c>
      <c r="P99" s="68">
        <f t="shared" si="38"/>
        <v>171251866.63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/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/>
      <c r="KN99" s="39"/>
      <c r="KO99" s="39"/>
      <c r="KP99" s="39"/>
      <c r="KQ99" s="39"/>
      <c r="KR99" s="39"/>
      <c r="KS99" s="39"/>
      <c r="KT99" s="39"/>
      <c r="KU99" s="39"/>
      <c r="KV99" s="39"/>
      <c r="KW99" s="39"/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/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/>
      <c r="ME99" s="39"/>
      <c r="MF99" s="39"/>
      <c r="MG99" s="39"/>
      <c r="MH99" s="39"/>
      <c r="MI99" s="39"/>
      <c r="MJ99" s="39"/>
      <c r="MK99" s="39"/>
      <c r="ML99" s="39"/>
      <c r="MM99" s="39"/>
      <c r="MN99" s="39"/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/>
      <c r="NE99" s="39"/>
      <c r="NF99" s="39"/>
      <c r="NG99" s="39"/>
      <c r="NH99" s="39"/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/>
      <c r="OT99" s="39"/>
      <c r="OU99" s="39"/>
      <c r="OV99" s="39"/>
      <c r="OW99" s="39"/>
      <c r="OX99" s="39"/>
      <c r="OY99" s="39"/>
      <c r="OZ99" s="39"/>
      <c r="PA99" s="39"/>
      <c r="PB99" s="39"/>
      <c r="PC99" s="39"/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39"/>
      <c r="RH99" s="39"/>
      <c r="RI99" s="39"/>
      <c r="RJ99" s="39"/>
      <c r="RK99" s="39"/>
      <c r="RL99" s="39"/>
      <c r="RM99" s="39"/>
      <c r="RN99" s="39"/>
      <c r="RO99" s="39"/>
      <c r="RP99" s="39"/>
      <c r="RQ99" s="39"/>
      <c r="RR99" s="39"/>
      <c r="RS99" s="39"/>
      <c r="RT99" s="39"/>
      <c r="RU99" s="39"/>
      <c r="RV99" s="39"/>
      <c r="RW99" s="39"/>
      <c r="RX99" s="39"/>
      <c r="RY99" s="39"/>
      <c r="RZ99" s="39"/>
      <c r="SA99" s="39"/>
      <c r="SB99" s="39"/>
      <c r="SC99" s="39"/>
      <c r="SD99" s="39"/>
      <c r="SE99" s="39"/>
      <c r="SF99" s="39"/>
      <c r="SG99" s="39"/>
      <c r="SH99" s="39"/>
      <c r="SI99" s="39"/>
      <c r="SJ99" s="39"/>
      <c r="SK99" s="39"/>
      <c r="SL99" s="39"/>
      <c r="SM99" s="39"/>
      <c r="SN99" s="39"/>
      <c r="SO99" s="39"/>
      <c r="SP99" s="39"/>
      <c r="SQ99" s="39"/>
      <c r="SR99" s="39"/>
      <c r="SS99" s="39"/>
      <c r="ST99" s="39"/>
      <c r="SU99" s="39"/>
      <c r="SV99" s="39"/>
      <c r="SW99" s="39"/>
      <c r="SX99" s="39"/>
      <c r="SY99" s="39"/>
      <c r="SZ99" s="39"/>
      <c r="TA99" s="39"/>
      <c r="TB99" s="39"/>
      <c r="TC99" s="39"/>
      <c r="TD99" s="39"/>
      <c r="TE99" s="39"/>
      <c r="TF99" s="39"/>
      <c r="TG99" s="39"/>
      <c r="TH99" s="39"/>
      <c r="TI99" s="39"/>
    </row>
    <row r="100" spans="1:529" s="23" customFormat="1" ht="45.75" customHeight="1" x14ac:dyDescent="0.25">
      <c r="A100" s="43" t="s">
        <v>217</v>
      </c>
      <c r="B100" s="44" t="str">
        <f>'дод 4'!A20</f>
        <v>0160</v>
      </c>
      <c r="C100" s="44" t="str">
        <f>'дод 4'!B20</f>
        <v>0111</v>
      </c>
      <c r="D100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00" s="69">
        <f t="shared" ref="E100:E119" si="39">F100+I100</f>
        <v>53321100</v>
      </c>
      <c r="F100" s="69">
        <f>55432800+254000-2496600+234900-104000</f>
        <v>53321100</v>
      </c>
      <c r="G100" s="69">
        <f>43728800-2046400-85200</f>
        <v>41597200</v>
      </c>
      <c r="H100" s="69">
        <v>841800</v>
      </c>
      <c r="I100" s="69"/>
      <c r="J100" s="69">
        <f>L100+O100</f>
        <v>0</v>
      </c>
      <c r="K100" s="69"/>
      <c r="L100" s="69"/>
      <c r="M100" s="69"/>
      <c r="N100" s="69"/>
      <c r="O100" s="69"/>
      <c r="P100" s="69">
        <f t="shared" ref="P100:P119" si="40">E100+J100</f>
        <v>53321100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</row>
    <row r="101" spans="1:529" s="26" customFormat="1" ht="36" customHeight="1" x14ac:dyDescent="0.25">
      <c r="A101" s="43" t="s">
        <v>218</v>
      </c>
      <c r="B101" s="44" t="str">
        <f>'дод 4'!A54</f>
        <v>3031</v>
      </c>
      <c r="C101" s="44" t="str">
        <f>'дод 4'!B54</f>
        <v>1030</v>
      </c>
      <c r="D101" s="24" t="str">
        <f>'дод 4'!C54</f>
        <v>Надання інших пільг окремим категоріям громадян відповідно до законодавства</v>
      </c>
      <c r="E101" s="69">
        <f t="shared" si="39"/>
        <v>582400</v>
      </c>
      <c r="F101" s="69">
        <v>582400</v>
      </c>
      <c r="G101" s="69"/>
      <c r="H101" s="69"/>
      <c r="I101" s="69"/>
      <c r="J101" s="69">
        <f t="shared" ref="J101:J116" si="41">L101+O101</f>
        <v>0</v>
      </c>
      <c r="K101" s="69">
        <f>232600-190600-42000</f>
        <v>0</v>
      </c>
      <c r="L101" s="69"/>
      <c r="M101" s="69"/>
      <c r="N101" s="69"/>
      <c r="O101" s="69">
        <f>232600-190600-42000</f>
        <v>0</v>
      </c>
      <c r="P101" s="69">
        <f t="shared" si="40"/>
        <v>582400</v>
      </c>
    </row>
    <row r="102" spans="1:529" s="26" customFormat="1" ht="42.75" customHeight="1" x14ac:dyDescent="0.25">
      <c r="A102" s="43" t="s">
        <v>219</v>
      </c>
      <c r="B102" s="44" t="str">
        <f>'дод 4'!A55</f>
        <v>3032</v>
      </c>
      <c r="C102" s="44" t="str">
        <f>'дод 4'!B55</f>
        <v>1070</v>
      </c>
      <c r="D102" s="24" t="str">
        <f>'дод 4'!C55</f>
        <v>Надання пільг окремим категоріям громадян з оплати послуг зв'язку</v>
      </c>
      <c r="E102" s="69">
        <f t="shared" si="39"/>
        <v>1259894</v>
      </c>
      <c r="F102" s="69">
        <f>1300000-4876-35230</f>
        <v>1259894</v>
      </c>
      <c r="G102" s="69"/>
      <c r="H102" s="69"/>
      <c r="I102" s="69"/>
      <c r="J102" s="69">
        <f t="shared" si="41"/>
        <v>0</v>
      </c>
      <c r="K102" s="69"/>
      <c r="L102" s="69"/>
      <c r="M102" s="69"/>
      <c r="N102" s="69"/>
      <c r="O102" s="69"/>
      <c r="P102" s="69">
        <f t="shared" si="40"/>
        <v>1259894</v>
      </c>
    </row>
    <row r="103" spans="1:529" s="26" customFormat="1" ht="51.75" customHeight="1" x14ac:dyDescent="0.25">
      <c r="A103" s="43" t="s">
        <v>413</v>
      </c>
      <c r="B103" s="44" t="str">
        <f>'дод 4'!A56</f>
        <v>3033</v>
      </c>
      <c r="C103" s="44" t="str">
        <f>'дод 4'!B56</f>
        <v>1070</v>
      </c>
      <c r="D103" s="24" t="str">
        <f>'дод 4'!C56</f>
        <v>Компенсаційні виплати на пільговий проїзд автомобільним транспортом окремим категоріям громадян</v>
      </c>
      <c r="E103" s="69">
        <f t="shared" si="39"/>
        <v>24021763.129999999</v>
      </c>
      <c r="F103" s="69">
        <f>24500000+97100+2184757.11+39906.02-2800000</f>
        <v>24021763.129999999</v>
      </c>
      <c r="G103" s="69"/>
      <c r="H103" s="69"/>
      <c r="I103" s="69"/>
      <c r="J103" s="69">
        <f t="shared" si="41"/>
        <v>0</v>
      </c>
      <c r="K103" s="69"/>
      <c r="L103" s="69"/>
      <c r="M103" s="69"/>
      <c r="N103" s="69"/>
      <c r="O103" s="69"/>
      <c r="P103" s="69">
        <f t="shared" si="40"/>
        <v>24021763.129999999</v>
      </c>
    </row>
    <row r="104" spans="1:529" s="26" customFormat="1" ht="30" x14ac:dyDescent="0.25">
      <c r="A104" s="43" t="s">
        <v>381</v>
      </c>
      <c r="B104" s="44" t="str">
        <f>'дод 4'!A57</f>
        <v>3035</v>
      </c>
      <c r="C104" s="44" t="str">
        <f>'дод 4'!B57</f>
        <v>1070</v>
      </c>
      <c r="D104" s="24" t="str">
        <f>'дод 4'!C57</f>
        <v>Компенсаційні виплати за пільговий проїзд окремих категорій громадян на залізничному транспорті</v>
      </c>
      <c r="E104" s="69">
        <f t="shared" si="39"/>
        <v>1000000</v>
      </c>
      <c r="F104" s="69">
        <v>1000000</v>
      </c>
      <c r="G104" s="69"/>
      <c r="H104" s="69"/>
      <c r="I104" s="69"/>
      <c r="J104" s="69">
        <f t="shared" si="41"/>
        <v>0</v>
      </c>
      <c r="K104" s="69"/>
      <c r="L104" s="69"/>
      <c r="M104" s="69"/>
      <c r="N104" s="69"/>
      <c r="O104" s="69"/>
      <c r="P104" s="69">
        <f t="shared" si="40"/>
        <v>1000000</v>
      </c>
    </row>
    <row r="105" spans="1:529" s="26" customFormat="1" ht="36" customHeight="1" x14ac:dyDescent="0.25">
      <c r="A105" s="43" t="s">
        <v>220</v>
      </c>
      <c r="B105" s="44" t="str">
        <f>'дод 4'!A58</f>
        <v>3036</v>
      </c>
      <c r="C105" s="44" t="str">
        <f>'дод 4'!B58</f>
        <v>1070</v>
      </c>
      <c r="D105" s="24" t="str">
        <f>'дод 4'!C58</f>
        <v>Компенсаційні виплати на пільговий проїзд електротранспортом окремим категоріям громадян</v>
      </c>
      <c r="E105" s="69">
        <f t="shared" si="39"/>
        <v>26077955.5</v>
      </c>
      <c r="F105" s="69">
        <f>39098112+1372388+807455.5-15200000</f>
        <v>26077955.5</v>
      </c>
      <c r="G105" s="69"/>
      <c r="H105" s="69"/>
      <c r="I105" s="69"/>
      <c r="J105" s="69">
        <f t="shared" si="41"/>
        <v>0</v>
      </c>
      <c r="K105" s="69"/>
      <c r="L105" s="69"/>
      <c r="M105" s="69"/>
      <c r="N105" s="69"/>
      <c r="O105" s="69"/>
      <c r="P105" s="69">
        <f t="shared" si="40"/>
        <v>26077955.5</v>
      </c>
    </row>
    <row r="106" spans="1:529" s="23" customFormat="1" ht="44.25" customHeight="1" x14ac:dyDescent="0.25">
      <c r="A106" s="43" t="s">
        <v>411</v>
      </c>
      <c r="B106" s="44" t="str">
        <f>'дод 4'!A59</f>
        <v>3050</v>
      </c>
      <c r="C106" s="44" t="str">
        <f>'дод 4'!B59</f>
        <v>1070</v>
      </c>
      <c r="D106" s="24" t="str">
        <f>'дод 4'!C59</f>
        <v>Пільгове медичне обслуговування осіб, які постраждали внаслідок Чорнобильської катастрофи</v>
      </c>
      <c r="E106" s="69">
        <f t="shared" si="39"/>
        <v>853000</v>
      </c>
      <c r="F106" s="69">
        <v>853000</v>
      </c>
      <c r="G106" s="69"/>
      <c r="H106" s="69"/>
      <c r="I106" s="69"/>
      <c r="J106" s="69">
        <f t="shared" si="41"/>
        <v>0</v>
      </c>
      <c r="K106" s="69"/>
      <c r="L106" s="69"/>
      <c r="M106" s="69"/>
      <c r="N106" s="69"/>
      <c r="O106" s="69"/>
      <c r="P106" s="69">
        <f t="shared" si="40"/>
        <v>853000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</row>
    <row r="107" spans="1:529" s="23" customFormat="1" ht="38.25" customHeight="1" x14ac:dyDescent="0.25">
      <c r="A107" s="43" t="s">
        <v>412</v>
      </c>
      <c r="B107" s="44" t="str">
        <f>'дод 4'!A60</f>
        <v>3090</v>
      </c>
      <c r="C107" s="44" t="str">
        <f>'дод 4'!B60</f>
        <v>1030</v>
      </c>
      <c r="D107" s="24" t="str">
        <f>'дод 4'!C60</f>
        <v>Видатки на поховання учасників бойових дій та осіб з інвалідністю внаслідок війни</v>
      </c>
      <c r="E107" s="69">
        <f t="shared" si="39"/>
        <v>228400</v>
      </c>
      <c r="F107" s="69">
        <v>228400</v>
      </c>
      <c r="G107" s="69"/>
      <c r="H107" s="69"/>
      <c r="I107" s="69"/>
      <c r="J107" s="69">
        <f t="shared" si="41"/>
        <v>0</v>
      </c>
      <c r="K107" s="69"/>
      <c r="L107" s="69"/>
      <c r="M107" s="69"/>
      <c r="N107" s="69"/>
      <c r="O107" s="69"/>
      <c r="P107" s="69">
        <f t="shared" si="40"/>
        <v>228400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</row>
    <row r="108" spans="1:529" s="23" customFormat="1" ht="60.75" customHeight="1" x14ac:dyDescent="0.25">
      <c r="A108" s="43" t="s">
        <v>221</v>
      </c>
      <c r="B108" s="44" t="str">
        <f>'дод 4'!A61</f>
        <v>3104</v>
      </c>
      <c r="C108" s="44" t="str">
        <f>'дод 4'!B61</f>
        <v>1020</v>
      </c>
      <c r="D108" s="24" t="str">
        <f>'дод 4'!C61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8" s="69">
        <f t="shared" si="39"/>
        <v>13559330</v>
      </c>
      <c r="F108" s="69">
        <f>13527630+2100+29600</f>
        <v>13559330</v>
      </c>
      <c r="G108" s="69">
        <v>10389550</v>
      </c>
      <c r="H108" s="69">
        <v>230060</v>
      </c>
      <c r="I108" s="69"/>
      <c r="J108" s="69">
        <f t="shared" si="41"/>
        <v>471000</v>
      </c>
      <c r="K108" s="69">
        <f>342900+20000</f>
        <v>362900</v>
      </c>
      <c r="L108" s="69">
        <v>108100</v>
      </c>
      <c r="M108" s="69">
        <v>85100</v>
      </c>
      <c r="N108" s="69"/>
      <c r="O108" s="69">
        <f>342900+20000</f>
        <v>362900</v>
      </c>
      <c r="P108" s="69">
        <f t="shared" si="40"/>
        <v>14030330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</row>
    <row r="109" spans="1:529" s="23" customFormat="1" ht="87" customHeight="1" x14ac:dyDescent="0.25">
      <c r="A109" s="43" t="s">
        <v>222</v>
      </c>
      <c r="B109" s="44" t="str">
        <f>'дод 4'!A67</f>
        <v>3160</v>
      </c>
      <c r="C109" s="44">
        <f>'дод 4'!B67</f>
        <v>1010</v>
      </c>
      <c r="D109" s="24" t="str">
        <f>'дод 4'!C67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09" s="69">
        <f t="shared" si="39"/>
        <v>1884220</v>
      </c>
      <c r="F109" s="69">
        <f>1911000-16000-10780</f>
        <v>1884220</v>
      </c>
      <c r="G109" s="69"/>
      <c r="H109" s="69"/>
      <c r="I109" s="69"/>
      <c r="J109" s="69">
        <f t="shared" si="41"/>
        <v>0</v>
      </c>
      <c r="K109" s="69"/>
      <c r="L109" s="69"/>
      <c r="M109" s="69"/>
      <c r="N109" s="69"/>
      <c r="O109" s="69"/>
      <c r="P109" s="69">
        <f t="shared" si="40"/>
        <v>1884220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</row>
    <row r="110" spans="1:529" s="23" customFormat="1" ht="63.75" customHeight="1" x14ac:dyDescent="0.25">
      <c r="A110" s="43" t="s">
        <v>414</v>
      </c>
      <c r="B110" s="44" t="str">
        <f>'дод 4'!A68</f>
        <v>3171</v>
      </c>
      <c r="C110" s="44">
        <f>'дод 4'!B68</f>
        <v>1010</v>
      </c>
      <c r="D110" s="24" t="str">
        <f>'дод 4'!C68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10" s="69">
        <f t="shared" si="39"/>
        <v>228095</v>
      </c>
      <c r="F110" s="69">
        <v>228095</v>
      </c>
      <c r="G110" s="69"/>
      <c r="H110" s="69"/>
      <c r="I110" s="69"/>
      <c r="J110" s="69">
        <f t="shared" si="41"/>
        <v>0</v>
      </c>
      <c r="K110" s="69"/>
      <c r="L110" s="69"/>
      <c r="M110" s="69"/>
      <c r="N110" s="69"/>
      <c r="O110" s="69"/>
      <c r="P110" s="69">
        <f t="shared" si="40"/>
        <v>228095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</row>
    <row r="111" spans="1:529" s="23" customFormat="1" ht="43.5" customHeight="1" x14ac:dyDescent="0.25">
      <c r="A111" s="43" t="s">
        <v>415</v>
      </c>
      <c r="B111" s="44" t="str">
        <f>'дод 4'!A69</f>
        <v>3172</v>
      </c>
      <c r="C111" s="44">
        <f>'дод 4'!B69</f>
        <v>1010</v>
      </c>
      <c r="D111" s="24" t="str">
        <f>'дод 4'!C69</f>
        <v>Встановлення телефонів особам з інвалідністю I і II груп</v>
      </c>
      <c r="E111" s="69">
        <f t="shared" si="39"/>
        <v>90</v>
      </c>
      <c r="F111" s="69">
        <v>90</v>
      </c>
      <c r="G111" s="69"/>
      <c r="H111" s="69"/>
      <c r="I111" s="69"/>
      <c r="J111" s="69">
        <f t="shared" si="41"/>
        <v>0</v>
      </c>
      <c r="K111" s="69"/>
      <c r="L111" s="69"/>
      <c r="M111" s="69"/>
      <c r="N111" s="69"/>
      <c r="O111" s="69"/>
      <c r="P111" s="69">
        <f t="shared" si="40"/>
        <v>90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3" customFormat="1" ht="77.25" customHeight="1" x14ac:dyDescent="0.25">
      <c r="A112" s="43" t="s">
        <v>223</v>
      </c>
      <c r="B112" s="44" t="str">
        <f>'дод 4'!A70</f>
        <v>3180</v>
      </c>
      <c r="C112" s="44" t="str">
        <f>'дод 4'!B70</f>
        <v>1060</v>
      </c>
      <c r="D112" s="24" t="str">
        <f>'дод 4'!C70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2" s="69">
        <f t="shared" si="39"/>
        <v>2075000</v>
      </c>
      <c r="F112" s="69">
        <f>1876300+198700</f>
        <v>2075000</v>
      </c>
      <c r="G112" s="69"/>
      <c r="H112" s="69"/>
      <c r="I112" s="69"/>
      <c r="J112" s="69">
        <f t="shared" si="41"/>
        <v>0</v>
      </c>
      <c r="K112" s="69"/>
      <c r="L112" s="69"/>
      <c r="M112" s="69"/>
      <c r="N112" s="69"/>
      <c r="O112" s="69"/>
      <c r="P112" s="69">
        <f t="shared" si="40"/>
        <v>2075000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</row>
    <row r="113" spans="1:529" s="23" customFormat="1" ht="27" customHeight="1" x14ac:dyDescent="0.25">
      <c r="A113" s="43" t="s">
        <v>360</v>
      </c>
      <c r="B113" s="44" t="str">
        <f>'дод 4'!A71</f>
        <v>3191</v>
      </c>
      <c r="C113" s="44" t="str">
        <f>'дод 4'!B71</f>
        <v>1030</v>
      </c>
      <c r="D113" s="24" t="str">
        <f>'дод 4'!C71</f>
        <v>Інші видатки на соціальний захист ветеранів війни та праці</v>
      </c>
      <c r="E113" s="69">
        <f t="shared" si="39"/>
        <v>2178000</v>
      </c>
      <c r="F113" s="69">
        <v>2178000</v>
      </c>
      <c r="G113" s="69"/>
      <c r="H113" s="69"/>
      <c r="I113" s="69"/>
      <c r="J113" s="69">
        <f t="shared" si="41"/>
        <v>0</v>
      </c>
      <c r="K113" s="69"/>
      <c r="L113" s="69"/>
      <c r="M113" s="69"/>
      <c r="N113" s="69"/>
      <c r="O113" s="69"/>
      <c r="P113" s="69">
        <f t="shared" si="40"/>
        <v>2178000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45" x14ac:dyDescent="0.25">
      <c r="A114" s="43" t="s">
        <v>361</v>
      </c>
      <c r="B114" s="44" t="str">
        <f>'дод 4'!A72</f>
        <v>3192</v>
      </c>
      <c r="C114" s="44" t="str">
        <f>'дод 4'!B72</f>
        <v>1030</v>
      </c>
      <c r="D114" s="24" t="str">
        <f>'дод 4'!C72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4" s="69">
        <f t="shared" si="39"/>
        <v>1892237</v>
      </c>
      <c r="F114" s="69">
        <f>1478776+413461</f>
        <v>1892237</v>
      </c>
      <c r="G114" s="69"/>
      <c r="H114" s="69"/>
      <c r="I114" s="69"/>
      <c r="J114" s="69">
        <f t="shared" si="41"/>
        <v>0</v>
      </c>
      <c r="K114" s="69"/>
      <c r="L114" s="69"/>
      <c r="M114" s="69"/>
      <c r="N114" s="69"/>
      <c r="O114" s="69"/>
      <c r="P114" s="69">
        <f t="shared" si="40"/>
        <v>1892237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23" customFormat="1" ht="41.25" customHeight="1" x14ac:dyDescent="0.25">
      <c r="A115" s="43" t="s">
        <v>224</v>
      </c>
      <c r="B115" s="44" t="str">
        <f>'дод 4'!A73</f>
        <v>3200</v>
      </c>
      <c r="C115" s="44" t="str">
        <f>'дод 4'!B73</f>
        <v>1090</v>
      </c>
      <c r="D115" s="24" t="str">
        <f>'дод 4'!C73</f>
        <v>Забезпечення обробки інформації з нарахування та виплати допомог і компенсацій</v>
      </c>
      <c r="E115" s="69">
        <f t="shared" si="39"/>
        <v>86500</v>
      </c>
      <c r="F115" s="69">
        <v>86500</v>
      </c>
      <c r="G115" s="69"/>
      <c r="H115" s="69"/>
      <c r="I115" s="69"/>
      <c r="J115" s="69">
        <f t="shared" si="41"/>
        <v>0</v>
      </c>
      <c r="K115" s="69"/>
      <c r="L115" s="69"/>
      <c r="M115" s="69"/>
      <c r="N115" s="69"/>
      <c r="O115" s="69"/>
      <c r="P115" s="69">
        <f t="shared" si="40"/>
        <v>86500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</row>
    <row r="116" spans="1:529" s="23" customFormat="1" ht="19.5" customHeight="1" x14ac:dyDescent="0.25">
      <c r="A116" s="52" t="s">
        <v>362</v>
      </c>
      <c r="B116" s="45" t="str">
        <f>'дод 4'!A74</f>
        <v>3210</v>
      </c>
      <c r="C116" s="45" t="str">
        <f>'дод 4'!B74</f>
        <v>1050</v>
      </c>
      <c r="D116" s="22" t="str">
        <f>'дод 4'!C74</f>
        <v>Організація та проведення громадських робіт</v>
      </c>
      <c r="E116" s="69">
        <f t="shared" si="39"/>
        <v>200000</v>
      </c>
      <c r="F116" s="69">
        <v>200000</v>
      </c>
      <c r="G116" s="69">
        <v>163935</v>
      </c>
      <c r="H116" s="69"/>
      <c r="I116" s="69"/>
      <c r="J116" s="69">
        <f t="shared" si="41"/>
        <v>0</v>
      </c>
      <c r="K116" s="69"/>
      <c r="L116" s="69"/>
      <c r="M116" s="69"/>
      <c r="N116" s="69"/>
      <c r="O116" s="69"/>
      <c r="P116" s="69">
        <f t="shared" si="40"/>
        <v>200000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</row>
    <row r="117" spans="1:529" s="23" customFormat="1" ht="31.5" customHeight="1" x14ac:dyDescent="0.25">
      <c r="A117" s="43" t="s">
        <v>359</v>
      </c>
      <c r="B117" s="44" t="str">
        <f>'дод 4'!A75</f>
        <v>3241</v>
      </c>
      <c r="C117" s="44" t="str">
        <f>'дод 4'!B75</f>
        <v>1090</v>
      </c>
      <c r="D117" s="24" t="str">
        <f>'дод 4'!C75</f>
        <v>Забезпечення діяльності інших закладів у сфері соціального захисту і соціального забезпечення</v>
      </c>
      <c r="E117" s="69">
        <f t="shared" si="39"/>
        <v>5520906</v>
      </c>
      <c r="F117" s="69">
        <f>5445830+31200-41000+61876-10000+33000</f>
        <v>5520906</v>
      </c>
      <c r="G117" s="69">
        <v>3343340</v>
      </c>
      <c r="H117" s="69">
        <f>543630-41000-10000</f>
        <v>492630</v>
      </c>
      <c r="I117" s="69"/>
      <c r="J117" s="69">
        <f t="shared" ref="J117:J119" si="42">L117+O117</f>
        <v>761000</v>
      </c>
      <c r="K117" s="69">
        <f>200000+500000+40000+21000</f>
        <v>761000</v>
      </c>
      <c r="L117" s="69"/>
      <c r="M117" s="69"/>
      <c r="N117" s="69"/>
      <c r="O117" s="69">
        <f>200000+500000+40000+21000</f>
        <v>761000</v>
      </c>
      <c r="P117" s="69">
        <f t="shared" si="40"/>
        <v>6281906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</row>
    <row r="118" spans="1:529" s="23" customFormat="1" ht="33" customHeight="1" x14ac:dyDescent="0.25">
      <c r="A118" s="43" t="s">
        <v>416</v>
      </c>
      <c r="B118" s="44" t="str">
        <f>'дод 4'!A76</f>
        <v>3242</v>
      </c>
      <c r="C118" s="44" t="str">
        <f>'дод 4'!B76</f>
        <v>1090</v>
      </c>
      <c r="D118" s="24" t="str">
        <f>'дод 4'!C76</f>
        <v>Інші заходи у сфері соціального захисту і соціального забезпечення</v>
      </c>
      <c r="E118" s="69">
        <f t="shared" si="39"/>
        <v>33945336</v>
      </c>
      <c r="F118" s="69">
        <f>29645360-11+360800-350000+439024+43903+350000+2246300+418550+70000-29600+470500+63000+16000-7170+42400+133500-12220+32000+13000</f>
        <v>33945336</v>
      </c>
      <c r="G118" s="69"/>
      <c r="H118" s="69"/>
      <c r="I118" s="69"/>
      <c r="J118" s="69">
        <f t="shared" si="42"/>
        <v>35640</v>
      </c>
      <c r="K118" s="69">
        <v>35640</v>
      </c>
      <c r="L118" s="69"/>
      <c r="M118" s="69"/>
      <c r="N118" s="69"/>
      <c r="O118" s="69">
        <v>35640</v>
      </c>
      <c r="P118" s="69">
        <f t="shared" si="40"/>
        <v>33980976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</row>
    <row r="119" spans="1:529" s="23" customFormat="1" ht="31.5" customHeight="1" x14ac:dyDescent="0.25">
      <c r="A119" s="43" t="s">
        <v>307</v>
      </c>
      <c r="B119" s="44" t="str">
        <f>'дод 4'!A151</f>
        <v>9770</v>
      </c>
      <c r="C119" s="44" t="str">
        <f>'дод 4'!B151</f>
        <v>0180</v>
      </c>
      <c r="D119" s="24" t="str">
        <f>'дод 4'!C151</f>
        <v>Інші субвенції з місцевого бюджету</v>
      </c>
      <c r="E119" s="69">
        <f t="shared" si="39"/>
        <v>1070000</v>
      </c>
      <c r="F119" s="69">
        <v>1070000</v>
      </c>
      <c r="G119" s="69"/>
      <c r="H119" s="69"/>
      <c r="I119" s="69"/>
      <c r="J119" s="69">
        <f t="shared" si="42"/>
        <v>0</v>
      </c>
      <c r="K119" s="69"/>
      <c r="L119" s="69"/>
      <c r="M119" s="69"/>
      <c r="N119" s="69"/>
      <c r="O119" s="69"/>
      <c r="P119" s="69">
        <f t="shared" si="40"/>
        <v>1070000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</row>
    <row r="120" spans="1:529" s="31" customFormat="1" ht="28.5" customHeight="1" x14ac:dyDescent="0.2">
      <c r="A120" s="88" t="s">
        <v>225</v>
      </c>
      <c r="B120" s="72"/>
      <c r="C120" s="72"/>
      <c r="D120" s="30" t="s">
        <v>427</v>
      </c>
      <c r="E120" s="66">
        <f>E121</f>
        <v>5077200</v>
      </c>
      <c r="F120" s="66">
        <f t="shared" ref="F120:J120" si="43">F121</f>
        <v>5077200</v>
      </c>
      <c r="G120" s="66">
        <f t="shared" si="43"/>
        <v>3933800</v>
      </c>
      <c r="H120" s="66">
        <f t="shared" si="43"/>
        <v>57500</v>
      </c>
      <c r="I120" s="66">
        <f t="shared" si="43"/>
        <v>0</v>
      </c>
      <c r="J120" s="66">
        <f t="shared" si="43"/>
        <v>20000</v>
      </c>
      <c r="K120" s="66">
        <f t="shared" ref="K120" si="44">K121</f>
        <v>20000</v>
      </c>
      <c r="L120" s="66">
        <f t="shared" ref="L120" si="45">L121</f>
        <v>0</v>
      </c>
      <c r="M120" s="66">
        <f t="shared" ref="M120" si="46">M121</f>
        <v>0</v>
      </c>
      <c r="N120" s="66">
        <f t="shared" ref="N120" si="47">N121</f>
        <v>0</v>
      </c>
      <c r="O120" s="66">
        <f t="shared" ref="O120:P120" si="48">O121</f>
        <v>20000</v>
      </c>
      <c r="P120" s="66">
        <f t="shared" si="48"/>
        <v>5097200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R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</row>
    <row r="121" spans="1:529" s="40" customFormat="1" ht="29.25" customHeight="1" x14ac:dyDescent="0.25">
      <c r="A121" s="89" t="s">
        <v>226</v>
      </c>
      <c r="B121" s="73"/>
      <c r="C121" s="73"/>
      <c r="D121" s="33" t="s">
        <v>427</v>
      </c>
      <c r="E121" s="68">
        <f>E122+E123+E124</f>
        <v>5077200</v>
      </c>
      <c r="F121" s="68">
        <f t="shared" ref="F121:P121" si="49">F122+F123+F124</f>
        <v>5077200</v>
      </c>
      <c r="G121" s="68">
        <f t="shared" si="49"/>
        <v>3933800</v>
      </c>
      <c r="H121" s="68">
        <f t="shared" si="49"/>
        <v>57500</v>
      </c>
      <c r="I121" s="68">
        <f t="shared" si="49"/>
        <v>0</v>
      </c>
      <c r="J121" s="68">
        <f t="shared" si="49"/>
        <v>20000</v>
      </c>
      <c r="K121" s="68">
        <f t="shared" si="49"/>
        <v>20000</v>
      </c>
      <c r="L121" s="68">
        <f t="shared" si="49"/>
        <v>0</v>
      </c>
      <c r="M121" s="68">
        <f t="shared" si="49"/>
        <v>0</v>
      </c>
      <c r="N121" s="68">
        <f t="shared" si="49"/>
        <v>0</v>
      </c>
      <c r="O121" s="68">
        <f t="shared" si="49"/>
        <v>20000</v>
      </c>
      <c r="P121" s="68">
        <f t="shared" si="49"/>
        <v>5097200</v>
      </c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</row>
    <row r="122" spans="1:529" s="23" customFormat="1" ht="42.75" customHeight="1" x14ac:dyDescent="0.25">
      <c r="A122" s="43" t="s">
        <v>227</v>
      </c>
      <c r="B122" s="44" t="str">
        <f>'дод 4'!A20</f>
        <v>0160</v>
      </c>
      <c r="C122" s="44" t="str">
        <f>'дод 4'!B20</f>
        <v>0111</v>
      </c>
      <c r="D12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22" s="69">
        <f>F122+I122</f>
        <v>4986700</v>
      </c>
      <c r="F122" s="69">
        <f>5240600+10300-253200-11000</f>
        <v>4986700</v>
      </c>
      <c r="G122" s="69">
        <f>4150400-207600-9000</f>
        <v>3933800</v>
      </c>
      <c r="H122" s="69">
        <v>57500</v>
      </c>
      <c r="I122" s="69"/>
      <c r="J122" s="69">
        <f>L122+O122</f>
        <v>0</v>
      </c>
      <c r="K122" s="69"/>
      <c r="L122" s="69"/>
      <c r="M122" s="69"/>
      <c r="N122" s="69"/>
      <c r="O122" s="69"/>
      <c r="P122" s="69">
        <f>E122+J122</f>
        <v>4986700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23" customFormat="1" ht="60" x14ac:dyDescent="0.25">
      <c r="A123" s="43" t="s">
        <v>394</v>
      </c>
      <c r="B123" s="44">
        <v>3111</v>
      </c>
      <c r="C123" s="44">
        <v>1040</v>
      </c>
      <c r="D123" s="22" t="str">
        <f>'дод 4'!C62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3" s="69">
        <f>F123+I123</f>
        <v>0</v>
      </c>
      <c r="F123" s="69"/>
      <c r="G123" s="69"/>
      <c r="H123" s="69"/>
      <c r="I123" s="69"/>
      <c r="J123" s="69">
        <f t="shared" ref="J123:J124" si="50">L123+O123</f>
        <v>20000</v>
      </c>
      <c r="K123" s="69">
        <v>20000</v>
      </c>
      <c r="L123" s="69"/>
      <c r="M123" s="69"/>
      <c r="N123" s="69"/>
      <c r="O123" s="69">
        <v>20000</v>
      </c>
      <c r="P123" s="69">
        <f>E123+J123</f>
        <v>20000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</row>
    <row r="124" spans="1:529" s="23" customFormat="1" ht="36.75" customHeight="1" x14ac:dyDescent="0.25">
      <c r="A124" s="43" t="s">
        <v>228</v>
      </c>
      <c r="B124" s="44" t="str">
        <f>'дод 4'!A63</f>
        <v>3112</v>
      </c>
      <c r="C124" s="44" t="str">
        <f>'дод 4'!B63</f>
        <v>1040</v>
      </c>
      <c r="D124" s="24" t="str">
        <f>'дод 4'!C63</f>
        <v>Заходи державної політики з питань дітей та їх соціального захисту</v>
      </c>
      <c r="E124" s="69">
        <f>F124+I124</f>
        <v>90500</v>
      </c>
      <c r="F124" s="69">
        <v>90500</v>
      </c>
      <c r="G124" s="69"/>
      <c r="H124" s="69"/>
      <c r="I124" s="69"/>
      <c r="J124" s="69">
        <f t="shared" si="50"/>
        <v>0</v>
      </c>
      <c r="K124" s="69"/>
      <c r="L124" s="69"/>
      <c r="M124" s="69"/>
      <c r="N124" s="69"/>
      <c r="O124" s="69"/>
      <c r="P124" s="69">
        <f>E124+J124</f>
        <v>90500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</row>
    <row r="125" spans="1:529" s="31" customFormat="1" ht="22.5" customHeight="1" x14ac:dyDescent="0.2">
      <c r="A125" s="76" t="s">
        <v>35</v>
      </c>
      <c r="B125" s="74"/>
      <c r="C125" s="74"/>
      <c r="D125" s="30" t="s">
        <v>396</v>
      </c>
      <c r="E125" s="66">
        <f>E126</f>
        <v>65255365</v>
      </c>
      <c r="F125" s="66">
        <f t="shared" ref="F125:J125" si="51">F126</f>
        <v>65255365</v>
      </c>
      <c r="G125" s="66">
        <f t="shared" si="51"/>
        <v>47805300</v>
      </c>
      <c r="H125" s="66">
        <f t="shared" si="51"/>
        <v>2201760</v>
      </c>
      <c r="I125" s="66">
        <f t="shared" si="51"/>
        <v>0</v>
      </c>
      <c r="J125" s="66">
        <f t="shared" si="51"/>
        <v>4109635</v>
      </c>
      <c r="K125" s="66">
        <f t="shared" ref="K125" si="52">K126</f>
        <v>1290995</v>
      </c>
      <c r="L125" s="66">
        <f t="shared" ref="L125" si="53">L126</f>
        <v>2813920</v>
      </c>
      <c r="M125" s="66">
        <f t="shared" ref="M125" si="54">M126</f>
        <v>2279416</v>
      </c>
      <c r="N125" s="66">
        <f t="shared" ref="N125" si="55">N126</f>
        <v>3300</v>
      </c>
      <c r="O125" s="66">
        <f t="shared" ref="O125:P125" si="56">O126</f>
        <v>1295715</v>
      </c>
      <c r="P125" s="66">
        <f t="shared" si="56"/>
        <v>69365000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8"/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</row>
    <row r="126" spans="1:529" s="40" customFormat="1" ht="21.75" customHeight="1" x14ac:dyDescent="0.25">
      <c r="A126" s="77" t="s">
        <v>229</v>
      </c>
      <c r="B126" s="75"/>
      <c r="C126" s="75"/>
      <c r="D126" s="33" t="s">
        <v>396</v>
      </c>
      <c r="E126" s="68">
        <f>E127+E128+E129+E131+E132++E133+E130+E134</f>
        <v>65255365</v>
      </c>
      <c r="F126" s="68">
        <f t="shared" ref="F126:P126" si="57">F127+F128+F129+F131+F132++F133+F130+F134</f>
        <v>65255365</v>
      </c>
      <c r="G126" s="68">
        <f t="shared" si="57"/>
        <v>47805300</v>
      </c>
      <c r="H126" s="68">
        <f t="shared" si="57"/>
        <v>2201760</v>
      </c>
      <c r="I126" s="68">
        <f t="shared" si="57"/>
        <v>0</v>
      </c>
      <c r="J126" s="68">
        <f t="shared" si="57"/>
        <v>4109635</v>
      </c>
      <c r="K126" s="68">
        <f>K127+K128+K129+K131+K132++K133+K130+K134</f>
        <v>1290995</v>
      </c>
      <c r="L126" s="68">
        <f t="shared" si="57"/>
        <v>2813920</v>
      </c>
      <c r="M126" s="68">
        <f t="shared" si="57"/>
        <v>2279416</v>
      </c>
      <c r="N126" s="68">
        <f t="shared" si="57"/>
        <v>3300</v>
      </c>
      <c r="O126" s="68">
        <f t="shared" si="57"/>
        <v>1295715</v>
      </c>
      <c r="P126" s="68">
        <f t="shared" si="57"/>
        <v>69365000</v>
      </c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</row>
    <row r="127" spans="1:529" s="23" customFormat="1" ht="48" customHeight="1" x14ac:dyDescent="0.25">
      <c r="A127" s="43" t="s">
        <v>169</v>
      </c>
      <c r="B127" s="44" t="str">
        <f>'дод 4'!A20</f>
        <v>0160</v>
      </c>
      <c r="C127" s="44" t="str">
        <f>'дод 4'!B20</f>
        <v>0111</v>
      </c>
      <c r="D12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27" s="69">
        <f t="shared" ref="E127:E134" si="58">F127+I127</f>
        <v>1905700</v>
      </c>
      <c r="F127" s="69">
        <f>1862800+4400-90500+134000-5000</f>
        <v>1905700</v>
      </c>
      <c r="G127" s="69">
        <f>1461200-74200-4100</f>
        <v>1382900</v>
      </c>
      <c r="H127" s="69">
        <v>17700</v>
      </c>
      <c r="I127" s="69"/>
      <c r="J127" s="69">
        <f>L127+O127</f>
        <v>0</v>
      </c>
      <c r="K127" s="69"/>
      <c r="L127" s="69"/>
      <c r="M127" s="69"/>
      <c r="N127" s="69"/>
      <c r="O127" s="69"/>
      <c r="P127" s="69">
        <f t="shared" ref="P127:P134" si="59">E127+J127</f>
        <v>1905700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</row>
    <row r="128" spans="1:529" s="23" customFormat="1" ht="48.75" customHeight="1" x14ac:dyDescent="0.25">
      <c r="A128" s="43" t="s">
        <v>260</v>
      </c>
      <c r="B128" s="44" t="str">
        <f>'дод 4'!A31</f>
        <v>1100</v>
      </c>
      <c r="C128" s="44" t="str">
        <f>'дод 4'!B31</f>
        <v>0960</v>
      </c>
      <c r="D128" s="24" t="str">
        <f>'дод 4'!C31</f>
        <v>Надання спеціальної освіти мистецькими школами</v>
      </c>
      <c r="E128" s="69">
        <f t="shared" si="58"/>
        <v>39114600</v>
      </c>
      <c r="F128" s="69">
        <f>38963600+75000+63000+13000</f>
        <v>39114600</v>
      </c>
      <c r="G128" s="69">
        <v>30830000</v>
      </c>
      <c r="H128" s="69">
        <v>793600</v>
      </c>
      <c r="I128" s="69"/>
      <c r="J128" s="69">
        <f t="shared" ref="J128:J134" si="60">L128+O128</f>
        <v>3336640</v>
      </c>
      <c r="K128" s="69">
        <f>100000+400000+7000+5000+30000+15000</f>
        <v>557000</v>
      </c>
      <c r="L128" s="69">
        <v>2774920</v>
      </c>
      <c r="M128" s="69">
        <v>2267316</v>
      </c>
      <c r="N128" s="69"/>
      <c r="O128" s="69">
        <f>4720+500000+7000+5000+30000+15000</f>
        <v>561720</v>
      </c>
      <c r="P128" s="69">
        <f t="shared" si="59"/>
        <v>42451240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3" customFormat="1" ht="21" customHeight="1" x14ac:dyDescent="0.25">
      <c r="A129" s="43" t="s">
        <v>230</v>
      </c>
      <c r="B129" s="44" t="str">
        <f>'дод 4'!A78</f>
        <v>4030</v>
      </c>
      <c r="C129" s="44" t="str">
        <f>'дод 4'!B78</f>
        <v>0824</v>
      </c>
      <c r="D129" s="24" t="str">
        <f>'дод 4'!C78</f>
        <v>Забезпечення діяльності бібліотек</v>
      </c>
      <c r="E129" s="69">
        <f t="shared" si="58"/>
        <v>19303085</v>
      </c>
      <c r="F129" s="69">
        <f>19098200+20000+169535+7000+8350</f>
        <v>19303085</v>
      </c>
      <c r="G129" s="69">
        <v>13804000</v>
      </c>
      <c r="H129" s="69">
        <v>1346200</v>
      </c>
      <c r="I129" s="69"/>
      <c r="J129" s="69">
        <f t="shared" si="60"/>
        <v>346795</v>
      </c>
      <c r="K129" s="69">
        <f>100000+216795</f>
        <v>316795</v>
      </c>
      <c r="L129" s="69">
        <v>30000</v>
      </c>
      <c r="M129" s="69">
        <v>12100</v>
      </c>
      <c r="N129" s="69"/>
      <c r="O129" s="69">
        <f>100000+216795</f>
        <v>316795</v>
      </c>
      <c r="P129" s="69">
        <f t="shared" si="59"/>
        <v>19649880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</row>
    <row r="130" spans="1:529" s="23" customFormat="1" ht="27.75" customHeight="1" x14ac:dyDescent="0.25">
      <c r="A130" s="43">
        <v>1014060</v>
      </c>
      <c r="B130" s="44" t="str">
        <f>'дод 4'!A79</f>
        <v>4060</v>
      </c>
      <c r="C130" s="44" t="str">
        <f>'дод 4'!B79</f>
        <v>0828</v>
      </c>
      <c r="D130" s="24" t="str">
        <f>'дод 4'!C79</f>
        <v>Забезпечення діяльності палаців i будинків культури, клубів, центрів дозвілля та iнших клубних закладів</v>
      </c>
      <c r="E130" s="69">
        <f t="shared" si="58"/>
        <v>628280</v>
      </c>
      <c r="F130" s="69">
        <f>546680+61800+19800</f>
        <v>628280</v>
      </c>
      <c r="G130" s="69">
        <v>424400</v>
      </c>
      <c r="H130" s="69">
        <v>11360</v>
      </c>
      <c r="I130" s="69"/>
      <c r="J130" s="69">
        <f t="shared" si="60"/>
        <v>27200</v>
      </c>
      <c r="K130" s="69">
        <v>21200</v>
      </c>
      <c r="L130" s="69">
        <v>6000</v>
      </c>
      <c r="M130" s="69"/>
      <c r="N130" s="69">
        <v>3300</v>
      </c>
      <c r="O130" s="69">
        <v>21200</v>
      </c>
      <c r="P130" s="69">
        <f t="shared" si="59"/>
        <v>655480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</row>
    <row r="131" spans="1:529" s="27" customFormat="1" ht="33.75" customHeight="1" x14ac:dyDescent="0.25">
      <c r="A131" s="43">
        <v>1014081</v>
      </c>
      <c r="B131" s="44" t="str">
        <f>'дод 4'!A80</f>
        <v>4081</v>
      </c>
      <c r="C131" s="44" t="str">
        <f>'дод 4'!B80</f>
        <v>0829</v>
      </c>
      <c r="D131" s="24" t="str">
        <f>'дод 4'!C80</f>
        <v>Забезпечення діяльності інших закладів в галузі культури і мистецтва</v>
      </c>
      <c r="E131" s="69">
        <f t="shared" si="58"/>
        <v>1803000</v>
      </c>
      <c r="F131" s="69">
        <v>1803000</v>
      </c>
      <c r="G131" s="69">
        <v>1364000</v>
      </c>
      <c r="H131" s="69">
        <v>32900</v>
      </c>
      <c r="I131" s="69"/>
      <c r="J131" s="69">
        <f t="shared" si="60"/>
        <v>0</v>
      </c>
      <c r="K131" s="69"/>
      <c r="L131" s="69"/>
      <c r="M131" s="69"/>
      <c r="N131" s="69"/>
      <c r="O131" s="69"/>
      <c r="P131" s="69">
        <f t="shared" si="59"/>
        <v>1803000</v>
      </c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  <c r="JD131" s="36"/>
      <c r="JE131" s="36"/>
      <c r="JF131" s="36"/>
      <c r="JG131" s="36"/>
      <c r="JH131" s="36"/>
      <c r="JI131" s="36"/>
      <c r="JJ131" s="36"/>
      <c r="JK131" s="36"/>
      <c r="JL131" s="36"/>
      <c r="JM131" s="36"/>
      <c r="JN131" s="36"/>
      <c r="JO131" s="36"/>
      <c r="JP131" s="36"/>
      <c r="JQ131" s="36"/>
      <c r="JR131" s="36"/>
      <c r="JS131" s="36"/>
      <c r="JT131" s="36"/>
      <c r="JU131" s="36"/>
      <c r="JV131" s="36"/>
      <c r="JW131" s="36"/>
      <c r="JX131" s="36"/>
      <c r="JY131" s="36"/>
      <c r="JZ131" s="36"/>
      <c r="KA131" s="36"/>
      <c r="KB131" s="36"/>
      <c r="KC131" s="36"/>
      <c r="KD131" s="36"/>
      <c r="KE131" s="36"/>
      <c r="KF131" s="36"/>
      <c r="KG131" s="36"/>
      <c r="KH131" s="36"/>
      <c r="KI131" s="36"/>
      <c r="KJ131" s="36"/>
      <c r="KK131" s="36"/>
      <c r="KL131" s="36"/>
      <c r="KM131" s="36"/>
      <c r="KN131" s="36"/>
      <c r="KO131" s="36"/>
      <c r="KP131" s="36"/>
      <c r="KQ131" s="36"/>
      <c r="KR131" s="36"/>
      <c r="KS131" s="36"/>
      <c r="KT131" s="36"/>
      <c r="KU131" s="36"/>
      <c r="KV131" s="36"/>
      <c r="KW131" s="36"/>
      <c r="KX131" s="36"/>
      <c r="KY131" s="36"/>
      <c r="KZ131" s="36"/>
      <c r="LA131" s="36"/>
      <c r="LB131" s="36"/>
      <c r="LC131" s="36"/>
      <c r="LD131" s="36"/>
      <c r="LE131" s="36"/>
      <c r="LF131" s="36"/>
      <c r="LG131" s="36"/>
      <c r="LH131" s="36"/>
      <c r="LI131" s="36"/>
      <c r="LJ131" s="36"/>
      <c r="LK131" s="36"/>
      <c r="LL131" s="36"/>
      <c r="LM131" s="36"/>
      <c r="LN131" s="36"/>
      <c r="LO131" s="36"/>
      <c r="LP131" s="36"/>
      <c r="LQ131" s="36"/>
      <c r="LR131" s="36"/>
      <c r="LS131" s="36"/>
      <c r="LT131" s="36"/>
      <c r="LU131" s="36"/>
      <c r="LV131" s="36"/>
      <c r="LW131" s="36"/>
      <c r="LX131" s="36"/>
      <c r="LY131" s="36"/>
      <c r="LZ131" s="36"/>
      <c r="MA131" s="36"/>
      <c r="MB131" s="36"/>
      <c r="MC131" s="36"/>
      <c r="MD131" s="36"/>
      <c r="ME131" s="36"/>
      <c r="MF131" s="36"/>
      <c r="MG131" s="36"/>
      <c r="MH131" s="36"/>
      <c r="MI131" s="36"/>
      <c r="MJ131" s="36"/>
      <c r="MK131" s="36"/>
      <c r="ML131" s="36"/>
      <c r="MM131" s="36"/>
      <c r="MN131" s="36"/>
      <c r="MO131" s="36"/>
      <c r="MP131" s="36"/>
      <c r="MQ131" s="36"/>
      <c r="MR131" s="36"/>
      <c r="MS131" s="36"/>
      <c r="MT131" s="36"/>
      <c r="MU131" s="36"/>
      <c r="MV131" s="36"/>
      <c r="MW131" s="36"/>
      <c r="MX131" s="36"/>
      <c r="MY131" s="36"/>
      <c r="MZ131" s="36"/>
      <c r="NA131" s="36"/>
      <c r="NB131" s="36"/>
      <c r="NC131" s="36"/>
      <c r="ND131" s="36"/>
      <c r="NE131" s="36"/>
      <c r="NF131" s="36"/>
      <c r="NG131" s="36"/>
      <c r="NH131" s="36"/>
      <c r="NI131" s="36"/>
      <c r="NJ131" s="36"/>
      <c r="NK131" s="36"/>
      <c r="NL131" s="36"/>
      <c r="NM131" s="36"/>
      <c r="NN131" s="36"/>
      <c r="NO131" s="36"/>
      <c r="NP131" s="36"/>
      <c r="NQ131" s="36"/>
      <c r="NR131" s="36"/>
      <c r="NS131" s="36"/>
      <c r="NT131" s="36"/>
      <c r="NU131" s="36"/>
      <c r="NV131" s="36"/>
      <c r="NW131" s="36"/>
      <c r="NX131" s="36"/>
      <c r="NY131" s="36"/>
      <c r="NZ131" s="36"/>
      <c r="OA131" s="36"/>
      <c r="OB131" s="36"/>
      <c r="OC131" s="36"/>
      <c r="OD131" s="36"/>
      <c r="OE131" s="36"/>
      <c r="OF131" s="36"/>
      <c r="OG131" s="36"/>
      <c r="OH131" s="36"/>
      <c r="OI131" s="36"/>
      <c r="OJ131" s="36"/>
      <c r="OK131" s="36"/>
      <c r="OL131" s="36"/>
      <c r="OM131" s="36"/>
      <c r="ON131" s="36"/>
      <c r="OO131" s="36"/>
      <c r="OP131" s="36"/>
      <c r="OQ131" s="36"/>
      <c r="OR131" s="36"/>
      <c r="OS131" s="36"/>
      <c r="OT131" s="36"/>
      <c r="OU131" s="36"/>
      <c r="OV131" s="36"/>
      <c r="OW131" s="36"/>
      <c r="OX131" s="36"/>
      <c r="OY131" s="36"/>
      <c r="OZ131" s="36"/>
      <c r="PA131" s="36"/>
      <c r="PB131" s="36"/>
      <c r="PC131" s="36"/>
      <c r="PD131" s="36"/>
      <c r="PE131" s="36"/>
      <c r="PF131" s="36"/>
      <c r="PG131" s="36"/>
      <c r="PH131" s="36"/>
      <c r="PI131" s="36"/>
      <c r="PJ131" s="36"/>
      <c r="PK131" s="36"/>
      <c r="PL131" s="36"/>
      <c r="PM131" s="36"/>
      <c r="PN131" s="36"/>
      <c r="PO131" s="36"/>
      <c r="PP131" s="36"/>
      <c r="PQ131" s="36"/>
      <c r="PR131" s="36"/>
      <c r="PS131" s="36"/>
      <c r="PT131" s="36"/>
      <c r="PU131" s="36"/>
      <c r="PV131" s="36"/>
      <c r="PW131" s="36"/>
      <c r="PX131" s="36"/>
      <c r="PY131" s="36"/>
      <c r="PZ131" s="36"/>
      <c r="QA131" s="36"/>
      <c r="QB131" s="36"/>
      <c r="QC131" s="36"/>
      <c r="QD131" s="36"/>
      <c r="QE131" s="36"/>
      <c r="QF131" s="36"/>
      <c r="QG131" s="36"/>
      <c r="QH131" s="36"/>
      <c r="QI131" s="36"/>
      <c r="QJ131" s="36"/>
      <c r="QK131" s="36"/>
      <c r="QL131" s="36"/>
      <c r="QM131" s="36"/>
      <c r="QN131" s="36"/>
      <c r="QO131" s="36"/>
      <c r="QP131" s="36"/>
      <c r="QQ131" s="36"/>
      <c r="QR131" s="36"/>
      <c r="QS131" s="36"/>
      <c r="QT131" s="36"/>
      <c r="QU131" s="36"/>
      <c r="QV131" s="36"/>
      <c r="QW131" s="36"/>
      <c r="QX131" s="36"/>
      <c r="QY131" s="36"/>
      <c r="QZ131" s="36"/>
      <c r="RA131" s="36"/>
      <c r="RB131" s="36"/>
      <c r="RC131" s="36"/>
      <c r="RD131" s="36"/>
      <c r="RE131" s="36"/>
      <c r="RF131" s="36"/>
      <c r="RG131" s="36"/>
      <c r="RH131" s="36"/>
      <c r="RI131" s="36"/>
      <c r="RJ131" s="36"/>
      <c r="RK131" s="36"/>
      <c r="RL131" s="36"/>
      <c r="RM131" s="36"/>
      <c r="RN131" s="36"/>
      <c r="RO131" s="36"/>
      <c r="RP131" s="36"/>
      <c r="RQ131" s="36"/>
      <c r="RR131" s="36"/>
      <c r="RS131" s="36"/>
      <c r="RT131" s="36"/>
      <c r="RU131" s="36"/>
      <c r="RV131" s="36"/>
      <c r="RW131" s="36"/>
      <c r="RX131" s="36"/>
      <c r="RY131" s="36"/>
      <c r="RZ131" s="36"/>
      <c r="SA131" s="36"/>
      <c r="SB131" s="36"/>
      <c r="SC131" s="36"/>
      <c r="SD131" s="36"/>
      <c r="SE131" s="36"/>
      <c r="SF131" s="36"/>
      <c r="SG131" s="36"/>
      <c r="SH131" s="36"/>
      <c r="SI131" s="36"/>
      <c r="SJ131" s="36"/>
      <c r="SK131" s="36"/>
      <c r="SL131" s="36"/>
      <c r="SM131" s="36"/>
      <c r="SN131" s="36"/>
      <c r="SO131" s="36"/>
      <c r="SP131" s="36"/>
      <c r="SQ131" s="36"/>
      <c r="SR131" s="36"/>
      <c r="SS131" s="36"/>
      <c r="ST131" s="36"/>
      <c r="SU131" s="36"/>
      <c r="SV131" s="36"/>
      <c r="SW131" s="36"/>
      <c r="SX131" s="36"/>
      <c r="SY131" s="36"/>
      <c r="SZ131" s="36"/>
      <c r="TA131" s="36"/>
      <c r="TB131" s="36"/>
      <c r="TC131" s="36"/>
      <c r="TD131" s="36"/>
      <c r="TE131" s="36"/>
      <c r="TF131" s="36"/>
      <c r="TG131" s="36"/>
      <c r="TH131" s="36"/>
      <c r="TI131" s="36"/>
    </row>
    <row r="132" spans="1:529" s="27" customFormat="1" ht="25.5" customHeight="1" x14ac:dyDescent="0.25">
      <c r="A132" s="43">
        <v>1014082</v>
      </c>
      <c r="B132" s="44" t="str">
        <f>'дод 4'!A81</f>
        <v>4082</v>
      </c>
      <c r="C132" s="44" t="str">
        <f>'дод 4'!B81</f>
        <v>0829</v>
      </c>
      <c r="D132" s="24" t="str">
        <f>'дод 4'!C81</f>
        <v>Інші заходи в галузі культури і мистецтва</v>
      </c>
      <c r="E132" s="69">
        <f t="shared" si="58"/>
        <v>2500700</v>
      </c>
      <c r="F132" s="69">
        <f>2265700+15000+100000+120000</f>
        <v>2500700</v>
      </c>
      <c r="G132" s="69"/>
      <c r="H132" s="69"/>
      <c r="I132" s="69"/>
      <c r="J132" s="69">
        <f t="shared" si="60"/>
        <v>0</v>
      </c>
      <c r="K132" s="69"/>
      <c r="L132" s="69"/>
      <c r="M132" s="69"/>
      <c r="N132" s="69"/>
      <c r="O132" s="69"/>
      <c r="P132" s="69">
        <f t="shared" si="59"/>
        <v>2500700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  <c r="JD132" s="36"/>
      <c r="JE132" s="36"/>
      <c r="JF132" s="36"/>
      <c r="JG132" s="36"/>
      <c r="JH132" s="36"/>
      <c r="JI132" s="36"/>
      <c r="JJ132" s="36"/>
      <c r="JK132" s="36"/>
      <c r="JL132" s="36"/>
      <c r="JM132" s="36"/>
      <c r="JN132" s="36"/>
      <c r="JO132" s="36"/>
      <c r="JP132" s="36"/>
      <c r="JQ132" s="36"/>
      <c r="JR132" s="36"/>
      <c r="JS132" s="36"/>
      <c r="JT132" s="36"/>
      <c r="JU132" s="36"/>
      <c r="JV132" s="36"/>
      <c r="JW132" s="36"/>
      <c r="JX132" s="36"/>
      <c r="JY132" s="36"/>
      <c r="JZ132" s="36"/>
      <c r="KA132" s="36"/>
      <c r="KB132" s="36"/>
      <c r="KC132" s="36"/>
      <c r="KD132" s="36"/>
      <c r="KE132" s="36"/>
      <c r="KF132" s="36"/>
      <c r="KG132" s="36"/>
      <c r="KH132" s="36"/>
      <c r="KI132" s="36"/>
      <c r="KJ132" s="36"/>
      <c r="KK132" s="36"/>
      <c r="KL132" s="36"/>
      <c r="KM132" s="36"/>
      <c r="KN132" s="36"/>
      <c r="KO132" s="36"/>
      <c r="KP132" s="36"/>
      <c r="KQ132" s="36"/>
      <c r="KR132" s="36"/>
      <c r="KS132" s="36"/>
      <c r="KT132" s="36"/>
      <c r="KU132" s="36"/>
      <c r="KV132" s="36"/>
      <c r="KW132" s="36"/>
      <c r="KX132" s="36"/>
      <c r="KY132" s="36"/>
      <c r="KZ132" s="36"/>
      <c r="LA132" s="36"/>
      <c r="LB132" s="36"/>
      <c r="LC132" s="36"/>
      <c r="LD132" s="36"/>
      <c r="LE132" s="36"/>
      <c r="LF132" s="36"/>
      <c r="LG132" s="36"/>
      <c r="LH132" s="36"/>
      <c r="LI132" s="36"/>
      <c r="LJ132" s="36"/>
      <c r="LK132" s="36"/>
      <c r="LL132" s="36"/>
      <c r="LM132" s="36"/>
      <c r="LN132" s="36"/>
      <c r="LO132" s="36"/>
      <c r="LP132" s="36"/>
      <c r="LQ132" s="36"/>
      <c r="LR132" s="36"/>
      <c r="LS132" s="36"/>
      <c r="LT132" s="36"/>
      <c r="LU132" s="36"/>
      <c r="LV132" s="36"/>
      <c r="LW132" s="36"/>
      <c r="LX132" s="36"/>
      <c r="LY132" s="36"/>
      <c r="LZ132" s="36"/>
      <c r="MA132" s="36"/>
      <c r="MB132" s="36"/>
      <c r="MC132" s="36"/>
      <c r="MD132" s="36"/>
      <c r="ME132" s="36"/>
      <c r="MF132" s="36"/>
      <c r="MG132" s="36"/>
      <c r="MH132" s="36"/>
      <c r="MI132" s="36"/>
      <c r="MJ132" s="36"/>
      <c r="MK132" s="36"/>
      <c r="ML132" s="36"/>
      <c r="MM132" s="36"/>
      <c r="MN132" s="36"/>
      <c r="MO132" s="36"/>
      <c r="MP132" s="36"/>
      <c r="MQ132" s="36"/>
      <c r="MR132" s="36"/>
      <c r="MS132" s="36"/>
      <c r="MT132" s="36"/>
      <c r="MU132" s="36"/>
      <c r="MV132" s="36"/>
      <c r="MW132" s="36"/>
      <c r="MX132" s="36"/>
      <c r="MY132" s="36"/>
      <c r="MZ132" s="36"/>
      <c r="NA132" s="36"/>
      <c r="NB132" s="36"/>
      <c r="NC132" s="36"/>
      <c r="ND132" s="36"/>
      <c r="NE132" s="36"/>
      <c r="NF132" s="36"/>
      <c r="NG132" s="36"/>
      <c r="NH132" s="36"/>
      <c r="NI132" s="36"/>
      <c r="NJ132" s="36"/>
      <c r="NK132" s="36"/>
      <c r="NL132" s="36"/>
      <c r="NM132" s="36"/>
      <c r="NN132" s="36"/>
      <c r="NO132" s="36"/>
      <c r="NP132" s="36"/>
      <c r="NQ132" s="36"/>
      <c r="NR132" s="36"/>
      <c r="NS132" s="36"/>
      <c r="NT132" s="36"/>
      <c r="NU132" s="36"/>
      <c r="NV132" s="36"/>
      <c r="NW132" s="36"/>
      <c r="NX132" s="36"/>
      <c r="NY132" s="36"/>
      <c r="NZ132" s="36"/>
      <c r="OA132" s="36"/>
      <c r="OB132" s="36"/>
      <c r="OC132" s="36"/>
      <c r="OD132" s="36"/>
      <c r="OE132" s="36"/>
      <c r="OF132" s="36"/>
      <c r="OG132" s="36"/>
      <c r="OH132" s="36"/>
      <c r="OI132" s="36"/>
      <c r="OJ132" s="36"/>
      <c r="OK132" s="36"/>
      <c r="OL132" s="36"/>
      <c r="OM132" s="36"/>
      <c r="ON132" s="36"/>
      <c r="OO132" s="36"/>
      <c r="OP132" s="36"/>
      <c r="OQ132" s="36"/>
      <c r="OR132" s="36"/>
      <c r="OS132" s="36"/>
      <c r="OT132" s="36"/>
      <c r="OU132" s="36"/>
      <c r="OV132" s="36"/>
      <c r="OW132" s="36"/>
      <c r="OX132" s="36"/>
      <c r="OY132" s="36"/>
      <c r="OZ132" s="36"/>
      <c r="PA132" s="36"/>
      <c r="PB132" s="36"/>
      <c r="PC132" s="36"/>
      <c r="PD132" s="36"/>
      <c r="PE132" s="36"/>
      <c r="PF132" s="36"/>
      <c r="PG132" s="36"/>
      <c r="PH132" s="36"/>
      <c r="PI132" s="36"/>
      <c r="PJ132" s="36"/>
      <c r="PK132" s="36"/>
      <c r="PL132" s="36"/>
      <c r="PM132" s="36"/>
      <c r="PN132" s="36"/>
      <c r="PO132" s="36"/>
      <c r="PP132" s="36"/>
      <c r="PQ132" s="36"/>
      <c r="PR132" s="36"/>
      <c r="PS132" s="36"/>
      <c r="PT132" s="36"/>
      <c r="PU132" s="36"/>
      <c r="PV132" s="36"/>
      <c r="PW132" s="36"/>
      <c r="PX132" s="36"/>
      <c r="PY132" s="36"/>
      <c r="PZ132" s="36"/>
      <c r="QA132" s="36"/>
      <c r="QB132" s="36"/>
      <c r="QC132" s="36"/>
      <c r="QD132" s="36"/>
      <c r="QE132" s="36"/>
      <c r="QF132" s="36"/>
      <c r="QG132" s="36"/>
      <c r="QH132" s="36"/>
      <c r="QI132" s="36"/>
      <c r="QJ132" s="36"/>
      <c r="QK132" s="36"/>
      <c r="QL132" s="36"/>
      <c r="QM132" s="36"/>
      <c r="QN132" s="36"/>
      <c r="QO132" s="36"/>
      <c r="QP132" s="36"/>
      <c r="QQ132" s="36"/>
      <c r="QR132" s="36"/>
      <c r="QS132" s="36"/>
      <c r="QT132" s="36"/>
      <c r="QU132" s="36"/>
      <c r="QV132" s="36"/>
      <c r="QW132" s="36"/>
      <c r="QX132" s="36"/>
      <c r="QY132" s="36"/>
      <c r="QZ132" s="36"/>
      <c r="RA132" s="36"/>
      <c r="RB132" s="36"/>
      <c r="RC132" s="36"/>
      <c r="RD132" s="36"/>
      <c r="RE132" s="36"/>
      <c r="RF132" s="36"/>
      <c r="RG132" s="36"/>
      <c r="RH132" s="36"/>
      <c r="RI132" s="36"/>
      <c r="RJ132" s="36"/>
      <c r="RK132" s="36"/>
      <c r="RL132" s="36"/>
      <c r="RM132" s="36"/>
      <c r="RN132" s="36"/>
      <c r="RO132" s="36"/>
      <c r="RP132" s="36"/>
      <c r="RQ132" s="36"/>
      <c r="RR132" s="36"/>
      <c r="RS132" s="36"/>
      <c r="RT132" s="36"/>
      <c r="RU132" s="36"/>
      <c r="RV132" s="36"/>
      <c r="RW132" s="36"/>
      <c r="RX132" s="36"/>
      <c r="RY132" s="36"/>
      <c r="RZ132" s="36"/>
      <c r="SA132" s="36"/>
      <c r="SB132" s="36"/>
      <c r="SC132" s="36"/>
      <c r="SD132" s="36"/>
      <c r="SE132" s="36"/>
      <c r="SF132" s="36"/>
      <c r="SG132" s="36"/>
      <c r="SH132" s="36"/>
      <c r="SI132" s="36"/>
      <c r="SJ132" s="36"/>
      <c r="SK132" s="36"/>
      <c r="SL132" s="36"/>
      <c r="SM132" s="36"/>
      <c r="SN132" s="36"/>
      <c r="SO132" s="36"/>
      <c r="SP132" s="36"/>
      <c r="SQ132" s="36"/>
      <c r="SR132" s="36"/>
      <c r="SS132" s="36"/>
      <c r="ST132" s="36"/>
      <c r="SU132" s="36"/>
      <c r="SV132" s="36"/>
      <c r="SW132" s="36"/>
      <c r="SX132" s="36"/>
      <c r="SY132" s="36"/>
      <c r="SZ132" s="36"/>
      <c r="TA132" s="36"/>
      <c r="TB132" s="36"/>
      <c r="TC132" s="36"/>
      <c r="TD132" s="36"/>
      <c r="TE132" s="36"/>
      <c r="TF132" s="36"/>
      <c r="TG132" s="36"/>
      <c r="TH132" s="36"/>
      <c r="TI132" s="36"/>
    </row>
    <row r="133" spans="1:529" s="23" customFormat="1" ht="22.5" customHeight="1" x14ac:dyDescent="0.25">
      <c r="A133" s="43" t="s">
        <v>176</v>
      </c>
      <c r="B133" s="44" t="str">
        <f>'дод 4'!A125</f>
        <v>7640</v>
      </c>
      <c r="C133" s="44" t="str">
        <f>'дод 4'!B125</f>
        <v>0470</v>
      </c>
      <c r="D133" s="24" t="str">
        <f>'дод 4'!C125</f>
        <v>Заходи з енергозбереження</v>
      </c>
      <c r="E133" s="69">
        <f t="shared" si="58"/>
        <v>0</v>
      </c>
      <c r="F133" s="69"/>
      <c r="G133" s="69"/>
      <c r="H133" s="69"/>
      <c r="I133" s="69"/>
      <c r="J133" s="69">
        <f t="shared" si="60"/>
        <v>396000</v>
      </c>
      <c r="K133" s="69">
        <v>396000</v>
      </c>
      <c r="L133" s="69"/>
      <c r="M133" s="69"/>
      <c r="N133" s="69"/>
      <c r="O133" s="69">
        <v>396000</v>
      </c>
      <c r="P133" s="69">
        <f t="shared" si="59"/>
        <v>396000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</row>
    <row r="134" spans="1:529" s="23" customFormat="1" ht="22.5" customHeight="1" x14ac:dyDescent="0.25">
      <c r="A134" s="43">
        <v>1018340</v>
      </c>
      <c r="B134" s="44" t="str">
        <f>'дод 4'!A142</f>
        <v>8340</v>
      </c>
      <c r="C134" s="44" t="str">
        <f>'дод 4'!B142</f>
        <v>0540</v>
      </c>
      <c r="D134" s="78" t="str">
        <f>'дод 4'!C142</f>
        <v>Природоохоронні заходи за рахунок цільових фондів</v>
      </c>
      <c r="E134" s="69">
        <f t="shared" si="58"/>
        <v>0</v>
      </c>
      <c r="F134" s="69"/>
      <c r="G134" s="69"/>
      <c r="H134" s="69"/>
      <c r="I134" s="69"/>
      <c r="J134" s="69">
        <f t="shared" si="60"/>
        <v>3000</v>
      </c>
      <c r="K134" s="69"/>
      <c r="L134" s="69">
        <v>3000</v>
      </c>
      <c r="M134" s="69"/>
      <c r="N134" s="69"/>
      <c r="O134" s="69"/>
      <c r="P134" s="69">
        <f t="shared" si="59"/>
        <v>3000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</row>
    <row r="135" spans="1:529" s="31" customFormat="1" ht="34.5" customHeight="1" x14ac:dyDescent="0.2">
      <c r="A135" s="76" t="s">
        <v>231</v>
      </c>
      <c r="B135" s="74"/>
      <c r="C135" s="74"/>
      <c r="D135" s="30" t="s">
        <v>44</v>
      </c>
      <c r="E135" s="66">
        <f>E136</f>
        <v>256578890.95999998</v>
      </c>
      <c r="F135" s="66">
        <f t="shared" ref="F135:J135" si="61">F136</f>
        <v>222469358.95999998</v>
      </c>
      <c r="G135" s="66">
        <f t="shared" si="61"/>
        <v>10410700</v>
      </c>
      <c r="H135" s="66">
        <f t="shared" si="61"/>
        <v>27870106</v>
      </c>
      <c r="I135" s="66">
        <f t="shared" si="61"/>
        <v>34109532</v>
      </c>
      <c r="J135" s="66">
        <f t="shared" si="61"/>
        <v>196522189.63999999</v>
      </c>
      <c r="K135" s="66">
        <f t="shared" ref="K135" si="62">K136</f>
        <v>110553055.92</v>
      </c>
      <c r="L135" s="66">
        <f t="shared" ref="L135" si="63">L136</f>
        <v>82026890.269999996</v>
      </c>
      <c r="M135" s="66">
        <f t="shared" ref="M135" si="64">M136</f>
        <v>0</v>
      </c>
      <c r="N135" s="66">
        <f t="shared" ref="N135" si="65">N136</f>
        <v>540000</v>
      </c>
      <c r="O135" s="66">
        <f t="shared" ref="O135:P135" si="66">O136</f>
        <v>114495299.37</v>
      </c>
      <c r="P135" s="66">
        <f t="shared" si="66"/>
        <v>453101080.59999996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  <c r="IQ135" s="38"/>
      <c r="IR135" s="38"/>
      <c r="IS135" s="38"/>
      <c r="IT135" s="38"/>
      <c r="IU135" s="38"/>
      <c r="IV135" s="38"/>
      <c r="IW135" s="38"/>
      <c r="IX135" s="38"/>
      <c r="IY135" s="38"/>
      <c r="IZ135" s="38"/>
      <c r="JA135" s="38"/>
      <c r="JB135" s="38"/>
      <c r="JC135" s="38"/>
      <c r="JD135" s="38"/>
      <c r="JE135" s="38"/>
      <c r="JF135" s="38"/>
      <c r="JG135" s="38"/>
      <c r="JH135" s="38"/>
      <c r="JI135" s="38"/>
      <c r="JJ135" s="38"/>
      <c r="JK135" s="38"/>
      <c r="JL135" s="38"/>
      <c r="JM135" s="38"/>
      <c r="JN135" s="38"/>
      <c r="JO135" s="38"/>
      <c r="JP135" s="38"/>
      <c r="JQ135" s="38"/>
      <c r="JR135" s="38"/>
      <c r="JS135" s="38"/>
      <c r="JT135" s="38"/>
      <c r="JU135" s="38"/>
      <c r="JV135" s="38"/>
      <c r="JW135" s="38"/>
      <c r="JX135" s="38"/>
      <c r="JY135" s="38"/>
      <c r="JZ135" s="38"/>
      <c r="KA135" s="38"/>
      <c r="KB135" s="38"/>
      <c r="KC135" s="38"/>
      <c r="KD135" s="38"/>
      <c r="KE135" s="38"/>
      <c r="KF135" s="38"/>
      <c r="KG135" s="38"/>
      <c r="KH135" s="38"/>
      <c r="KI135" s="38"/>
      <c r="KJ135" s="38"/>
      <c r="KK135" s="38"/>
      <c r="KL135" s="38"/>
      <c r="KM135" s="38"/>
      <c r="KN135" s="38"/>
      <c r="KO135" s="38"/>
      <c r="KP135" s="38"/>
      <c r="KQ135" s="38"/>
      <c r="KR135" s="38"/>
      <c r="KS135" s="38"/>
      <c r="KT135" s="38"/>
      <c r="KU135" s="38"/>
      <c r="KV135" s="38"/>
      <c r="KW135" s="38"/>
      <c r="KX135" s="38"/>
      <c r="KY135" s="38"/>
      <c r="KZ135" s="38"/>
      <c r="LA135" s="38"/>
      <c r="LB135" s="38"/>
      <c r="LC135" s="38"/>
      <c r="LD135" s="38"/>
      <c r="LE135" s="38"/>
      <c r="LF135" s="38"/>
      <c r="LG135" s="38"/>
      <c r="LH135" s="38"/>
      <c r="LI135" s="38"/>
      <c r="LJ135" s="38"/>
      <c r="LK135" s="38"/>
      <c r="LL135" s="38"/>
      <c r="LM135" s="38"/>
      <c r="LN135" s="38"/>
      <c r="LO135" s="38"/>
      <c r="LP135" s="38"/>
      <c r="LQ135" s="38"/>
      <c r="LR135" s="38"/>
      <c r="LS135" s="38"/>
      <c r="LT135" s="38"/>
      <c r="LU135" s="38"/>
      <c r="LV135" s="38"/>
      <c r="LW135" s="38"/>
      <c r="LX135" s="38"/>
      <c r="LY135" s="38"/>
      <c r="LZ135" s="38"/>
      <c r="MA135" s="38"/>
      <c r="MB135" s="38"/>
      <c r="MC135" s="38"/>
      <c r="MD135" s="38"/>
      <c r="ME135" s="38"/>
      <c r="MF135" s="38"/>
      <c r="MG135" s="38"/>
      <c r="MH135" s="38"/>
      <c r="MI135" s="38"/>
      <c r="MJ135" s="38"/>
      <c r="MK135" s="38"/>
      <c r="ML135" s="38"/>
      <c r="MM135" s="38"/>
      <c r="MN135" s="38"/>
      <c r="MO135" s="38"/>
      <c r="MP135" s="38"/>
      <c r="MQ135" s="38"/>
      <c r="MR135" s="38"/>
      <c r="MS135" s="38"/>
      <c r="MT135" s="38"/>
      <c r="MU135" s="38"/>
      <c r="MV135" s="38"/>
      <c r="MW135" s="38"/>
      <c r="MX135" s="38"/>
      <c r="MY135" s="38"/>
      <c r="MZ135" s="38"/>
      <c r="NA135" s="38"/>
      <c r="NB135" s="38"/>
      <c r="NC135" s="38"/>
      <c r="ND135" s="38"/>
      <c r="NE135" s="38"/>
      <c r="NF135" s="38"/>
      <c r="NG135" s="38"/>
      <c r="NH135" s="3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"/>
      <c r="OC135" s="38"/>
      <c r="OD135" s="38"/>
      <c r="OE135" s="38"/>
      <c r="OF135" s="38"/>
      <c r="OG135" s="38"/>
      <c r="OH135" s="38"/>
      <c r="OI135" s="38"/>
      <c r="OJ135" s="38"/>
      <c r="OK135" s="38"/>
      <c r="OL135" s="38"/>
      <c r="OM135" s="38"/>
      <c r="ON135" s="38"/>
      <c r="OO135" s="38"/>
      <c r="OP135" s="38"/>
      <c r="OQ135" s="38"/>
      <c r="OR135" s="38"/>
      <c r="OS135" s="38"/>
      <c r="OT135" s="38"/>
      <c r="OU135" s="38"/>
      <c r="OV135" s="38"/>
      <c r="OW135" s="38"/>
      <c r="OX135" s="38"/>
      <c r="OY135" s="38"/>
      <c r="OZ135" s="38"/>
      <c r="PA135" s="38"/>
      <c r="PB135" s="38"/>
      <c r="PC135" s="38"/>
      <c r="PD135" s="38"/>
      <c r="PE135" s="38"/>
      <c r="PF135" s="38"/>
      <c r="PG135" s="38"/>
      <c r="PH135" s="38"/>
      <c r="PI135" s="38"/>
      <c r="PJ135" s="38"/>
      <c r="PK135" s="38"/>
      <c r="PL135" s="38"/>
      <c r="PM135" s="38"/>
      <c r="PN135" s="38"/>
      <c r="PO135" s="38"/>
      <c r="PP135" s="38"/>
      <c r="PQ135" s="38"/>
      <c r="PR135" s="38"/>
      <c r="PS135" s="38"/>
      <c r="PT135" s="38"/>
      <c r="PU135" s="38"/>
      <c r="PV135" s="38"/>
      <c r="PW135" s="38"/>
      <c r="PX135" s="38"/>
      <c r="PY135" s="38"/>
      <c r="PZ135" s="38"/>
      <c r="QA135" s="38"/>
      <c r="QB135" s="38"/>
      <c r="QC135" s="38"/>
      <c r="QD135" s="38"/>
      <c r="QE135" s="38"/>
      <c r="QF135" s="38"/>
      <c r="QG135" s="38"/>
      <c r="QH135" s="38"/>
      <c r="QI135" s="38"/>
      <c r="QJ135" s="38"/>
      <c r="QK135" s="38"/>
      <c r="QL135" s="38"/>
      <c r="QM135" s="38"/>
      <c r="QN135" s="38"/>
      <c r="QO135" s="38"/>
      <c r="QP135" s="38"/>
      <c r="QQ135" s="38"/>
      <c r="QR135" s="38"/>
      <c r="QS135" s="38"/>
      <c r="QT135" s="38"/>
      <c r="QU135" s="38"/>
      <c r="QV135" s="38"/>
      <c r="QW135" s="38"/>
      <c r="QX135" s="38"/>
      <c r="QY135" s="38"/>
      <c r="QZ135" s="38"/>
      <c r="RA135" s="38"/>
      <c r="RB135" s="38"/>
      <c r="RC135" s="38"/>
      <c r="RD135" s="38"/>
      <c r="RE135" s="38"/>
      <c r="RF135" s="38"/>
      <c r="RG135" s="38"/>
      <c r="RH135" s="38"/>
      <c r="RI135" s="38"/>
      <c r="RJ135" s="38"/>
      <c r="RK135" s="38"/>
      <c r="RL135" s="38"/>
      <c r="RM135" s="38"/>
      <c r="RN135" s="38"/>
      <c r="RO135" s="38"/>
      <c r="RP135" s="38"/>
      <c r="RQ135" s="38"/>
      <c r="RR135" s="38"/>
      <c r="RS135" s="38"/>
      <c r="RT135" s="38"/>
      <c r="RU135" s="38"/>
      <c r="RV135" s="38"/>
      <c r="RW135" s="38"/>
      <c r="RX135" s="38"/>
      <c r="RY135" s="38"/>
      <c r="RZ135" s="38"/>
      <c r="SA135" s="38"/>
      <c r="SB135" s="38"/>
      <c r="SC135" s="38"/>
      <c r="SD135" s="38"/>
      <c r="SE135" s="38"/>
      <c r="SF135" s="38"/>
      <c r="SG135" s="38"/>
      <c r="SH135" s="38"/>
      <c r="SI135" s="38"/>
      <c r="SJ135" s="38"/>
      <c r="SK135" s="38"/>
      <c r="SL135" s="38"/>
      <c r="SM135" s="38"/>
      <c r="SN135" s="38"/>
      <c r="SO135" s="38"/>
      <c r="SP135" s="38"/>
      <c r="SQ135" s="38"/>
      <c r="SR135" s="38"/>
      <c r="SS135" s="38"/>
      <c r="ST135" s="38"/>
      <c r="SU135" s="38"/>
      <c r="SV135" s="38"/>
      <c r="SW135" s="38"/>
      <c r="SX135" s="38"/>
      <c r="SY135" s="38"/>
      <c r="SZ135" s="38"/>
      <c r="TA135" s="38"/>
      <c r="TB135" s="38"/>
      <c r="TC135" s="38"/>
      <c r="TD135" s="38"/>
      <c r="TE135" s="38"/>
      <c r="TF135" s="38"/>
      <c r="TG135" s="38"/>
      <c r="TH135" s="38"/>
      <c r="TI135" s="38"/>
    </row>
    <row r="136" spans="1:529" s="40" customFormat="1" ht="36.75" customHeight="1" x14ac:dyDescent="0.25">
      <c r="A136" s="77" t="s">
        <v>232</v>
      </c>
      <c r="B136" s="75"/>
      <c r="C136" s="75"/>
      <c r="D136" s="33" t="s">
        <v>44</v>
      </c>
      <c r="E136" s="68">
        <f>E138+E139+E140+E141+E142+E143+E144+E145+E146+E147+E148+E150+E149+E152+E156+E157+E158+E161+E162+E151+E154+E160+E159</f>
        <v>256578890.95999998</v>
      </c>
      <c r="F136" s="68">
        <f>F138+F139+F140+F141+F142+F143+F144+F145+F146+F147+F148+F150+F149+F152+F156+F157+F158+F161+F162+F151+F154+F160+F159</f>
        <v>222469358.95999998</v>
      </c>
      <c r="G136" s="68">
        <f t="shared" ref="G136:P136" si="67">G138+G139+G140+G141+G142+G143+G144+G145+G146+G147+G148+G150+G149+G152+G156+G157+G158+G161+G162+G151+G154+G160+G159</f>
        <v>10410700</v>
      </c>
      <c r="H136" s="68">
        <f t="shared" si="67"/>
        <v>27870106</v>
      </c>
      <c r="I136" s="68">
        <f t="shared" si="67"/>
        <v>34109532</v>
      </c>
      <c r="J136" s="68">
        <f t="shared" si="67"/>
        <v>196522189.63999999</v>
      </c>
      <c r="K136" s="68">
        <f t="shared" si="67"/>
        <v>110553055.92</v>
      </c>
      <c r="L136" s="68">
        <f t="shared" si="67"/>
        <v>82026890.269999996</v>
      </c>
      <c r="M136" s="68">
        <f t="shared" si="67"/>
        <v>0</v>
      </c>
      <c r="N136" s="68">
        <f t="shared" si="67"/>
        <v>540000</v>
      </c>
      <c r="O136" s="68">
        <f t="shared" si="67"/>
        <v>114495299.37</v>
      </c>
      <c r="P136" s="68">
        <f t="shared" si="67"/>
        <v>453101080.59999996</v>
      </c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  <c r="KV136" s="39"/>
      <c r="KW136" s="39"/>
      <c r="KX136" s="39"/>
      <c r="KY136" s="39"/>
      <c r="KZ136" s="39"/>
      <c r="LA136" s="39"/>
      <c r="LB136" s="39"/>
      <c r="LC136" s="39"/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/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/>
      <c r="ME136" s="39"/>
      <c r="MF136" s="39"/>
      <c r="MG136" s="39"/>
      <c r="MH136" s="39"/>
      <c r="MI136" s="39"/>
      <c r="MJ136" s="39"/>
      <c r="MK136" s="39"/>
      <c r="ML136" s="39"/>
      <c r="MM136" s="39"/>
      <c r="MN136" s="39"/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/>
      <c r="NC136" s="39"/>
      <c r="ND136" s="39"/>
      <c r="NE136" s="39"/>
      <c r="NF136" s="39"/>
      <c r="NG136" s="39"/>
      <c r="NH136" s="39"/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  <c r="OE136" s="39"/>
      <c r="OF136" s="39"/>
      <c r="OG136" s="39"/>
      <c r="OH136" s="39"/>
      <c r="OI136" s="39"/>
      <c r="OJ136" s="39"/>
      <c r="OK136" s="39"/>
      <c r="OL136" s="39"/>
      <c r="OM136" s="39"/>
      <c r="ON136" s="39"/>
      <c r="OO136" s="39"/>
      <c r="OP136" s="39"/>
      <c r="OQ136" s="39"/>
      <c r="OR136" s="39"/>
      <c r="OS136" s="39"/>
      <c r="OT136" s="39"/>
      <c r="OU136" s="39"/>
      <c r="OV136" s="39"/>
      <c r="OW136" s="39"/>
      <c r="OX136" s="39"/>
      <c r="OY136" s="39"/>
      <c r="OZ136" s="39"/>
      <c r="PA136" s="39"/>
      <c r="PB136" s="39"/>
      <c r="PC136" s="39"/>
      <c r="PD136" s="39"/>
      <c r="PE136" s="39"/>
      <c r="PF136" s="39"/>
      <c r="PG136" s="39"/>
      <c r="PH136" s="39"/>
      <c r="PI136" s="39"/>
      <c r="PJ136" s="39"/>
      <c r="PK136" s="39"/>
      <c r="PL136" s="39"/>
      <c r="PM136" s="39"/>
      <c r="PN136" s="39"/>
      <c r="PO136" s="39"/>
      <c r="PP136" s="39"/>
      <c r="PQ136" s="39"/>
      <c r="PR136" s="39"/>
      <c r="PS136" s="39"/>
      <c r="PT136" s="39"/>
      <c r="PU136" s="39"/>
      <c r="PV136" s="39"/>
      <c r="PW136" s="39"/>
      <c r="PX136" s="39"/>
      <c r="PY136" s="39"/>
      <c r="PZ136" s="39"/>
      <c r="QA136" s="39"/>
      <c r="QB136" s="39"/>
      <c r="QC136" s="39"/>
      <c r="QD136" s="39"/>
      <c r="QE136" s="39"/>
      <c r="QF136" s="39"/>
      <c r="QG136" s="39"/>
      <c r="QH136" s="39"/>
      <c r="QI136" s="39"/>
      <c r="QJ136" s="39"/>
      <c r="QK136" s="39"/>
      <c r="QL136" s="39"/>
      <c r="QM136" s="39"/>
      <c r="QN136" s="39"/>
      <c r="QO136" s="39"/>
      <c r="QP136" s="39"/>
      <c r="QQ136" s="39"/>
      <c r="QR136" s="39"/>
      <c r="QS136" s="39"/>
      <c r="QT136" s="39"/>
      <c r="QU136" s="39"/>
      <c r="QV136" s="39"/>
      <c r="QW136" s="39"/>
      <c r="QX136" s="39"/>
      <c r="QY136" s="39"/>
      <c r="QZ136" s="39"/>
      <c r="RA136" s="39"/>
      <c r="RB136" s="39"/>
      <c r="RC136" s="39"/>
      <c r="RD136" s="39"/>
      <c r="RE136" s="39"/>
      <c r="RF136" s="39"/>
      <c r="RG136" s="39"/>
      <c r="RH136" s="39"/>
      <c r="RI136" s="39"/>
      <c r="RJ136" s="39"/>
      <c r="RK136" s="39"/>
      <c r="RL136" s="39"/>
      <c r="RM136" s="39"/>
      <c r="RN136" s="39"/>
      <c r="RO136" s="39"/>
      <c r="RP136" s="39"/>
      <c r="RQ136" s="39"/>
      <c r="RR136" s="39"/>
      <c r="RS136" s="39"/>
      <c r="RT136" s="39"/>
      <c r="RU136" s="39"/>
      <c r="RV136" s="39"/>
      <c r="RW136" s="39"/>
      <c r="RX136" s="39"/>
      <c r="RY136" s="39"/>
      <c r="RZ136" s="39"/>
      <c r="SA136" s="39"/>
      <c r="SB136" s="39"/>
      <c r="SC136" s="39"/>
      <c r="SD136" s="39"/>
      <c r="SE136" s="39"/>
      <c r="SF136" s="39"/>
      <c r="SG136" s="39"/>
      <c r="SH136" s="39"/>
      <c r="SI136" s="39"/>
      <c r="SJ136" s="39"/>
      <c r="SK136" s="39"/>
      <c r="SL136" s="39"/>
      <c r="SM136" s="39"/>
      <c r="SN136" s="39"/>
      <c r="SO136" s="39"/>
      <c r="SP136" s="39"/>
      <c r="SQ136" s="39"/>
      <c r="SR136" s="39"/>
      <c r="SS136" s="39"/>
      <c r="ST136" s="39"/>
      <c r="SU136" s="39"/>
      <c r="SV136" s="39"/>
      <c r="SW136" s="39"/>
      <c r="SX136" s="39"/>
      <c r="SY136" s="39"/>
      <c r="SZ136" s="39"/>
      <c r="TA136" s="39"/>
      <c r="TB136" s="39"/>
      <c r="TC136" s="39"/>
      <c r="TD136" s="39"/>
      <c r="TE136" s="39"/>
      <c r="TF136" s="39"/>
      <c r="TG136" s="39"/>
      <c r="TH136" s="39"/>
      <c r="TI136" s="39"/>
    </row>
    <row r="137" spans="1:529" s="40" customFormat="1" ht="15" customHeight="1" x14ac:dyDescent="0.25">
      <c r="A137" s="77"/>
      <c r="B137" s="75"/>
      <c r="C137" s="75"/>
      <c r="D137" s="33" t="s">
        <v>308</v>
      </c>
      <c r="E137" s="68">
        <f>E153+E155</f>
        <v>0</v>
      </c>
      <c r="F137" s="68">
        <f t="shared" ref="F137:P137" si="68">F153+F155</f>
        <v>0</v>
      </c>
      <c r="G137" s="68">
        <f t="shared" si="68"/>
        <v>0</v>
      </c>
      <c r="H137" s="68">
        <f t="shared" si="68"/>
        <v>0</v>
      </c>
      <c r="I137" s="68">
        <f t="shared" si="68"/>
        <v>0</v>
      </c>
      <c r="J137" s="68">
        <f t="shared" si="68"/>
        <v>80937420.379999995</v>
      </c>
      <c r="K137" s="68">
        <f t="shared" si="68"/>
        <v>937420.38</v>
      </c>
      <c r="L137" s="68">
        <f t="shared" si="68"/>
        <v>80000000</v>
      </c>
      <c r="M137" s="68">
        <f t="shared" si="68"/>
        <v>0</v>
      </c>
      <c r="N137" s="68">
        <f t="shared" si="68"/>
        <v>0</v>
      </c>
      <c r="O137" s="68">
        <f t="shared" si="68"/>
        <v>937420.38</v>
      </c>
      <c r="P137" s="68">
        <f t="shared" si="68"/>
        <v>80937420.379999995</v>
      </c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/>
      <c r="JH137" s="39"/>
      <c r="JI137" s="39"/>
      <c r="JJ137" s="39"/>
      <c r="JK137" s="39"/>
      <c r="JL137" s="39"/>
      <c r="JM137" s="39"/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/>
      <c r="KN137" s="39"/>
      <c r="KO137" s="39"/>
      <c r="KP137" s="39"/>
      <c r="KQ137" s="39"/>
      <c r="KR137" s="39"/>
      <c r="KS137" s="39"/>
      <c r="KT137" s="39"/>
      <c r="KU137" s="39"/>
      <c r="KV137" s="39"/>
      <c r="KW137" s="39"/>
      <c r="KX137" s="39"/>
      <c r="KY137" s="39"/>
      <c r="KZ137" s="39"/>
      <c r="LA137" s="39"/>
      <c r="LB137" s="39"/>
      <c r="LC137" s="39"/>
      <c r="LD137" s="39"/>
      <c r="LE137" s="39"/>
      <c r="LF137" s="39"/>
      <c r="LG137" s="39"/>
      <c r="LH137" s="39"/>
      <c r="LI137" s="39"/>
      <c r="LJ137" s="39"/>
      <c r="LK137" s="39"/>
      <c r="LL137" s="39"/>
      <c r="LM137" s="39"/>
      <c r="LN137" s="39"/>
      <c r="LO137" s="39"/>
      <c r="LP137" s="39"/>
      <c r="LQ137" s="39"/>
      <c r="LR137" s="39"/>
      <c r="LS137" s="39"/>
      <c r="LT137" s="39"/>
      <c r="LU137" s="39"/>
      <c r="LV137" s="39"/>
      <c r="LW137" s="39"/>
      <c r="LX137" s="39"/>
      <c r="LY137" s="39"/>
      <c r="LZ137" s="39"/>
      <c r="MA137" s="39"/>
      <c r="MB137" s="39"/>
      <c r="MC137" s="39"/>
      <c r="MD137" s="39"/>
      <c r="ME137" s="39"/>
      <c r="MF137" s="39"/>
      <c r="MG137" s="39"/>
      <c r="MH137" s="39"/>
      <c r="MI137" s="39"/>
      <c r="MJ137" s="39"/>
      <c r="MK137" s="39"/>
      <c r="ML137" s="39"/>
      <c r="MM137" s="39"/>
      <c r="MN137" s="39"/>
      <c r="MO137" s="39"/>
      <c r="MP137" s="39"/>
      <c r="MQ137" s="39"/>
      <c r="MR137" s="39"/>
      <c r="MS137" s="39"/>
      <c r="MT137" s="39"/>
      <c r="MU137" s="39"/>
      <c r="MV137" s="39"/>
      <c r="MW137" s="39"/>
      <c r="MX137" s="39"/>
      <c r="MY137" s="39"/>
      <c r="MZ137" s="39"/>
      <c r="NA137" s="39"/>
      <c r="NB137" s="39"/>
      <c r="NC137" s="39"/>
      <c r="ND137" s="39"/>
      <c r="NE137" s="39"/>
      <c r="NF137" s="39"/>
      <c r="NG137" s="39"/>
      <c r="NH137" s="39"/>
      <c r="NI137" s="39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/>
      <c r="NT137" s="39"/>
      <c r="NU137" s="39"/>
      <c r="NV137" s="39"/>
      <c r="NW137" s="39"/>
      <c r="NX137" s="39"/>
      <c r="NY137" s="39"/>
      <c r="NZ137" s="39"/>
      <c r="OA137" s="39"/>
      <c r="OB137" s="39"/>
      <c r="OC137" s="39"/>
      <c r="OD137" s="39"/>
      <c r="OE137" s="39"/>
      <c r="OF137" s="39"/>
      <c r="OG137" s="39"/>
      <c r="OH137" s="39"/>
      <c r="OI137" s="39"/>
      <c r="OJ137" s="39"/>
      <c r="OK137" s="39"/>
      <c r="OL137" s="39"/>
      <c r="OM137" s="39"/>
      <c r="ON137" s="39"/>
      <c r="OO137" s="39"/>
      <c r="OP137" s="39"/>
      <c r="OQ137" s="39"/>
      <c r="OR137" s="39"/>
      <c r="OS137" s="39"/>
      <c r="OT137" s="39"/>
      <c r="OU137" s="39"/>
      <c r="OV137" s="39"/>
      <c r="OW137" s="39"/>
      <c r="OX137" s="39"/>
      <c r="OY137" s="39"/>
      <c r="OZ137" s="39"/>
      <c r="PA137" s="39"/>
      <c r="PB137" s="39"/>
      <c r="PC137" s="39"/>
      <c r="PD137" s="39"/>
      <c r="PE137" s="39"/>
      <c r="PF137" s="39"/>
      <c r="PG137" s="39"/>
      <c r="PH137" s="39"/>
      <c r="PI137" s="39"/>
      <c r="PJ137" s="39"/>
      <c r="PK137" s="39"/>
      <c r="PL137" s="39"/>
      <c r="PM137" s="39"/>
      <c r="PN137" s="39"/>
      <c r="PO137" s="39"/>
      <c r="PP137" s="39"/>
      <c r="PQ137" s="39"/>
      <c r="PR137" s="39"/>
      <c r="PS137" s="39"/>
      <c r="PT137" s="39"/>
      <c r="PU137" s="39"/>
      <c r="PV137" s="39"/>
      <c r="PW137" s="39"/>
      <c r="PX137" s="39"/>
      <c r="PY137" s="39"/>
      <c r="PZ137" s="39"/>
      <c r="QA137" s="39"/>
      <c r="QB137" s="39"/>
      <c r="QC137" s="39"/>
      <c r="QD137" s="39"/>
      <c r="QE137" s="39"/>
      <c r="QF137" s="39"/>
      <c r="QG137" s="39"/>
      <c r="QH137" s="39"/>
      <c r="QI137" s="39"/>
      <c r="QJ137" s="39"/>
      <c r="QK137" s="39"/>
      <c r="QL137" s="39"/>
      <c r="QM137" s="39"/>
      <c r="QN137" s="39"/>
      <c r="QO137" s="39"/>
      <c r="QP137" s="39"/>
      <c r="QQ137" s="39"/>
      <c r="QR137" s="39"/>
      <c r="QS137" s="39"/>
      <c r="QT137" s="39"/>
      <c r="QU137" s="39"/>
      <c r="QV137" s="39"/>
      <c r="QW137" s="39"/>
      <c r="QX137" s="39"/>
      <c r="QY137" s="39"/>
      <c r="QZ137" s="39"/>
      <c r="RA137" s="39"/>
      <c r="RB137" s="39"/>
      <c r="RC137" s="39"/>
      <c r="RD137" s="39"/>
      <c r="RE137" s="39"/>
      <c r="RF137" s="39"/>
      <c r="RG137" s="39"/>
      <c r="RH137" s="39"/>
      <c r="RI137" s="39"/>
      <c r="RJ137" s="39"/>
      <c r="RK137" s="39"/>
      <c r="RL137" s="39"/>
      <c r="RM137" s="39"/>
      <c r="RN137" s="39"/>
      <c r="RO137" s="39"/>
      <c r="RP137" s="39"/>
      <c r="RQ137" s="39"/>
      <c r="RR137" s="39"/>
      <c r="RS137" s="39"/>
      <c r="RT137" s="39"/>
      <c r="RU137" s="39"/>
      <c r="RV137" s="39"/>
      <c r="RW137" s="39"/>
      <c r="RX137" s="39"/>
      <c r="RY137" s="39"/>
      <c r="RZ137" s="39"/>
      <c r="SA137" s="39"/>
      <c r="SB137" s="39"/>
      <c r="SC137" s="39"/>
      <c r="SD137" s="39"/>
      <c r="SE137" s="39"/>
      <c r="SF137" s="39"/>
      <c r="SG137" s="39"/>
      <c r="SH137" s="39"/>
      <c r="SI137" s="39"/>
      <c r="SJ137" s="39"/>
      <c r="SK137" s="39"/>
      <c r="SL137" s="39"/>
      <c r="SM137" s="39"/>
      <c r="SN137" s="39"/>
      <c r="SO137" s="39"/>
      <c r="SP137" s="39"/>
      <c r="SQ137" s="39"/>
      <c r="SR137" s="39"/>
      <c r="SS137" s="39"/>
      <c r="ST137" s="39"/>
      <c r="SU137" s="39"/>
      <c r="SV137" s="39"/>
      <c r="SW137" s="39"/>
      <c r="SX137" s="39"/>
      <c r="SY137" s="39"/>
      <c r="SZ137" s="39"/>
      <c r="TA137" s="39"/>
      <c r="TB137" s="39"/>
      <c r="TC137" s="39"/>
      <c r="TD137" s="39"/>
      <c r="TE137" s="39"/>
      <c r="TF137" s="39"/>
      <c r="TG137" s="39"/>
      <c r="TH137" s="39"/>
      <c r="TI137" s="39"/>
    </row>
    <row r="138" spans="1:529" s="23" customFormat="1" ht="48.75" customHeight="1" x14ac:dyDescent="0.25">
      <c r="A138" s="43" t="s">
        <v>233</v>
      </c>
      <c r="B138" s="44" t="str">
        <f>'дод 4'!A20</f>
        <v>0160</v>
      </c>
      <c r="C138" s="44" t="str">
        <f>'дод 4'!B20</f>
        <v>0111</v>
      </c>
      <c r="D138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38" s="69">
        <f t="shared" ref="E138:E162" si="69">F138+I138</f>
        <v>13501800</v>
      </c>
      <c r="F138" s="69">
        <f>13873900+90800-678700+244800-29000</f>
        <v>13501800</v>
      </c>
      <c r="G138" s="69">
        <f>10990800-556300-23800</f>
        <v>10410700</v>
      </c>
      <c r="H138" s="69">
        <v>164000</v>
      </c>
      <c r="I138" s="69"/>
      <c r="J138" s="69">
        <f>L138+O138</f>
        <v>0</v>
      </c>
      <c r="K138" s="69"/>
      <c r="L138" s="69"/>
      <c r="M138" s="69"/>
      <c r="N138" s="69"/>
      <c r="O138" s="69"/>
      <c r="P138" s="69">
        <f t="shared" ref="P138:P162" si="70">E138+J138</f>
        <v>13501800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</row>
    <row r="139" spans="1:529" s="23" customFormat="1" ht="19.5" customHeight="1" x14ac:dyDescent="0.25">
      <c r="A139" s="52" t="s">
        <v>352</v>
      </c>
      <c r="B139" s="45" t="str">
        <f>'дод 4'!A74</f>
        <v>3210</v>
      </c>
      <c r="C139" s="45" t="str">
        <f>'дод 4'!B74</f>
        <v>1050</v>
      </c>
      <c r="D139" s="22" t="str">
        <f>'дод 4'!C74</f>
        <v>Організація та проведення громадських робіт</v>
      </c>
      <c r="E139" s="69">
        <f t="shared" si="69"/>
        <v>400000</v>
      </c>
      <c r="F139" s="69">
        <v>400000</v>
      </c>
      <c r="G139" s="69"/>
      <c r="H139" s="69"/>
      <c r="I139" s="69"/>
      <c r="J139" s="69">
        <f t="shared" ref="J139:J162" si="71">L139+O139</f>
        <v>0</v>
      </c>
      <c r="K139" s="69"/>
      <c r="L139" s="69"/>
      <c r="M139" s="69"/>
      <c r="N139" s="69"/>
      <c r="O139" s="69"/>
      <c r="P139" s="69">
        <f t="shared" si="70"/>
        <v>400000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3" customFormat="1" ht="38.25" customHeight="1" x14ac:dyDescent="0.25">
      <c r="A140" s="43" t="s">
        <v>234</v>
      </c>
      <c r="B140" s="44" t="str">
        <f>'дод 4'!A90</f>
        <v>6011</v>
      </c>
      <c r="C140" s="44" t="str">
        <f>'дод 4'!B90</f>
        <v>0610</v>
      </c>
      <c r="D140" s="24" t="str">
        <f>'дод 4'!C90</f>
        <v>Експлуатація та технічне обслуговування житлового фонду</v>
      </c>
      <c r="E140" s="69">
        <f t="shared" si="69"/>
        <v>0</v>
      </c>
      <c r="F140" s="69"/>
      <c r="G140" s="69"/>
      <c r="H140" s="69"/>
      <c r="I140" s="69"/>
      <c r="J140" s="69">
        <f t="shared" si="71"/>
        <v>12118067.93</v>
      </c>
      <c r="K140" s="69">
        <f>20000000-4500000-5000000-1188215.76-766.31+827545+291000+100000+309505+49000+1200000</f>
        <v>12088067.93</v>
      </c>
      <c r="L140" s="69"/>
      <c r="M140" s="69"/>
      <c r="N140" s="69"/>
      <c r="O140" s="69">
        <f>20000000+30000-4500000-5000000-1188215.76-766.31+827545+291000+100000+309505+49000+1200000</f>
        <v>12118067.93</v>
      </c>
      <c r="P140" s="69">
        <f t="shared" si="70"/>
        <v>12118067.93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</row>
    <row r="141" spans="1:529" s="23" customFormat="1" ht="33" customHeight="1" x14ac:dyDescent="0.25">
      <c r="A141" s="43" t="s">
        <v>235</v>
      </c>
      <c r="B141" s="44" t="str">
        <f>'дод 4'!A91</f>
        <v>6013</v>
      </c>
      <c r="C141" s="44" t="str">
        <f>'дод 4'!B91</f>
        <v>0620</v>
      </c>
      <c r="D141" s="24" t="str">
        <f>'дод 4'!C91</f>
        <v>Забезпечення діяльності водопровідно-каналізаційного господарства</v>
      </c>
      <c r="E141" s="69">
        <f t="shared" si="69"/>
        <v>30925000</v>
      </c>
      <c r="F141" s="69">
        <f>775000-350000</f>
        <v>425000</v>
      </c>
      <c r="G141" s="69"/>
      <c r="H141" s="69"/>
      <c r="I141" s="69">
        <f>30150000+350000</f>
        <v>30500000</v>
      </c>
      <c r="J141" s="69">
        <f t="shared" si="71"/>
        <v>1721000</v>
      </c>
      <c r="K141" s="69">
        <f>1700000+20000+1000</f>
        <v>1721000</v>
      </c>
      <c r="L141" s="69"/>
      <c r="M141" s="69"/>
      <c r="N141" s="69"/>
      <c r="O141" s="69">
        <f>1700000+20000+1000</f>
        <v>1721000</v>
      </c>
      <c r="P141" s="69">
        <f t="shared" si="70"/>
        <v>32646000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</row>
    <row r="142" spans="1:529" s="23" customFormat="1" ht="27.75" customHeight="1" x14ac:dyDescent="0.25">
      <c r="A142" s="43" t="s">
        <v>301</v>
      </c>
      <c r="B142" s="44" t="str">
        <f>'дод 4'!A92</f>
        <v>6015</v>
      </c>
      <c r="C142" s="44" t="str">
        <f>'дод 4'!B92</f>
        <v>0620</v>
      </c>
      <c r="D142" s="24" t="str">
        <f>'дод 4'!C92</f>
        <v>Забезпечення надійної та безперебійної експлуатації ліфтів</v>
      </c>
      <c r="E142" s="69">
        <f t="shared" si="69"/>
        <v>193887</v>
      </c>
      <c r="F142" s="69">
        <f>200000-6113</f>
        <v>193887</v>
      </c>
      <c r="G142" s="69"/>
      <c r="H142" s="69"/>
      <c r="I142" s="69"/>
      <c r="J142" s="69">
        <f t="shared" si="71"/>
        <v>13408448.83</v>
      </c>
      <c r="K142" s="69">
        <f>15000000+9-1500000-405560.17+164000+100000-935318+935318</f>
        <v>13358448.83</v>
      </c>
      <c r="L142" s="69"/>
      <c r="M142" s="69"/>
      <c r="N142" s="69"/>
      <c r="O142" s="69">
        <f>15000000+50000+9-1500000-405560.17+164000+100000-935318+935318</f>
        <v>13408448.83</v>
      </c>
      <c r="P142" s="69">
        <f t="shared" si="70"/>
        <v>13602335.83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3" customFormat="1" ht="38.25" customHeight="1" x14ac:dyDescent="0.25">
      <c r="A143" s="43" t="s">
        <v>304</v>
      </c>
      <c r="B143" s="44" t="str">
        <f>'дод 4'!A93</f>
        <v>6017</v>
      </c>
      <c r="C143" s="44" t="str">
        <f>'дод 4'!B93</f>
        <v>0620</v>
      </c>
      <c r="D143" s="24" t="str">
        <f>'дод 4'!C93</f>
        <v>Інша діяльність, пов’язана з експлуатацією об’єктів житлово-комунального господарства</v>
      </c>
      <c r="E143" s="69">
        <f t="shared" si="69"/>
        <v>100000</v>
      </c>
      <c r="F143" s="69">
        <f>100000+1500000-1500000</f>
        <v>100000</v>
      </c>
      <c r="G143" s="69"/>
      <c r="H143" s="69"/>
      <c r="I143" s="69"/>
      <c r="J143" s="69">
        <f t="shared" si="71"/>
        <v>0</v>
      </c>
      <c r="K143" s="69"/>
      <c r="L143" s="69"/>
      <c r="M143" s="69"/>
      <c r="N143" s="69"/>
      <c r="O143" s="69"/>
      <c r="P143" s="69">
        <f t="shared" si="70"/>
        <v>100000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3" customFormat="1" ht="45" x14ac:dyDescent="0.25">
      <c r="A144" s="43" t="s">
        <v>236</v>
      </c>
      <c r="B144" s="44" t="str">
        <f>'дод 4'!A94</f>
        <v>6020</v>
      </c>
      <c r="C144" s="44" t="str">
        <f>'дод 4'!B94</f>
        <v>0620</v>
      </c>
      <c r="D144" s="24" t="str">
        <f>'дод 4'!C94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4" s="69">
        <f t="shared" si="69"/>
        <v>2605232</v>
      </c>
      <c r="F144" s="69"/>
      <c r="G144" s="69"/>
      <c r="H144" s="69"/>
      <c r="I144" s="69">
        <f>2595232+2000000+10000-2000000</f>
        <v>2605232</v>
      </c>
      <c r="J144" s="69">
        <f t="shared" si="71"/>
        <v>2000000</v>
      </c>
      <c r="K144" s="69">
        <f>2000000-2000000+2000000</f>
        <v>2000000</v>
      </c>
      <c r="L144" s="69"/>
      <c r="M144" s="69"/>
      <c r="N144" s="69"/>
      <c r="O144" s="69">
        <f>2000000-2000000+2000000</f>
        <v>2000000</v>
      </c>
      <c r="P144" s="69">
        <f t="shared" si="70"/>
        <v>4605232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</row>
    <row r="145" spans="1:529" s="23" customFormat="1" ht="21.75" customHeight="1" x14ac:dyDescent="0.25">
      <c r="A145" s="43" t="s">
        <v>237</v>
      </c>
      <c r="B145" s="44" t="str">
        <f>'дод 4'!A95</f>
        <v>6030</v>
      </c>
      <c r="C145" s="44" t="str">
        <f>'дод 4'!B95</f>
        <v>0620</v>
      </c>
      <c r="D145" s="24" t="str">
        <f>'дод 4'!C95</f>
        <v>Організація благоустрою населених пунктів</v>
      </c>
      <c r="E145" s="69">
        <f t="shared" si="69"/>
        <v>192550441.56999999</v>
      </c>
      <c r="F145" s="69">
        <f>191911836-108000-2000000-100000-2000000+2907700+786500+575000+788511.57-2000000+199000-300000-100000+489939+100000-95000+377000+150000-16200-180000+180000-200000-127000+900000+211155+200000</f>
        <v>192550441.56999999</v>
      </c>
      <c r="G145" s="69"/>
      <c r="H145" s="69">
        <f>27870906-16200-180000-59000</f>
        <v>27615706</v>
      </c>
      <c r="I145" s="69"/>
      <c r="J145" s="69">
        <f t="shared" si="71"/>
        <v>35861304.150000006</v>
      </c>
      <c r="K145" s="69">
        <f>27800000+1000000+5000000+5550000-5000000+150000+100000-4000000+10112784.63-4629526.59+12715677.07-18000+75000+110000-575000+163369.04+569000-199000-6600000-6700000-50000+110000+177000</f>
        <v>35861304.150000006</v>
      </c>
      <c r="L145" s="71"/>
      <c r="M145" s="69"/>
      <c r="N145" s="69"/>
      <c r="O145" s="69">
        <f>27800000+1000000+5000000+5550000-5000000+150000+100000-4000000+10112784.63-4629526.59+12715677.07-18000+75000+110000-575000+163369.04+569000-199000-6600000-6700000-50000+110000+177000</f>
        <v>35861304.150000006</v>
      </c>
      <c r="P145" s="69">
        <f t="shared" si="70"/>
        <v>228411745.72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3" customFormat="1" ht="31.5" customHeight="1" x14ac:dyDescent="0.25">
      <c r="A146" s="43" t="s">
        <v>294</v>
      </c>
      <c r="B146" s="44" t="str">
        <f>'дод 4'!A97</f>
        <v>6090</v>
      </c>
      <c r="C146" s="44" t="str">
        <f>'дод 4'!B97</f>
        <v>0640</v>
      </c>
      <c r="D146" s="24" t="str">
        <f>'дод 4'!C97</f>
        <v>Інша діяльність у сфері житлово-комунального господарства</v>
      </c>
      <c r="E146" s="69">
        <f t="shared" si="69"/>
        <v>12346212.390000001</v>
      </c>
      <c r="F146" s="69">
        <f>16709746+579084+27300000-4300-19001249-1991050-1006880.61-569000-70000-70000-100000-5170304-100000-2351000-49000-166000-110000-15000-1428134-32000-13000</f>
        <v>12341912.390000001</v>
      </c>
      <c r="G146" s="69"/>
      <c r="H146" s="69">
        <v>42400</v>
      </c>
      <c r="I146" s="69">
        <v>4300</v>
      </c>
      <c r="J146" s="69">
        <f t="shared" si="71"/>
        <v>800708.78999999911</v>
      </c>
      <c r="K146" s="69">
        <f>21793738-10545638.97-1288734.74-6359655.5-305000-2494000</f>
        <v>800708.78999999911</v>
      </c>
      <c r="L146" s="69"/>
      <c r="M146" s="69"/>
      <c r="N146" s="69"/>
      <c r="O146" s="69">
        <f>21793738-10545638.97-1288734.74-6359655.5-305000-2494000</f>
        <v>800708.78999999911</v>
      </c>
      <c r="P146" s="69">
        <f t="shared" si="70"/>
        <v>13146921.18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</row>
    <row r="147" spans="1:529" s="23" customFormat="1" ht="33" customHeight="1" x14ac:dyDescent="0.25">
      <c r="A147" s="43" t="s">
        <v>314</v>
      </c>
      <c r="B147" s="44" t="str">
        <f>'дод 4'!A104</f>
        <v>7310</v>
      </c>
      <c r="C147" s="44" t="str">
        <f>'дод 4'!B104</f>
        <v>0443</v>
      </c>
      <c r="D147" s="24" t="str">
        <f>'дод 4'!C104</f>
        <v>Будівництво об'єктів житлово-комунального господарства</v>
      </c>
      <c r="E147" s="69">
        <f t="shared" si="69"/>
        <v>0</v>
      </c>
      <c r="F147" s="69"/>
      <c r="G147" s="69"/>
      <c r="H147" s="69"/>
      <c r="I147" s="69"/>
      <c r="J147" s="69">
        <f t="shared" si="71"/>
        <v>8872297.7599999979</v>
      </c>
      <c r="K147" s="69">
        <f>12540000-60000+40000+8953612-4000000+2338215.76-3000+2000-8410000-1200000-494730+230000-1380000+300000+16200</f>
        <v>8872297.7599999979</v>
      </c>
      <c r="L147" s="69"/>
      <c r="M147" s="69"/>
      <c r="N147" s="69"/>
      <c r="O147" s="69">
        <f>12540000-60000+40000+8953612-4000000+2338215.76-3000+2000-8410000-1200000-494730+230000-1380000+300000+16200</f>
        <v>8872297.7599999979</v>
      </c>
      <c r="P147" s="69">
        <f t="shared" si="70"/>
        <v>8872297.7599999979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</row>
    <row r="148" spans="1:529" s="23" customFormat="1" ht="21.75" customHeight="1" x14ac:dyDescent="0.25">
      <c r="A148" s="43" t="s">
        <v>316</v>
      </c>
      <c r="B148" s="44" t="str">
        <f>'дод 4'!A108</f>
        <v>7330</v>
      </c>
      <c r="C148" s="44" t="str">
        <f>'дод 4'!B108</f>
        <v>0443</v>
      </c>
      <c r="D148" s="24" t="str">
        <f>'дод 4'!C108</f>
        <v>Будівництво інших об'єктів комунальної власності</v>
      </c>
      <c r="E148" s="69">
        <f t="shared" si="69"/>
        <v>0</v>
      </c>
      <c r="F148" s="69"/>
      <c r="G148" s="69"/>
      <c r="H148" s="69"/>
      <c r="I148" s="69"/>
      <c r="J148" s="69">
        <f t="shared" si="71"/>
        <v>5758998.7699999996</v>
      </c>
      <c r="K148" s="69">
        <f>15750000+4777000+3000-50000-100000-5550000-700000+550000-4000000+432854.34-1950000+4818144.43+210000+68000-8500000</f>
        <v>5758998.7699999996</v>
      </c>
      <c r="L148" s="69"/>
      <c r="M148" s="69"/>
      <c r="N148" s="69"/>
      <c r="O148" s="69">
        <f>15750000+4777000+3000-50000-100000-5550000-700000+550000-4000000+432854.34-1950000+4818144.43+210000+68000-8500000</f>
        <v>5758998.7699999996</v>
      </c>
      <c r="P148" s="69">
        <f t="shared" si="70"/>
        <v>5758998.7699999996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23" customFormat="1" ht="29.25" customHeight="1" x14ac:dyDescent="0.25">
      <c r="A149" s="43" t="s">
        <v>238</v>
      </c>
      <c r="B149" s="44">
        <f>'дод 4'!A107</f>
        <v>7325</v>
      </c>
      <c r="C149" s="44">
        <f>'дод 4'!B107</f>
        <v>443</v>
      </c>
      <c r="D149" s="24" t="str">
        <f>'дод 4'!C107</f>
        <v>Будівництво споруд, установ та закладів фізичної культури і спорту</v>
      </c>
      <c r="E149" s="69">
        <f t="shared" ref="E149" si="72">F149+I149</f>
        <v>0</v>
      </c>
      <c r="F149" s="69"/>
      <c r="G149" s="69"/>
      <c r="H149" s="69"/>
      <c r="I149" s="69"/>
      <c r="J149" s="69">
        <f t="shared" ref="J149" si="73">L149+O149</f>
        <v>3000000</v>
      </c>
      <c r="K149" s="69">
        <v>3000000</v>
      </c>
      <c r="L149" s="69"/>
      <c r="M149" s="69"/>
      <c r="N149" s="69"/>
      <c r="O149" s="69">
        <v>3000000</v>
      </c>
      <c r="P149" s="69">
        <f t="shared" ref="P149" si="74">E149+J149</f>
        <v>3000000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</row>
    <row r="150" spans="1:529" s="23" customFormat="1" ht="49.5" customHeight="1" x14ac:dyDescent="0.25">
      <c r="A150" s="43" t="s">
        <v>446</v>
      </c>
      <c r="B150" s="44">
        <f>'дод 4'!A110</f>
        <v>7361</v>
      </c>
      <c r="C150" s="44" t="str">
        <f>'дод 4'!B110</f>
        <v>0490</v>
      </c>
      <c r="D150" s="24" t="str">
        <f>'дод 4'!C110</f>
        <v>Співфінансування інвестиційних проектів, що реалізуються за рахунок коштів державного фонду регіонального розвитку</v>
      </c>
      <c r="E150" s="69">
        <f t="shared" si="69"/>
        <v>0</v>
      </c>
      <c r="F150" s="69"/>
      <c r="G150" s="69"/>
      <c r="H150" s="69"/>
      <c r="I150" s="69"/>
      <c r="J150" s="69">
        <f t="shared" si="71"/>
        <v>1386113</v>
      </c>
      <c r="K150" s="69">
        <v>1386113</v>
      </c>
      <c r="L150" s="69"/>
      <c r="M150" s="69"/>
      <c r="N150" s="69"/>
      <c r="O150" s="69">
        <v>1386113</v>
      </c>
      <c r="P150" s="69">
        <f t="shared" si="70"/>
        <v>1386113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3" customFormat="1" ht="30" x14ac:dyDescent="0.25">
      <c r="A151" s="43">
        <v>1217362</v>
      </c>
      <c r="B151" s="44">
        <f>'дод 4'!A111</f>
        <v>7362</v>
      </c>
      <c r="C151" s="44" t="str">
        <f>'дод 4'!B111</f>
        <v>0490</v>
      </c>
      <c r="D151" s="24" t="str">
        <f>'дод 4'!C111</f>
        <v>Виконання інвестиційних проектів в рамках підтримки розвитку об'єднаних територіальних громад</v>
      </c>
      <c r="E151" s="69">
        <f t="shared" si="69"/>
        <v>0</v>
      </c>
      <c r="F151" s="69"/>
      <c r="G151" s="69"/>
      <c r="H151" s="69"/>
      <c r="I151" s="69"/>
      <c r="J151" s="69">
        <f t="shared" si="71"/>
        <v>75600</v>
      </c>
      <c r="K151" s="69">
        <v>75600</v>
      </c>
      <c r="L151" s="69"/>
      <c r="M151" s="69"/>
      <c r="N151" s="69"/>
      <c r="O151" s="69">
        <v>75600</v>
      </c>
      <c r="P151" s="69">
        <f t="shared" si="70"/>
        <v>75600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23" customFormat="1" ht="45" x14ac:dyDescent="0.25">
      <c r="A152" s="43" t="s">
        <v>442</v>
      </c>
      <c r="B152" s="44">
        <v>7363</v>
      </c>
      <c r="C152" s="117" t="s">
        <v>102</v>
      </c>
      <c r="D152" s="118" t="s">
        <v>438</v>
      </c>
      <c r="E152" s="69">
        <f t="shared" si="69"/>
        <v>0</v>
      </c>
      <c r="F152" s="69"/>
      <c r="G152" s="69"/>
      <c r="H152" s="69"/>
      <c r="I152" s="69"/>
      <c r="J152" s="69">
        <f t="shared" si="71"/>
        <v>956186.69000000006</v>
      </c>
      <c r="K152" s="69">
        <f>18766.31+937420.38</f>
        <v>956186.69000000006</v>
      </c>
      <c r="L152" s="69"/>
      <c r="M152" s="69"/>
      <c r="N152" s="69"/>
      <c r="O152" s="69">
        <f>18766.31+937420.38</f>
        <v>956186.69000000006</v>
      </c>
      <c r="P152" s="69">
        <f t="shared" si="70"/>
        <v>956186.69000000006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</row>
    <row r="153" spans="1:529" s="23" customFormat="1" x14ac:dyDescent="0.25">
      <c r="A153" s="43"/>
      <c r="B153" s="44"/>
      <c r="C153" s="44"/>
      <c r="D153" s="22" t="s">
        <v>308</v>
      </c>
      <c r="E153" s="69">
        <f t="shared" si="69"/>
        <v>0</v>
      </c>
      <c r="F153" s="69"/>
      <c r="G153" s="69"/>
      <c r="H153" s="69"/>
      <c r="I153" s="69"/>
      <c r="J153" s="69">
        <f t="shared" si="71"/>
        <v>937420.38</v>
      </c>
      <c r="K153" s="69">
        <v>937420.38</v>
      </c>
      <c r="L153" s="69"/>
      <c r="M153" s="69"/>
      <c r="N153" s="69"/>
      <c r="O153" s="69">
        <v>937420.38</v>
      </c>
      <c r="P153" s="69">
        <f t="shared" si="70"/>
        <v>937420.38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</row>
    <row r="154" spans="1:529" s="134" customFormat="1" ht="47.25" customHeight="1" x14ac:dyDescent="0.25">
      <c r="A154" s="43" t="s">
        <v>452</v>
      </c>
      <c r="B154" s="44">
        <f>'дод 4'!A119</f>
        <v>7462</v>
      </c>
      <c r="C154" s="44">
        <f>'дод 4'!B119</f>
        <v>456</v>
      </c>
      <c r="D154" s="78" t="str">
        <f>'дод 4'!C119</f>
        <v>Утримання та розвиток автомобільних доріг та дорожньої інфраструктури за рахунок субвенції з державного бюджету</v>
      </c>
      <c r="E154" s="69">
        <f t="shared" ref="E154:E155" si="75">F154+I154</f>
        <v>0</v>
      </c>
      <c r="F154" s="69"/>
      <c r="G154" s="69"/>
      <c r="H154" s="69"/>
      <c r="I154" s="69"/>
      <c r="J154" s="69">
        <f t="shared" ref="J154:J155" si="76">L154+O154</f>
        <v>80000000</v>
      </c>
      <c r="K154" s="69"/>
      <c r="L154" s="69">
        <v>80000000</v>
      </c>
      <c r="M154" s="69"/>
      <c r="N154" s="69"/>
      <c r="O154" s="69"/>
      <c r="P154" s="69">
        <f t="shared" ref="P154:P155" si="77">E154+J154</f>
        <v>80000000</v>
      </c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3"/>
      <c r="GF154" s="133"/>
      <c r="GG154" s="133"/>
      <c r="GH154" s="133"/>
      <c r="GI154" s="133"/>
      <c r="GJ154" s="133"/>
      <c r="GK154" s="133"/>
      <c r="GL154" s="133"/>
      <c r="GM154" s="133"/>
      <c r="GN154" s="133"/>
      <c r="GO154" s="133"/>
      <c r="GP154" s="133"/>
      <c r="GQ154" s="133"/>
      <c r="GR154" s="133"/>
      <c r="GS154" s="133"/>
      <c r="GT154" s="133"/>
      <c r="GU154" s="133"/>
      <c r="GV154" s="133"/>
      <c r="GW154" s="133"/>
      <c r="GX154" s="133"/>
      <c r="GY154" s="133"/>
      <c r="GZ154" s="133"/>
      <c r="HA154" s="133"/>
      <c r="HB154" s="133"/>
      <c r="HC154" s="133"/>
      <c r="HD154" s="133"/>
      <c r="HE154" s="133"/>
      <c r="HF154" s="133"/>
      <c r="HG154" s="133"/>
      <c r="HH154" s="133"/>
      <c r="HI154" s="133"/>
      <c r="HJ154" s="133"/>
      <c r="HK154" s="133"/>
      <c r="HL154" s="133"/>
      <c r="HM154" s="133"/>
      <c r="HN154" s="133"/>
      <c r="HO154" s="133"/>
      <c r="HP154" s="133"/>
      <c r="HQ154" s="133"/>
      <c r="HR154" s="133"/>
      <c r="HS154" s="133"/>
      <c r="HT154" s="133"/>
      <c r="HU154" s="133"/>
      <c r="HV154" s="133"/>
      <c r="HW154" s="133"/>
      <c r="HX154" s="133"/>
      <c r="HY154" s="133"/>
      <c r="HZ154" s="133"/>
      <c r="IA154" s="133"/>
      <c r="IB154" s="133"/>
      <c r="IC154" s="133"/>
      <c r="ID154" s="133"/>
      <c r="IE154" s="133"/>
      <c r="IF154" s="133"/>
      <c r="IG154" s="133"/>
      <c r="IH154" s="133"/>
      <c r="II154" s="133"/>
      <c r="IJ154" s="133"/>
      <c r="IK154" s="133"/>
      <c r="IL154" s="133"/>
      <c r="IM154" s="133"/>
      <c r="IN154" s="133"/>
      <c r="IO154" s="133"/>
      <c r="IP154" s="133"/>
      <c r="IQ154" s="133"/>
      <c r="IR154" s="133"/>
      <c r="IS154" s="133"/>
      <c r="IT154" s="133"/>
      <c r="IU154" s="133"/>
      <c r="IV154" s="133"/>
      <c r="IW154" s="133"/>
      <c r="IX154" s="133"/>
      <c r="IY154" s="133"/>
      <c r="IZ154" s="133"/>
      <c r="JA154" s="133"/>
      <c r="JB154" s="133"/>
      <c r="JC154" s="133"/>
      <c r="JD154" s="133"/>
      <c r="JE154" s="133"/>
      <c r="JF154" s="133"/>
      <c r="JG154" s="133"/>
      <c r="JH154" s="133"/>
      <c r="JI154" s="133"/>
      <c r="JJ154" s="133"/>
      <c r="JK154" s="133"/>
      <c r="JL154" s="133"/>
      <c r="JM154" s="133"/>
      <c r="JN154" s="133"/>
      <c r="JO154" s="133"/>
      <c r="JP154" s="133"/>
      <c r="JQ154" s="133"/>
      <c r="JR154" s="133"/>
      <c r="JS154" s="133"/>
      <c r="JT154" s="133"/>
      <c r="JU154" s="133"/>
      <c r="JV154" s="133"/>
      <c r="JW154" s="133"/>
      <c r="JX154" s="133"/>
      <c r="JY154" s="133"/>
      <c r="JZ154" s="133"/>
      <c r="KA154" s="133"/>
      <c r="KB154" s="133"/>
      <c r="KC154" s="133"/>
      <c r="KD154" s="133"/>
      <c r="KE154" s="133"/>
      <c r="KF154" s="133"/>
      <c r="KG154" s="133"/>
      <c r="KH154" s="133"/>
      <c r="KI154" s="133"/>
      <c r="KJ154" s="133"/>
      <c r="KK154" s="133"/>
      <c r="KL154" s="133"/>
      <c r="KM154" s="133"/>
      <c r="KN154" s="133"/>
      <c r="KO154" s="133"/>
      <c r="KP154" s="133"/>
      <c r="KQ154" s="133"/>
      <c r="KR154" s="133"/>
      <c r="KS154" s="133"/>
      <c r="KT154" s="133"/>
      <c r="KU154" s="133"/>
      <c r="KV154" s="133"/>
      <c r="KW154" s="133"/>
      <c r="KX154" s="133"/>
      <c r="KY154" s="133"/>
      <c r="KZ154" s="133"/>
      <c r="LA154" s="133"/>
      <c r="LB154" s="133"/>
      <c r="LC154" s="133"/>
      <c r="LD154" s="133"/>
      <c r="LE154" s="133"/>
      <c r="LF154" s="133"/>
      <c r="LG154" s="133"/>
      <c r="LH154" s="133"/>
      <c r="LI154" s="133"/>
      <c r="LJ154" s="133"/>
      <c r="LK154" s="133"/>
      <c r="LL154" s="133"/>
      <c r="LM154" s="133"/>
      <c r="LN154" s="133"/>
      <c r="LO154" s="133"/>
      <c r="LP154" s="133"/>
      <c r="LQ154" s="133"/>
      <c r="LR154" s="133"/>
      <c r="LS154" s="133"/>
      <c r="LT154" s="133"/>
      <c r="LU154" s="133"/>
      <c r="LV154" s="133"/>
      <c r="LW154" s="133"/>
      <c r="LX154" s="133"/>
      <c r="LY154" s="133"/>
      <c r="LZ154" s="133"/>
      <c r="MA154" s="133"/>
      <c r="MB154" s="133"/>
      <c r="MC154" s="133"/>
      <c r="MD154" s="133"/>
      <c r="ME154" s="133"/>
      <c r="MF154" s="133"/>
      <c r="MG154" s="133"/>
      <c r="MH154" s="133"/>
      <c r="MI154" s="133"/>
      <c r="MJ154" s="133"/>
      <c r="MK154" s="133"/>
      <c r="ML154" s="133"/>
      <c r="MM154" s="133"/>
      <c r="MN154" s="133"/>
      <c r="MO154" s="133"/>
      <c r="MP154" s="133"/>
      <c r="MQ154" s="133"/>
      <c r="MR154" s="133"/>
      <c r="MS154" s="133"/>
      <c r="MT154" s="133"/>
      <c r="MU154" s="133"/>
      <c r="MV154" s="133"/>
      <c r="MW154" s="133"/>
      <c r="MX154" s="133"/>
      <c r="MY154" s="133"/>
      <c r="MZ154" s="133"/>
      <c r="NA154" s="133"/>
      <c r="NB154" s="133"/>
      <c r="NC154" s="133"/>
      <c r="ND154" s="133"/>
      <c r="NE154" s="133"/>
      <c r="NF154" s="133"/>
      <c r="NG154" s="133"/>
      <c r="NH154" s="133"/>
      <c r="NI154" s="133"/>
      <c r="NJ154" s="133"/>
      <c r="NK154" s="133"/>
      <c r="NL154" s="133"/>
      <c r="NM154" s="133"/>
      <c r="NN154" s="133"/>
      <c r="NO154" s="133"/>
      <c r="NP154" s="133"/>
      <c r="NQ154" s="133"/>
      <c r="NR154" s="133"/>
      <c r="NS154" s="133"/>
      <c r="NT154" s="133"/>
      <c r="NU154" s="133"/>
      <c r="NV154" s="133"/>
      <c r="NW154" s="133"/>
      <c r="NX154" s="133"/>
      <c r="NY154" s="133"/>
      <c r="NZ154" s="133"/>
      <c r="OA154" s="133"/>
      <c r="OB154" s="133"/>
      <c r="OC154" s="133"/>
      <c r="OD154" s="133"/>
      <c r="OE154" s="133"/>
      <c r="OF154" s="133"/>
      <c r="OG154" s="133"/>
      <c r="OH154" s="133"/>
      <c r="OI154" s="133"/>
      <c r="OJ154" s="133"/>
      <c r="OK154" s="133"/>
      <c r="OL154" s="133"/>
      <c r="OM154" s="133"/>
      <c r="ON154" s="133"/>
      <c r="OO154" s="133"/>
      <c r="OP154" s="133"/>
      <c r="OQ154" s="133"/>
      <c r="OR154" s="133"/>
      <c r="OS154" s="133"/>
      <c r="OT154" s="133"/>
      <c r="OU154" s="133"/>
      <c r="OV154" s="133"/>
      <c r="OW154" s="133"/>
      <c r="OX154" s="133"/>
      <c r="OY154" s="133"/>
      <c r="OZ154" s="133"/>
      <c r="PA154" s="133"/>
      <c r="PB154" s="133"/>
      <c r="PC154" s="133"/>
      <c r="PD154" s="133"/>
      <c r="PE154" s="133"/>
      <c r="PF154" s="133"/>
      <c r="PG154" s="133"/>
      <c r="PH154" s="133"/>
      <c r="PI154" s="133"/>
      <c r="PJ154" s="133"/>
      <c r="PK154" s="133"/>
      <c r="PL154" s="133"/>
      <c r="PM154" s="133"/>
      <c r="PN154" s="133"/>
      <c r="PO154" s="133"/>
      <c r="PP154" s="133"/>
      <c r="PQ154" s="133"/>
      <c r="PR154" s="133"/>
      <c r="PS154" s="133"/>
      <c r="PT154" s="133"/>
      <c r="PU154" s="133"/>
      <c r="PV154" s="133"/>
      <c r="PW154" s="133"/>
      <c r="PX154" s="133"/>
      <c r="PY154" s="133"/>
      <c r="PZ154" s="133"/>
      <c r="QA154" s="133"/>
      <c r="QB154" s="133"/>
      <c r="QC154" s="133"/>
      <c r="QD154" s="133"/>
      <c r="QE154" s="133"/>
      <c r="QF154" s="133"/>
      <c r="QG154" s="133"/>
      <c r="QH154" s="133"/>
      <c r="QI154" s="133"/>
      <c r="QJ154" s="133"/>
      <c r="QK154" s="133"/>
      <c r="QL154" s="133"/>
      <c r="QM154" s="133"/>
      <c r="QN154" s="133"/>
      <c r="QO154" s="133"/>
      <c r="QP154" s="133"/>
      <c r="QQ154" s="133"/>
      <c r="QR154" s="133"/>
      <c r="QS154" s="133"/>
      <c r="QT154" s="133"/>
      <c r="QU154" s="133"/>
      <c r="QV154" s="133"/>
      <c r="QW154" s="133"/>
      <c r="QX154" s="133"/>
      <c r="QY154" s="133"/>
      <c r="QZ154" s="133"/>
      <c r="RA154" s="133"/>
      <c r="RB154" s="133"/>
      <c r="RC154" s="133"/>
      <c r="RD154" s="133"/>
      <c r="RE154" s="133"/>
      <c r="RF154" s="133"/>
      <c r="RG154" s="133"/>
      <c r="RH154" s="133"/>
      <c r="RI154" s="133"/>
      <c r="RJ154" s="133"/>
      <c r="RK154" s="133"/>
      <c r="RL154" s="133"/>
      <c r="RM154" s="133"/>
      <c r="RN154" s="133"/>
      <c r="RO154" s="133"/>
      <c r="RP154" s="133"/>
      <c r="RQ154" s="133"/>
      <c r="RR154" s="133"/>
      <c r="RS154" s="133"/>
      <c r="RT154" s="133"/>
      <c r="RU154" s="133"/>
      <c r="RV154" s="133"/>
      <c r="RW154" s="133"/>
      <c r="RX154" s="133"/>
      <c r="RY154" s="133"/>
      <c r="RZ154" s="133"/>
      <c r="SA154" s="133"/>
      <c r="SB154" s="133"/>
      <c r="SC154" s="133"/>
      <c r="SD154" s="133"/>
      <c r="SE154" s="133"/>
      <c r="SF154" s="133"/>
      <c r="SG154" s="133"/>
      <c r="SH154" s="133"/>
      <c r="SI154" s="133"/>
      <c r="SJ154" s="133"/>
      <c r="SK154" s="133"/>
      <c r="SL154" s="133"/>
      <c r="SM154" s="133"/>
      <c r="SN154" s="133"/>
      <c r="SO154" s="133"/>
      <c r="SP154" s="133"/>
      <c r="SQ154" s="133"/>
      <c r="SR154" s="133"/>
      <c r="SS154" s="133"/>
      <c r="ST154" s="133"/>
      <c r="SU154" s="133"/>
      <c r="SV154" s="133"/>
      <c r="SW154" s="133"/>
      <c r="SX154" s="133"/>
      <c r="SY154" s="133"/>
      <c r="SZ154" s="133"/>
      <c r="TA154" s="133"/>
      <c r="TB154" s="133"/>
      <c r="TC154" s="133"/>
      <c r="TD154" s="133"/>
      <c r="TE154" s="133"/>
      <c r="TF154" s="133"/>
      <c r="TG154" s="133"/>
      <c r="TH154" s="133"/>
      <c r="TI154" s="133"/>
    </row>
    <row r="155" spans="1:529" s="134" customFormat="1" x14ac:dyDescent="0.25">
      <c r="A155" s="43"/>
      <c r="B155" s="44"/>
      <c r="C155" s="44"/>
      <c r="D155" s="22" t="s">
        <v>308</v>
      </c>
      <c r="E155" s="69">
        <f t="shared" si="75"/>
        <v>0</v>
      </c>
      <c r="F155" s="69"/>
      <c r="G155" s="69"/>
      <c r="H155" s="69"/>
      <c r="I155" s="69"/>
      <c r="J155" s="69">
        <f t="shared" si="76"/>
        <v>80000000</v>
      </c>
      <c r="K155" s="69"/>
      <c r="L155" s="69">
        <v>80000000</v>
      </c>
      <c r="M155" s="69"/>
      <c r="N155" s="69"/>
      <c r="O155" s="69"/>
      <c r="P155" s="69">
        <f t="shared" si="77"/>
        <v>80000000</v>
      </c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  <c r="DJ155" s="133"/>
      <c r="DK155" s="133"/>
      <c r="DL155" s="133"/>
      <c r="DM155" s="133"/>
      <c r="DN155" s="133"/>
      <c r="DO155" s="133"/>
      <c r="DP155" s="133"/>
      <c r="DQ155" s="133"/>
      <c r="DR155" s="133"/>
      <c r="DS155" s="133"/>
      <c r="DT155" s="133"/>
      <c r="DU155" s="133"/>
      <c r="DV155" s="133"/>
      <c r="DW155" s="133"/>
      <c r="DX155" s="133"/>
      <c r="DY155" s="133"/>
      <c r="DZ155" s="133"/>
      <c r="EA155" s="133"/>
      <c r="EB155" s="133"/>
      <c r="EC155" s="133"/>
      <c r="ED155" s="133"/>
      <c r="EE155" s="133"/>
      <c r="EF155" s="133"/>
      <c r="EG155" s="133"/>
      <c r="EH155" s="133"/>
      <c r="EI155" s="133"/>
      <c r="EJ155" s="133"/>
      <c r="EK155" s="133"/>
      <c r="EL155" s="133"/>
      <c r="EM155" s="133"/>
      <c r="EN155" s="133"/>
      <c r="EO155" s="133"/>
      <c r="EP155" s="133"/>
      <c r="EQ155" s="133"/>
      <c r="ER155" s="133"/>
      <c r="ES155" s="133"/>
      <c r="ET155" s="133"/>
      <c r="EU155" s="133"/>
      <c r="EV155" s="133"/>
      <c r="EW155" s="133"/>
      <c r="EX155" s="133"/>
      <c r="EY155" s="133"/>
      <c r="EZ155" s="133"/>
      <c r="FA155" s="133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GW155" s="133"/>
      <c r="GX155" s="133"/>
      <c r="GY155" s="133"/>
      <c r="GZ155" s="133"/>
      <c r="HA155" s="133"/>
      <c r="HB155" s="133"/>
      <c r="HC155" s="133"/>
      <c r="HD155" s="133"/>
      <c r="HE155" s="133"/>
      <c r="HF155" s="133"/>
      <c r="HG155" s="133"/>
      <c r="HH155" s="133"/>
      <c r="HI155" s="133"/>
      <c r="HJ155" s="133"/>
      <c r="HK155" s="133"/>
      <c r="HL155" s="133"/>
      <c r="HM155" s="133"/>
      <c r="HN155" s="133"/>
      <c r="HO155" s="133"/>
      <c r="HP155" s="133"/>
      <c r="HQ155" s="133"/>
      <c r="HR155" s="133"/>
      <c r="HS155" s="133"/>
      <c r="HT155" s="133"/>
      <c r="HU155" s="133"/>
      <c r="HV155" s="133"/>
      <c r="HW155" s="133"/>
      <c r="HX155" s="133"/>
      <c r="HY155" s="133"/>
      <c r="HZ155" s="133"/>
      <c r="IA155" s="133"/>
      <c r="IB155" s="133"/>
      <c r="IC155" s="133"/>
      <c r="ID155" s="133"/>
      <c r="IE155" s="133"/>
      <c r="IF155" s="133"/>
      <c r="IG155" s="133"/>
      <c r="IH155" s="133"/>
      <c r="II155" s="133"/>
      <c r="IJ155" s="133"/>
      <c r="IK155" s="133"/>
      <c r="IL155" s="133"/>
      <c r="IM155" s="133"/>
      <c r="IN155" s="133"/>
      <c r="IO155" s="133"/>
      <c r="IP155" s="133"/>
      <c r="IQ155" s="133"/>
      <c r="IR155" s="133"/>
      <c r="IS155" s="133"/>
      <c r="IT155" s="133"/>
      <c r="IU155" s="133"/>
      <c r="IV155" s="133"/>
      <c r="IW155" s="133"/>
      <c r="IX155" s="133"/>
      <c r="IY155" s="133"/>
      <c r="IZ155" s="133"/>
      <c r="JA155" s="133"/>
      <c r="JB155" s="133"/>
      <c r="JC155" s="133"/>
      <c r="JD155" s="133"/>
      <c r="JE155" s="133"/>
      <c r="JF155" s="133"/>
      <c r="JG155" s="133"/>
      <c r="JH155" s="133"/>
      <c r="JI155" s="133"/>
      <c r="JJ155" s="133"/>
      <c r="JK155" s="133"/>
      <c r="JL155" s="133"/>
      <c r="JM155" s="133"/>
      <c r="JN155" s="133"/>
      <c r="JO155" s="133"/>
      <c r="JP155" s="133"/>
      <c r="JQ155" s="133"/>
      <c r="JR155" s="133"/>
      <c r="JS155" s="133"/>
      <c r="JT155" s="133"/>
      <c r="JU155" s="133"/>
      <c r="JV155" s="133"/>
      <c r="JW155" s="133"/>
      <c r="JX155" s="133"/>
      <c r="JY155" s="133"/>
      <c r="JZ155" s="133"/>
      <c r="KA155" s="133"/>
      <c r="KB155" s="133"/>
      <c r="KC155" s="133"/>
      <c r="KD155" s="133"/>
      <c r="KE155" s="133"/>
      <c r="KF155" s="133"/>
      <c r="KG155" s="133"/>
      <c r="KH155" s="133"/>
      <c r="KI155" s="133"/>
      <c r="KJ155" s="133"/>
      <c r="KK155" s="133"/>
      <c r="KL155" s="133"/>
      <c r="KM155" s="133"/>
      <c r="KN155" s="133"/>
      <c r="KO155" s="133"/>
      <c r="KP155" s="133"/>
      <c r="KQ155" s="133"/>
      <c r="KR155" s="133"/>
      <c r="KS155" s="133"/>
      <c r="KT155" s="133"/>
      <c r="KU155" s="133"/>
      <c r="KV155" s="133"/>
      <c r="KW155" s="133"/>
      <c r="KX155" s="133"/>
      <c r="KY155" s="133"/>
      <c r="KZ155" s="133"/>
      <c r="LA155" s="133"/>
      <c r="LB155" s="133"/>
      <c r="LC155" s="133"/>
      <c r="LD155" s="133"/>
      <c r="LE155" s="133"/>
      <c r="LF155" s="133"/>
      <c r="LG155" s="133"/>
      <c r="LH155" s="133"/>
      <c r="LI155" s="133"/>
      <c r="LJ155" s="133"/>
      <c r="LK155" s="133"/>
      <c r="LL155" s="133"/>
      <c r="LM155" s="133"/>
      <c r="LN155" s="133"/>
      <c r="LO155" s="133"/>
      <c r="LP155" s="133"/>
      <c r="LQ155" s="133"/>
      <c r="LR155" s="133"/>
      <c r="LS155" s="133"/>
      <c r="LT155" s="133"/>
      <c r="LU155" s="133"/>
      <c r="LV155" s="133"/>
      <c r="LW155" s="133"/>
      <c r="LX155" s="133"/>
      <c r="LY155" s="133"/>
      <c r="LZ155" s="133"/>
      <c r="MA155" s="133"/>
      <c r="MB155" s="133"/>
      <c r="MC155" s="133"/>
      <c r="MD155" s="133"/>
      <c r="ME155" s="133"/>
      <c r="MF155" s="133"/>
      <c r="MG155" s="133"/>
      <c r="MH155" s="133"/>
      <c r="MI155" s="133"/>
      <c r="MJ155" s="133"/>
      <c r="MK155" s="133"/>
      <c r="ML155" s="133"/>
      <c r="MM155" s="133"/>
      <c r="MN155" s="133"/>
      <c r="MO155" s="133"/>
      <c r="MP155" s="133"/>
      <c r="MQ155" s="133"/>
      <c r="MR155" s="133"/>
      <c r="MS155" s="133"/>
      <c r="MT155" s="133"/>
      <c r="MU155" s="133"/>
      <c r="MV155" s="133"/>
      <c r="MW155" s="133"/>
      <c r="MX155" s="133"/>
      <c r="MY155" s="133"/>
      <c r="MZ155" s="133"/>
      <c r="NA155" s="133"/>
      <c r="NB155" s="133"/>
      <c r="NC155" s="133"/>
      <c r="ND155" s="133"/>
      <c r="NE155" s="133"/>
      <c r="NF155" s="133"/>
      <c r="NG155" s="133"/>
      <c r="NH155" s="133"/>
      <c r="NI155" s="133"/>
      <c r="NJ155" s="133"/>
      <c r="NK155" s="133"/>
      <c r="NL155" s="133"/>
      <c r="NM155" s="133"/>
      <c r="NN155" s="133"/>
      <c r="NO155" s="133"/>
      <c r="NP155" s="133"/>
      <c r="NQ155" s="133"/>
      <c r="NR155" s="133"/>
      <c r="NS155" s="133"/>
      <c r="NT155" s="133"/>
      <c r="NU155" s="133"/>
      <c r="NV155" s="133"/>
      <c r="NW155" s="133"/>
      <c r="NX155" s="133"/>
      <c r="NY155" s="133"/>
      <c r="NZ155" s="133"/>
      <c r="OA155" s="133"/>
      <c r="OB155" s="133"/>
      <c r="OC155" s="133"/>
      <c r="OD155" s="133"/>
      <c r="OE155" s="133"/>
      <c r="OF155" s="133"/>
      <c r="OG155" s="133"/>
      <c r="OH155" s="133"/>
      <c r="OI155" s="133"/>
      <c r="OJ155" s="133"/>
      <c r="OK155" s="133"/>
      <c r="OL155" s="133"/>
      <c r="OM155" s="133"/>
      <c r="ON155" s="133"/>
      <c r="OO155" s="133"/>
      <c r="OP155" s="133"/>
      <c r="OQ155" s="133"/>
      <c r="OR155" s="133"/>
      <c r="OS155" s="133"/>
      <c r="OT155" s="133"/>
      <c r="OU155" s="133"/>
      <c r="OV155" s="133"/>
      <c r="OW155" s="133"/>
      <c r="OX155" s="133"/>
      <c r="OY155" s="133"/>
      <c r="OZ155" s="133"/>
      <c r="PA155" s="133"/>
      <c r="PB155" s="133"/>
      <c r="PC155" s="133"/>
      <c r="PD155" s="133"/>
      <c r="PE155" s="133"/>
      <c r="PF155" s="133"/>
      <c r="PG155" s="133"/>
      <c r="PH155" s="133"/>
      <c r="PI155" s="133"/>
      <c r="PJ155" s="133"/>
      <c r="PK155" s="133"/>
      <c r="PL155" s="133"/>
      <c r="PM155" s="133"/>
      <c r="PN155" s="133"/>
      <c r="PO155" s="133"/>
      <c r="PP155" s="133"/>
      <c r="PQ155" s="133"/>
      <c r="PR155" s="133"/>
      <c r="PS155" s="133"/>
      <c r="PT155" s="133"/>
      <c r="PU155" s="133"/>
      <c r="PV155" s="133"/>
      <c r="PW155" s="133"/>
      <c r="PX155" s="133"/>
      <c r="PY155" s="133"/>
      <c r="PZ155" s="133"/>
      <c r="QA155" s="133"/>
      <c r="QB155" s="133"/>
      <c r="QC155" s="133"/>
      <c r="QD155" s="133"/>
      <c r="QE155" s="133"/>
      <c r="QF155" s="133"/>
      <c r="QG155" s="133"/>
      <c r="QH155" s="133"/>
      <c r="QI155" s="133"/>
      <c r="QJ155" s="133"/>
      <c r="QK155" s="133"/>
      <c r="QL155" s="133"/>
      <c r="QM155" s="133"/>
      <c r="QN155" s="133"/>
      <c r="QO155" s="133"/>
      <c r="QP155" s="133"/>
      <c r="QQ155" s="133"/>
      <c r="QR155" s="133"/>
      <c r="QS155" s="133"/>
      <c r="QT155" s="133"/>
      <c r="QU155" s="133"/>
      <c r="QV155" s="133"/>
      <c r="QW155" s="133"/>
      <c r="QX155" s="133"/>
      <c r="QY155" s="133"/>
      <c r="QZ155" s="133"/>
      <c r="RA155" s="133"/>
      <c r="RB155" s="133"/>
      <c r="RC155" s="133"/>
      <c r="RD155" s="133"/>
      <c r="RE155" s="133"/>
      <c r="RF155" s="133"/>
      <c r="RG155" s="133"/>
      <c r="RH155" s="133"/>
      <c r="RI155" s="133"/>
      <c r="RJ155" s="133"/>
      <c r="RK155" s="133"/>
      <c r="RL155" s="133"/>
      <c r="RM155" s="133"/>
      <c r="RN155" s="133"/>
      <c r="RO155" s="133"/>
      <c r="RP155" s="133"/>
      <c r="RQ155" s="133"/>
      <c r="RR155" s="133"/>
      <c r="RS155" s="133"/>
      <c r="RT155" s="133"/>
      <c r="RU155" s="133"/>
      <c r="RV155" s="133"/>
      <c r="RW155" s="133"/>
      <c r="RX155" s="133"/>
      <c r="RY155" s="133"/>
      <c r="RZ155" s="133"/>
      <c r="SA155" s="133"/>
      <c r="SB155" s="133"/>
      <c r="SC155" s="133"/>
      <c r="SD155" s="133"/>
      <c r="SE155" s="133"/>
      <c r="SF155" s="133"/>
      <c r="SG155" s="133"/>
      <c r="SH155" s="133"/>
      <c r="SI155" s="133"/>
      <c r="SJ155" s="133"/>
      <c r="SK155" s="133"/>
      <c r="SL155" s="133"/>
      <c r="SM155" s="133"/>
      <c r="SN155" s="133"/>
      <c r="SO155" s="133"/>
      <c r="SP155" s="133"/>
      <c r="SQ155" s="133"/>
      <c r="SR155" s="133"/>
      <c r="SS155" s="133"/>
      <c r="ST155" s="133"/>
      <c r="SU155" s="133"/>
      <c r="SV155" s="133"/>
      <c r="SW155" s="133"/>
      <c r="SX155" s="133"/>
      <c r="SY155" s="133"/>
      <c r="SZ155" s="133"/>
      <c r="TA155" s="133"/>
      <c r="TB155" s="133"/>
      <c r="TC155" s="133"/>
      <c r="TD155" s="133"/>
      <c r="TE155" s="133"/>
      <c r="TF155" s="133"/>
      <c r="TG155" s="133"/>
      <c r="TH155" s="133"/>
      <c r="TI155" s="133"/>
    </row>
    <row r="156" spans="1:529" s="23" customFormat="1" ht="20.25" customHeight="1" x14ac:dyDescent="0.25">
      <c r="A156" s="43" t="s">
        <v>239</v>
      </c>
      <c r="B156" s="44" t="str">
        <f>'дод 4'!A125</f>
        <v>7640</v>
      </c>
      <c r="C156" s="44" t="str">
        <f>'дод 4'!B125</f>
        <v>0470</v>
      </c>
      <c r="D156" s="24" t="str">
        <f>'дод 4'!C125</f>
        <v>Заходи з енергозбереження</v>
      </c>
      <c r="E156" s="69">
        <f t="shared" si="69"/>
        <v>1500000</v>
      </c>
      <c r="F156" s="69">
        <f>750000-250000</f>
        <v>500000</v>
      </c>
      <c r="G156" s="69"/>
      <c r="H156" s="69"/>
      <c r="I156" s="69">
        <f>750000+250000</f>
        <v>1000000</v>
      </c>
      <c r="J156" s="69">
        <f t="shared" si="71"/>
        <v>0</v>
      </c>
      <c r="K156" s="69"/>
      <c r="L156" s="69"/>
      <c r="M156" s="69"/>
      <c r="N156" s="69"/>
      <c r="O156" s="69"/>
      <c r="P156" s="69">
        <f t="shared" si="70"/>
        <v>1500000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23" customFormat="1" ht="23.25" customHeight="1" x14ac:dyDescent="0.25">
      <c r="A157" s="43" t="s">
        <v>388</v>
      </c>
      <c r="B157" s="44" t="str">
        <f>'дод 4'!A128</f>
        <v>7670</v>
      </c>
      <c r="C157" s="44" t="str">
        <f>'дод 4'!B128</f>
        <v>0490</v>
      </c>
      <c r="D157" s="24" t="str">
        <f>'дод 4'!C128</f>
        <v>Внески до статутного капіталу суб’єктів господарювання</v>
      </c>
      <c r="E157" s="69">
        <f t="shared" si="69"/>
        <v>0</v>
      </c>
      <c r="F157" s="69"/>
      <c r="G157" s="69"/>
      <c r="H157" s="69"/>
      <c r="I157" s="69"/>
      <c r="J157" s="69">
        <f t="shared" si="71"/>
        <v>17042330</v>
      </c>
      <c r="K157" s="69">
        <f>7042330+10000000</f>
        <v>17042330</v>
      </c>
      <c r="L157" s="69"/>
      <c r="M157" s="69"/>
      <c r="N157" s="69"/>
      <c r="O157" s="69">
        <f>7042330+10000000</f>
        <v>17042330</v>
      </c>
      <c r="P157" s="69">
        <f t="shared" si="70"/>
        <v>17042330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3" customFormat="1" ht="102" customHeight="1" x14ac:dyDescent="0.25">
      <c r="A158" s="52" t="s">
        <v>350</v>
      </c>
      <c r="B158" s="45">
        <v>7691</v>
      </c>
      <c r="C158" s="45" t="s">
        <v>102</v>
      </c>
      <c r="D158" s="22" t="str">
        <f>'дод 4'!C130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8" s="69">
        <f t="shared" si="69"/>
        <v>0</v>
      </c>
      <c r="F158" s="69"/>
      <c r="G158" s="69"/>
      <c r="H158" s="69"/>
      <c r="I158" s="69"/>
      <c r="J158" s="69">
        <f t="shared" si="71"/>
        <v>290090.27</v>
      </c>
      <c r="K158" s="69"/>
      <c r="L158" s="69">
        <f>41000+115890.27</f>
        <v>156890.27000000002</v>
      </c>
      <c r="M158" s="69"/>
      <c r="N158" s="69"/>
      <c r="O158" s="69">
        <v>133200</v>
      </c>
      <c r="P158" s="69">
        <f t="shared" si="70"/>
        <v>290090.27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3" customFormat="1" ht="42" customHeight="1" x14ac:dyDescent="0.25">
      <c r="A159" s="52" t="s">
        <v>469</v>
      </c>
      <c r="B159" s="45" t="str">
        <f>'дод 4'!A136</f>
        <v>8110</v>
      </c>
      <c r="C159" s="45" t="str">
        <f>'дод 4'!B136</f>
        <v>0320</v>
      </c>
      <c r="D159" s="150" t="str">
        <f>'дод 4'!C136</f>
        <v>Заходи із запобігання та ліквідації надзвичайних ситуацій та наслідків стихійного лиха</v>
      </c>
      <c r="E159" s="69">
        <f t="shared" ref="E159" si="78">F159+I159</f>
        <v>2088318</v>
      </c>
      <c r="F159" s="69">
        <f>1610000+1443000-64682-900000</f>
        <v>2088318</v>
      </c>
      <c r="G159" s="69"/>
      <c r="H159" s="69">
        <v>48000</v>
      </c>
      <c r="I159" s="69"/>
      <c r="J159" s="69">
        <f t="shared" ref="J159" si="79">L159+O159</f>
        <v>0</v>
      </c>
      <c r="K159" s="69"/>
      <c r="L159" s="69"/>
      <c r="M159" s="69"/>
      <c r="N159" s="69"/>
      <c r="O159" s="69"/>
      <c r="P159" s="69">
        <f t="shared" ref="P159" si="80">E159+J159</f>
        <v>2088318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23" customFormat="1" ht="33.75" hidden="1" customHeight="1" x14ac:dyDescent="0.25">
      <c r="A160" s="52" t="s">
        <v>467</v>
      </c>
      <c r="B160" s="45" t="str">
        <f>'дод 4'!A139</f>
        <v>8230</v>
      </c>
      <c r="C160" s="45" t="str">
        <f>'дод 4'!B139</f>
        <v>0380</v>
      </c>
      <c r="D160" s="150" t="str">
        <f>'дод 4'!C139</f>
        <v>Інші заходи громадського порядку та безпеки</v>
      </c>
      <c r="E160" s="69">
        <f t="shared" ref="E160" si="81">F160+I160</f>
        <v>0</v>
      </c>
      <c r="F160" s="69">
        <f>110000-110000</f>
        <v>0</v>
      </c>
      <c r="G160" s="69"/>
      <c r="H160" s="69"/>
      <c r="I160" s="69"/>
      <c r="J160" s="69">
        <f t="shared" ref="J160" si="82">L160+O160</f>
        <v>0</v>
      </c>
      <c r="K160" s="69"/>
      <c r="L160" s="69"/>
      <c r="M160" s="69"/>
      <c r="N160" s="69"/>
      <c r="O160" s="69"/>
      <c r="P160" s="69">
        <f t="shared" ref="P160" si="83">E160+J160</f>
        <v>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23" customFormat="1" ht="24.75" customHeight="1" x14ac:dyDescent="0.25">
      <c r="A161" s="43" t="s">
        <v>240</v>
      </c>
      <c r="B161" s="44" t="str">
        <f>'дод 4'!A142</f>
        <v>8340</v>
      </c>
      <c r="C161" s="44" t="str">
        <f>'дод 4'!B142</f>
        <v>0540</v>
      </c>
      <c r="D161" s="24" t="str">
        <f>'дод 4'!C142</f>
        <v>Природоохоронні заходи за рахунок цільових фондів</v>
      </c>
      <c r="E161" s="69">
        <f t="shared" si="69"/>
        <v>0</v>
      </c>
      <c r="F161" s="69"/>
      <c r="G161" s="69"/>
      <c r="H161" s="69"/>
      <c r="I161" s="69"/>
      <c r="J161" s="69">
        <f t="shared" si="71"/>
        <v>5599043.4500000002</v>
      </c>
      <c r="K161" s="69"/>
      <c r="L161" s="69">
        <v>1870000</v>
      </c>
      <c r="M161" s="69"/>
      <c r="N161" s="69">
        <v>540000</v>
      </c>
      <c r="O161" s="69">
        <f>1946500+1782543.45</f>
        <v>3729043.45</v>
      </c>
      <c r="P161" s="69">
        <f t="shared" si="70"/>
        <v>5599043.4500000002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</row>
    <row r="162" spans="1:529" s="23" customFormat="1" ht="23.25" customHeight="1" x14ac:dyDescent="0.25">
      <c r="A162" s="43" t="s">
        <v>241</v>
      </c>
      <c r="B162" s="44" t="str">
        <f>'дод 4'!A151</f>
        <v>9770</v>
      </c>
      <c r="C162" s="44" t="str">
        <f>'дод 4'!B151</f>
        <v>0180</v>
      </c>
      <c r="D162" s="24" t="str">
        <f>'дод 4'!C151</f>
        <v>Інші субвенції з місцевого бюджету</v>
      </c>
      <c r="E162" s="69">
        <f t="shared" si="69"/>
        <v>368000</v>
      </c>
      <c r="F162" s="69">
        <v>368000</v>
      </c>
      <c r="G162" s="69"/>
      <c r="H162" s="69"/>
      <c r="I162" s="69"/>
      <c r="J162" s="69">
        <f t="shared" si="71"/>
        <v>7632000</v>
      </c>
      <c r="K162" s="69">
        <f>8000000-368000</f>
        <v>7632000</v>
      </c>
      <c r="L162" s="69"/>
      <c r="M162" s="69"/>
      <c r="N162" s="69"/>
      <c r="O162" s="69">
        <f>8000000-368000</f>
        <v>7632000</v>
      </c>
      <c r="P162" s="69">
        <f t="shared" si="70"/>
        <v>8000000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</row>
    <row r="163" spans="1:529" s="31" customFormat="1" ht="33.75" customHeight="1" x14ac:dyDescent="0.2">
      <c r="A163" s="76" t="s">
        <v>37</v>
      </c>
      <c r="B163" s="74"/>
      <c r="C163" s="74"/>
      <c r="D163" s="30" t="s">
        <v>47</v>
      </c>
      <c r="E163" s="66">
        <f>E164</f>
        <v>6146000</v>
      </c>
      <c r="F163" s="66">
        <f t="shared" ref="F163:J164" si="84">F164</f>
        <v>6146000</v>
      </c>
      <c r="G163" s="66">
        <f t="shared" si="84"/>
        <v>4779400</v>
      </c>
      <c r="H163" s="66">
        <f t="shared" si="84"/>
        <v>98300</v>
      </c>
      <c r="I163" s="66">
        <f t="shared" si="84"/>
        <v>0</v>
      </c>
      <c r="J163" s="66">
        <f t="shared" si="84"/>
        <v>160000</v>
      </c>
      <c r="K163" s="66">
        <f t="shared" ref="K163:K164" si="85">K164</f>
        <v>160000</v>
      </c>
      <c r="L163" s="66">
        <f t="shared" ref="L163:L164" si="86">L164</f>
        <v>0</v>
      </c>
      <c r="M163" s="66">
        <f t="shared" ref="M163:M164" si="87">M164</f>
        <v>0</v>
      </c>
      <c r="N163" s="66">
        <f t="shared" ref="N163:N164" si="88">N164</f>
        <v>0</v>
      </c>
      <c r="O163" s="66">
        <f t="shared" ref="O163:P164" si="89">O164</f>
        <v>160000</v>
      </c>
      <c r="P163" s="66">
        <f t="shared" si="89"/>
        <v>6306000</v>
      </c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  <c r="IW163" s="38"/>
      <c r="IX163" s="38"/>
      <c r="IY163" s="38"/>
      <c r="IZ163" s="38"/>
      <c r="JA163" s="38"/>
      <c r="JB163" s="38"/>
      <c r="JC163" s="38"/>
      <c r="JD163" s="38"/>
      <c r="JE163" s="38"/>
      <c r="JF163" s="38"/>
      <c r="JG163" s="38"/>
      <c r="JH163" s="38"/>
      <c r="JI163" s="38"/>
      <c r="JJ163" s="38"/>
      <c r="JK163" s="38"/>
      <c r="JL163" s="38"/>
      <c r="JM163" s="38"/>
      <c r="JN163" s="38"/>
      <c r="JO163" s="38"/>
      <c r="JP163" s="38"/>
      <c r="JQ163" s="38"/>
      <c r="JR163" s="38"/>
      <c r="JS163" s="38"/>
      <c r="JT163" s="38"/>
      <c r="JU163" s="38"/>
      <c r="JV163" s="38"/>
      <c r="JW163" s="38"/>
      <c r="JX163" s="38"/>
      <c r="JY163" s="38"/>
      <c r="JZ163" s="38"/>
      <c r="KA163" s="38"/>
      <c r="KB163" s="38"/>
      <c r="KC163" s="38"/>
      <c r="KD163" s="38"/>
      <c r="KE163" s="38"/>
      <c r="KF163" s="38"/>
      <c r="KG163" s="38"/>
      <c r="KH163" s="38"/>
      <c r="KI163" s="38"/>
      <c r="KJ163" s="38"/>
      <c r="KK163" s="38"/>
      <c r="KL163" s="38"/>
      <c r="KM163" s="38"/>
      <c r="KN163" s="38"/>
      <c r="KO163" s="38"/>
      <c r="KP163" s="38"/>
      <c r="KQ163" s="38"/>
      <c r="KR163" s="38"/>
      <c r="KS163" s="38"/>
      <c r="KT163" s="38"/>
      <c r="KU163" s="38"/>
      <c r="KV163" s="38"/>
      <c r="KW163" s="38"/>
      <c r="KX163" s="38"/>
      <c r="KY163" s="38"/>
      <c r="KZ163" s="38"/>
      <c r="LA163" s="38"/>
      <c r="LB163" s="38"/>
      <c r="LC163" s="38"/>
      <c r="LD163" s="38"/>
      <c r="LE163" s="38"/>
      <c r="LF163" s="38"/>
      <c r="LG163" s="38"/>
      <c r="LH163" s="38"/>
      <c r="LI163" s="38"/>
      <c r="LJ163" s="38"/>
      <c r="LK163" s="38"/>
      <c r="LL163" s="38"/>
      <c r="LM163" s="38"/>
      <c r="LN163" s="38"/>
      <c r="LO163" s="38"/>
      <c r="LP163" s="38"/>
      <c r="LQ163" s="38"/>
      <c r="LR163" s="38"/>
      <c r="LS163" s="38"/>
      <c r="LT163" s="38"/>
      <c r="LU163" s="38"/>
      <c r="LV163" s="38"/>
      <c r="LW163" s="38"/>
      <c r="LX163" s="38"/>
      <c r="LY163" s="38"/>
      <c r="LZ163" s="38"/>
      <c r="MA163" s="38"/>
      <c r="MB163" s="38"/>
      <c r="MC163" s="38"/>
      <c r="MD163" s="38"/>
      <c r="ME163" s="38"/>
      <c r="MF163" s="38"/>
      <c r="MG163" s="38"/>
      <c r="MH163" s="38"/>
      <c r="MI163" s="38"/>
      <c r="MJ163" s="38"/>
      <c r="MK163" s="38"/>
      <c r="ML163" s="38"/>
      <c r="MM163" s="38"/>
      <c r="MN163" s="38"/>
      <c r="MO163" s="38"/>
      <c r="MP163" s="38"/>
      <c r="MQ163" s="38"/>
      <c r="MR163" s="38"/>
      <c r="MS163" s="38"/>
      <c r="MT163" s="38"/>
      <c r="MU163" s="38"/>
      <c r="MV163" s="38"/>
      <c r="MW163" s="38"/>
      <c r="MX163" s="38"/>
      <c r="MY163" s="38"/>
      <c r="MZ163" s="38"/>
      <c r="NA163" s="38"/>
      <c r="NB163" s="38"/>
      <c r="NC163" s="38"/>
      <c r="ND163" s="38"/>
      <c r="NE163" s="38"/>
      <c r="NF163" s="38"/>
      <c r="NG163" s="38"/>
      <c r="NH163" s="38"/>
      <c r="NI163" s="38"/>
      <c r="NJ163" s="38"/>
      <c r="NK163" s="38"/>
      <c r="NL163" s="38"/>
      <c r="NM163" s="38"/>
      <c r="NN163" s="38"/>
      <c r="NO163" s="38"/>
      <c r="NP163" s="38"/>
      <c r="NQ163" s="38"/>
      <c r="NR163" s="38"/>
      <c r="NS163" s="38"/>
      <c r="NT163" s="38"/>
      <c r="NU163" s="38"/>
      <c r="NV163" s="38"/>
      <c r="NW163" s="38"/>
      <c r="NX163" s="38"/>
      <c r="NY163" s="38"/>
      <c r="NZ163" s="38"/>
      <c r="OA163" s="38"/>
      <c r="OB163" s="38"/>
      <c r="OC163" s="38"/>
      <c r="OD163" s="38"/>
      <c r="OE163" s="38"/>
      <c r="OF163" s="38"/>
      <c r="OG163" s="38"/>
      <c r="OH163" s="38"/>
      <c r="OI163" s="38"/>
      <c r="OJ163" s="38"/>
      <c r="OK163" s="38"/>
      <c r="OL163" s="38"/>
      <c r="OM163" s="38"/>
      <c r="ON163" s="38"/>
      <c r="OO163" s="38"/>
      <c r="OP163" s="38"/>
      <c r="OQ163" s="38"/>
      <c r="OR163" s="38"/>
      <c r="OS163" s="38"/>
      <c r="OT163" s="38"/>
      <c r="OU163" s="38"/>
      <c r="OV163" s="38"/>
      <c r="OW163" s="38"/>
      <c r="OX163" s="38"/>
      <c r="OY163" s="38"/>
      <c r="OZ163" s="38"/>
      <c r="PA163" s="38"/>
      <c r="PB163" s="38"/>
      <c r="PC163" s="38"/>
      <c r="PD163" s="38"/>
      <c r="PE163" s="38"/>
      <c r="PF163" s="38"/>
      <c r="PG163" s="38"/>
      <c r="PH163" s="38"/>
      <c r="PI163" s="38"/>
      <c r="PJ163" s="38"/>
      <c r="PK163" s="38"/>
      <c r="PL163" s="38"/>
      <c r="PM163" s="38"/>
      <c r="PN163" s="38"/>
      <c r="PO163" s="38"/>
      <c r="PP163" s="38"/>
      <c r="PQ163" s="38"/>
      <c r="PR163" s="38"/>
      <c r="PS163" s="38"/>
      <c r="PT163" s="38"/>
      <c r="PU163" s="38"/>
      <c r="PV163" s="38"/>
      <c r="PW163" s="38"/>
      <c r="PX163" s="38"/>
      <c r="PY163" s="38"/>
      <c r="PZ163" s="38"/>
      <c r="QA163" s="38"/>
      <c r="QB163" s="38"/>
      <c r="QC163" s="38"/>
      <c r="QD163" s="38"/>
      <c r="QE163" s="38"/>
      <c r="QF163" s="38"/>
      <c r="QG163" s="38"/>
      <c r="QH163" s="38"/>
      <c r="QI163" s="38"/>
      <c r="QJ163" s="38"/>
      <c r="QK163" s="38"/>
      <c r="QL163" s="38"/>
      <c r="QM163" s="38"/>
      <c r="QN163" s="38"/>
      <c r="QO163" s="38"/>
      <c r="QP163" s="38"/>
      <c r="QQ163" s="38"/>
      <c r="QR163" s="38"/>
      <c r="QS163" s="38"/>
      <c r="QT163" s="38"/>
      <c r="QU163" s="38"/>
      <c r="QV163" s="38"/>
      <c r="QW163" s="38"/>
      <c r="QX163" s="38"/>
      <c r="QY163" s="38"/>
      <c r="QZ163" s="38"/>
      <c r="RA163" s="38"/>
      <c r="RB163" s="38"/>
      <c r="RC163" s="38"/>
      <c r="RD163" s="38"/>
      <c r="RE163" s="38"/>
      <c r="RF163" s="38"/>
      <c r="RG163" s="38"/>
      <c r="RH163" s="38"/>
      <c r="RI163" s="38"/>
      <c r="RJ163" s="38"/>
      <c r="RK163" s="38"/>
      <c r="RL163" s="38"/>
      <c r="RM163" s="38"/>
      <c r="RN163" s="38"/>
      <c r="RO163" s="38"/>
      <c r="RP163" s="38"/>
      <c r="RQ163" s="38"/>
      <c r="RR163" s="38"/>
      <c r="RS163" s="38"/>
      <c r="RT163" s="38"/>
      <c r="RU163" s="38"/>
      <c r="RV163" s="38"/>
      <c r="RW163" s="38"/>
      <c r="RX163" s="38"/>
      <c r="RY163" s="38"/>
      <c r="RZ163" s="38"/>
      <c r="SA163" s="38"/>
      <c r="SB163" s="38"/>
      <c r="SC163" s="38"/>
      <c r="SD163" s="38"/>
      <c r="SE163" s="38"/>
      <c r="SF163" s="38"/>
      <c r="SG163" s="38"/>
      <c r="SH163" s="38"/>
      <c r="SI163" s="38"/>
      <c r="SJ163" s="38"/>
      <c r="SK163" s="38"/>
      <c r="SL163" s="38"/>
      <c r="SM163" s="38"/>
      <c r="SN163" s="38"/>
      <c r="SO163" s="38"/>
      <c r="SP163" s="38"/>
      <c r="SQ163" s="38"/>
      <c r="SR163" s="38"/>
      <c r="SS163" s="38"/>
      <c r="ST163" s="38"/>
      <c r="SU163" s="38"/>
      <c r="SV163" s="38"/>
      <c r="SW163" s="38"/>
      <c r="SX163" s="38"/>
      <c r="SY163" s="38"/>
      <c r="SZ163" s="38"/>
      <c r="TA163" s="38"/>
      <c r="TB163" s="38"/>
      <c r="TC163" s="38"/>
      <c r="TD163" s="38"/>
      <c r="TE163" s="38"/>
      <c r="TF163" s="38"/>
      <c r="TG163" s="38"/>
      <c r="TH163" s="38"/>
      <c r="TI163" s="38"/>
    </row>
    <row r="164" spans="1:529" s="40" customFormat="1" ht="36.75" customHeight="1" x14ac:dyDescent="0.25">
      <c r="A164" s="77" t="s">
        <v>139</v>
      </c>
      <c r="B164" s="75"/>
      <c r="C164" s="75"/>
      <c r="D164" s="33" t="s">
        <v>47</v>
      </c>
      <c r="E164" s="68">
        <f>E165</f>
        <v>6146000</v>
      </c>
      <c r="F164" s="68">
        <f t="shared" si="84"/>
        <v>6146000</v>
      </c>
      <c r="G164" s="68">
        <f t="shared" si="84"/>
        <v>4779400</v>
      </c>
      <c r="H164" s="68">
        <f t="shared" si="84"/>
        <v>98300</v>
      </c>
      <c r="I164" s="68">
        <f t="shared" si="84"/>
        <v>0</v>
      </c>
      <c r="J164" s="68">
        <f t="shared" si="84"/>
        <v>160000</v>
      </c>
      <c r="K164" s="68">
        <f t="shared" si="85"/>
        <v>160000</v>
      </c>
      <c r="L164" s="68">
        <f t="shared" si="86"/>
        <v>0</v>
      </c>
      <c r="M164" s="68">
        <f t="shared" si="87"/>
        <v>0</v>
      </c>
      <c r="N164" s="68">
        <f t="shared" si="88"/>
        <v>0</v>
      </c>
      <c r="O164" s="68">
        <f t="shared" si="89"/>
        <v>160000</v>
      </c>
      <c r="P164" s="68">
        <f t="shared" si="89"/>
        <v>6306000</v>
      </c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  <c r="IW164" s="39"/>
      <c r="IX164" s="39"/>
      <c r="IY164" s="39"/>
      <c r="IZ164" s="39"/>
      <c r="JA164" s="39"/>
      <c r="JB164" s="39"/>
      <c r="JC164" s="39"/>
      <c r="JD164" s="39"/>
      <c r="JE164" s="39"/>
      <c r="JF164" s="39"/>
      <c r="JG164" s="39"/>
      <c r="JH164" s="39"/>
      <c r="JI164" s="39"/>
      <c r="JJ164" s="39"/>
      <c r="JK164" s="39"/>
      <c r="JL164" s="39"/>
      <c r="JM164" s="39"/>
      <c r="JN164" s="39"/>
      <c r="JO164" s="39"/>
      <c r="JP164" s="39"/>
      <c r="JQ164" s="39"/>
      <c r="JR164" s="39"/>
      <c r="JS164" s="39"/>
      <c r="JT164" s="39"/>
      <c r="JU164" s="39"/>
      <c r="JV164" s="39"/>
      <c r="JW164" s="39"/>
      <c r="JX164" s="39"/>
      <c r="JY164" s="39"/>
      <c r="JZ164" s="39"/>
      <c r="KA164" s="39"/>
      <c r="KB164" s="39"/>
      <c r="KC164" s="39"/>
      <c r="KD164" s="39"/>
      <c r="KE164" s="39"/>
      <c r="KF164" s="39"/>
      <c r="KG164" s="39"/>
      <c r="KH164" s="39"/>
      <c r="KI164" s="39"/>
      <c r="KJ164" s="39"/>
      <c r="KK164" s="39"/>
      <c r="KL164" s="39"/>
      <c r="KM164" s="39"/>
      <c r="KN164" s="39"/>
      <c r="KO164" s="39"/>
      <c r="KP164" s="39"/>
      <c r="KQ164" s="39"/>
      <c r="KR164" s="39"/>
      <c r="KS164" s="39"/>
      <c r="KT164" s="39"/>
      <c r="KU164" s="39"/>
      <c r="KV164" s="39"/>
      <c r="KW164" s="39"/>
      <c r="KX164" s="39"/>
      <c r="KY164" s="39"/>
      <c r="KZ164" s="39"/>
      <c r="LA164" s="39"/>
      <c r="LB164" s="39"/>
      <c r="LC164" s="39"/>
      <c r="LD164" s="39"/>
      <c r="LE164" s="39"/>
      <c r="LF164" s="39"/>
      <c r="LG164" s="39"/>
      <c r="LH164" s="39"/>
      <c r="LI164" s="39"/>
      <c r="LJ164" s="39"/>
      <c r="LK164" s="39"/>
      <c r="LL164" s="39"/>
      <c r="LM164" s="39"/>
      <c r="LN164" s="39"/>
      <c r="LO164" s="39"/>
      <c r="LP164" s="39"/>
      <c r="LQ164" s="39"/>
      <c r="LR164" s="39"/>
      <c r="LS164" s="39"/>
      <c r="LT164" s="39"/>
      <c r="LU164" s="39"/>
      <c r="LV164" s="39"/>
      <c r="LW164" s="39"/>
      <c r="LX164" s="39"/>
      <c r="LY164" s="39"/>
      <c r="LZ164" s="39"/>
      <c r="MA164" s="39"/>
      <c r="MB164" s="39"/>
      <c r="MC164" s="39"/>
      <c r="MD164" s="39"/>
      <c r="ME164" s="39"/>
      <c r="MF164" s="39"/>
      <c r="MG164" s="39"/>
      <c r="MH164" s="39"/>
      <c r="MI164" s="39"/>
      <c r="MJ164" s="39"/>
      <c r="MK164" s="39"/>
      <c r="ML164" s="39"/>
      <c r="MM164" s="39"/>
      <c r="MN164" s="39"/>
      <c r="MO164" s="39"/>
      <c r="MP164" s="39"/>
      <c r="MQ164" s="39"/>
      <c r="MR164" s="39"/>
      <c r="MS164" s="39"/>
      <c r="MT164" s="39"/>
      <c r="MU164" s="39"/>
      <c r="MV164" s="39"/>
      <c r="MW164" s="39"/>
      <c r="MX164" s="39"/>
      <c r="MY164" s="39"/>
      <c r="MZ164" s="39"/>
      <c r="NA164" s="39"/>
      <c r="NB164" s="39"/>
      <c r="NC164" s="39"/>
      <c r="ND164" s="39"/>
      <c r="NE164" s="39"/>
      <c r="NF164" s="39"/>
      <c r="NG164" s="39"/>
      <c r="NH164" s="39"/>
      <c r="NI164" s="39"/>
      <c r="NJ164" s="39"/>
      <c r="NK164" s="39"/>
      <c r="NL164" s="39"/>
      <c r="NM164" s="39"/>
      <c r="NN164" s="39"/>
      <c r="NO164" s="39"/>
      <c r="NP164" s="39"/>
      <c r="NQ164" s="39"/>
      <c r="NR164" s="39"/>
      <c r="NS164" s="39"/>
      <c r="NT164" s="39"/>
      <c r="NU164" s="39"/>
      <c r="NV164" s="39"/>
      <c r="NW164" s="39"/>
      <c r="NX164" s="39"/>
      <c r="NY164" s="39"/>
      <c r="NZ164" s="39"/>
      <c r="OA164" s="39"/>
      <c r="OB164" s="39"/>
      <c r="OC164" s="39"/>
      <c r="OD164" s="39"/>
      <c r="OE164" s="39"/>
      <c r="OF164" s="39"/>
      <c r="OG164" s="39"/>
      <c r="OH164" s="39"/>
      <c r="OI164" s="39"/>
      <c r="OJ164" s="39"/>
      <c r="OK164" s="39"/>
      <c r="OL164" s="39"/>
      <c r="OM164" s="39"/>
      <c r="ON164" s="39"/>
      <c r="OO164" s="39"/>
      <c r="OP164" s="39"/>
      <c r="OQ164" s="39"/>
      <c r="OR164" s="39"/>
      <c r="OS164" s="39"/>
      <c r="OT164" s="39"/>
      <c r="OU164" s="39"/>
      <c r="OV164" s="39"/>
      <c r="OW164" s="39"/>
      <c r="OX164" s="39"/>
      <c r="OY164" s="39"/>
      <c r="OZ164" s="39"/>
      <c r="PA164" s="39"/>
      <c r="PB164" s="39"/>
      <c r="PC164" s="39"/>
      <c r="PD164" s="39"/>
      <c r="PE164" s="39"/>
      <c r="PF164" s="39"/>
      <c r="PG164" s="39"/>
      <c r="PH164" s="39"/>
      <c r="PI164" s="39"/>
      <c r="PJ164" s="39"/>
      <c r="PK164" s="39"/>
      <c r="PL164" s="39"/>
      <c r="PM164" s="39"/>
      <c r="PN164" s="39"/>
      <c r="PO164" s="39"/>
      <c r="PP164" s="39"/>
      <c r="PQ164" s="39"/>
      <c r="PR164" s="39"/>
      <c r="PS164" s="39"/>
      <c r="PT164" s="39"/>
      <c r="PU164" s="39"/>
      <c r="PV164" s="39"/>
      <c r="PW164" s="39"/>
      <c r="PX164" s="39"/>
      <c r="PY164" s="39"/>
      <c r="PZ164" s="39"/>
      <c r="QA164" s="39"/>
      <c r="QB164" s="39"/>
      <c r="QC164" s="39"/>
      <c r="QD164" s="39"/>
      <c r="QE164" s="39"/>
      <c r="QF164" s="39"/>
      <c r="QG164" s="39"/>
      <c r="QH164" s="39"/>
      <c r="QI164" s="39"/>
      <c r="QJ164" s="39"/>
      <c r="QK164" s="39"/>
      <c r="QL164" s="39"/>
      <c r="QM164" s="39"/>
      <c r="QN164" s="39"/>
      <c r="QO164" s="39"/>
      <c r="QP164" s="39"/>
      <c r="QQ164" s="39"/>
      <c r="QR164" s="39"/>
      <c r="QS164" s="39"/>
      <c r="QT164" s="39"/>
      <c r="QU164" s="39"/>
      <c r="QV164" s="39"/>
      <c r="QW164" s="39"/>
      <c r="QX164" s="39"/>
      <c r="QY164" s="39"/>
      <c r="QZ164" s="39"/>
      <c r="RA164" s="39"/>
      <c r="RB164" s="39"/>
      <c r="RC164" s="39"/>
      <c r="RD164" s="39"/>
      <c r="RE164" s="39"/>
      <c r="RF164" s="39"/>
      <c r="RG164" s="39"/>
      <c r="RH164" s="39"/>
      <c r="RI164" s="39"/>
      <c r="RJ164" s="39"/>
      <c r="RK164" s="39"/>
      <c r="RL164" s="39"/>
      <c r="RM164" s="39"/>
      <c r="RN164" s="39"/>
      <c r="RO164" s="39"/>
      <c r="RP164" s="39"/>
      <c r="RQ164" s="39"/>
      <c r="RR164" s="39"/>
      <c r="RS164" s="39"/>
      <c r="RT164" s="39"/>
      <c r="RU164" s="39"/>
      <c r="RV164" s="39"/>
      <c r="RW164" s="39"/>
      <c r="RX164" s="39"/>
      <c r="RY164" s="39"/>
      <c r="RZ164" s="39"/>
      <c r="SA164" s="39"/>
      <c r="SB164" s="39"/>
      <c r="SC164" s="39"/>
      <c r="SD164" s="39"/>
      <c r="SE164" s="39"/>
      <c r="SF164" s="39"/>
      <c r="SG164" s="39"/>
      <c r="SH164" s="39"/>
      <c r="SI164" s="39"/>
      <c r="SJ164" s="39"/>
      <c r="SK164" s="39"/>
      <c r="SL164" s="39"/>
      <c r="SM164" s="39"/>
      <c r="SN164" s="39"/>
      <c r="SO164" s="39"/>
      <c r="SP164" s="39"/>
      <c r="SQ164" s="39"/>
      <c r="SR164" s="39"/>
      <c r="SS164" s="39"/>
      <c r="ST164" s="39"/>
      <c r="SU164" s="39"/>
      <c r="SV164" s="39"/>
      <c r="SW164" s="39"/>
      <c r="SX164" s="39"/>
      <c r="SY164" s="39"/>
      <c r="SZ164" s="39"/>
      <c r="TA164" s="39"/>
      <c r="TB164" s="39"/>
      <c r="TC164" s="39"/>
      <c r="TD164" s="39"/>
      <c r="TE164" s="39"/>
      <c r="TF164" s="39"/>
      <c r="TG164" s="39"/>
      <c r="TH164" s="39"/>
      <c r="TI164" s="39"/>
    </row>
    <row r="165" spans="1:529" s="23" customFormat="1" ht="45" x14ac:dyDescent="0.25">
      <c r="A165" s="43" t="s">
        <v>0</v>
      </c>
      <c r="B165" s="44" t="str">
        <f>'дод 4'!A20</f>
        <v>0160</v>
      </c>
      <c r="C165" s="44" t="str">
        <f>'дод 4'!B20</f>
        <v>0111</v>
      </c>
      <c r="D165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65" s="69">
        <f>F165+I165</f>
        <v>6146000</v>
      </c>
      <c r="F165" s="69">
        <f>6462800+10100-315400-11500</f>
        <v>6146000</v>
      </c>
      <c r="G165" s="69">
        <f>5047300-258500-9400</f>
        <v>4779400</v>
      </c>
      <c r="H165" s="69">
        <v>98300</v>
      </c>
      <c r="I165" s="69"/>
      <c r="J165" s="69">
        <f>L165+O165</f>
        <v>160000</v>
      </c>
      <c r="K165" s="69">
        <v>160000</v>
      </c>
      <c r="L165" s="69"/>
      <c r="M165" s="69"/>
      <c r="N165" s="69"/>
      <c r="O165" s="69">
        <v>160000</v>
      </c>
      <c r="P165" s="69">
        <f>E165+J165</f>
        <v>6306000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</row>
    <row r="166" spans="1:529" s="31" customFormat="1" ht="34.5" customHeight="1" x14ac:dyDescent="0.2">
      <c r="A166" s="76" t="s">
        <v>39</v>
      </c>
      <c r="B166" s="74"/>
      <c r="C166" s="74"/>
      <c r="D166" s="30" t="s">
        <v>46</v>
      </c>
      <c r="E166" s="66">
        <f>E167</f>
        <v>3706717</v>
      </c>
      <c r="F166" s="66">
        <f t="shared" ref="F166:J166" si="90">F167</f>
        <v>3621811</v>
      </c>
      <c r="G166" s="66">
        <f t="shared" si="90"/>
        <v>1552300</v>
      </c>
      <c r="H166" s="66">
        <f t="shared" si="90"/>
        <v>0</v>
      </c>
      <c r="I166" s="66">
        <f t="shared" si="90"/>
        <v>84906</v>
      </c>
      <c r="J166" s="66">
        <f t="shared" si="90"/>
        <v>173274492.18000001</v>
      </c>
      <c r="K166" s="66">
        <f t="shared" ref="K166" si="91">K167</f>
        <v>159427220</v>
      </c>
      <c r="L166" s="66">
        <f t="shared" ref="L166" si="92">L167</f>
        <v>3200000</v>
      </c>
      <c r="M166" s="66">
        <f t="shared" ref="M166" si="93">M167</f>
        <v>2348000</v>
      </c>
      <c r="N166" s="66">
        <f t="shared" ref="N166" si="94">N167</f>
        <v>90600</v>
      </c>
      <c r="O166" s="66">
        <f t="shared" ref="O166:P166" si="95">O167</f>
        <v>170074492.18000001</v>
      </c>
      <c r="P166" s="66">
        <f t="shared" si="95"/>
        <v>176981209.18000001</v>
      </c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38"/>
      <c r="IA166" s="38"/>
      <c r="IB166" s="38"/>
      <c r="IC166" s="38"/>
      <c r="ID166" s="38"/>
      <c r="IE166" s="38"/>
      <c r="IF166" s="38"/>
      <c r="IG166" s="38"/>
      <c r="IH166" s="38"/>
      <c r="II166" s="38"/>
      <c r="IJ166" s="38"/>
      <c r="IK166" s="38"/>
      <c r="IL166" s="38"/>
      <c r="IM166" s="38"/>
      <c r="IN166" s="38"/>
      <c r="IO166" s="38"/>
      <c r="IP166" s="38"/>
      <c r="IQ166" s="38"/>
      <c r="IR166" s="38"/>
      <c r="IS166" s="38"/>
      <c r="IT166" s="38"/>
      <c r="IU166" s="38"/>
      <c r="IV166" s="38"/>
      <c r="IW166" s="38"/>
      <c r="IX166" s="38"/>
      <c r="IY166" s="38"/>
      <c r="IZ166" s="38"/>
      <c r="JA166" s="38"/>
      <c r="JB166" s="38"/>
      <c r="JC166" s="38"/>
      <c r="JD166" s="38"/>
      <c r="JE166" s="38"/>
      <c r="JF166" s="38"/>
      <c r="JG166" s="38"/>
      <c r="JH166" s="38"/>
      <c r="JI166" s="38"/>
      <c r="JJ166" s="38"/>
      <c r="JK166" s="38"/>
      <c r="JL166" s="38"/>
      <c r="JM166" s="38"/>
      <c r="JN166" s="38"/>
      <c r="JO166" s="38"/>
      <c r="JP166" s="38"/>
      <c r="JQ166" s="38"/>
      <c r="JR166" s="38"/>
      <c r="JS166" s="38"/>
      <c r="JT166" s="38"/>
      <c r="JU166" s="38"/>
      <c r="JV166" s="38"/>
      <c r="JW166" s="38"/>
      <c r="JX166" s="38"/>
      <c r="JY166" s="38"/>
      <c r="JZ166" s="38"/>
      <c r="KA166" s="38"/>
      <c r="KB166" s="38"/>
      <c r="KC166" s="38"/>
      <c r="KD166" s="38"/>
      <c r="KE166" s="38"/>
      <c r="KF166" s="38"/>
      <c r="KG166" s="38"/>
      <c r="KH166" s="38"/>
      <c r="KI166" s="38"/>
      <c r="KJ166" s="38"/>
      <c r="KK166" s="38"/>
      <c r="KL166" s="38"/>
      <c r="KM166" s="38"/>
      <c r="KN166" s="38"/>
      <c r="KO166" s="38"/>
      <c r="KP166" s="38"/>
      <c r="KQ166" s="38"/>
      <c r="KR166" s="38"/>
      <c r="KS166" s="38"/>
      <c r="KT166" s="38"/>
      <c r="KU166" s="38"/>
      <c r="KV166" s="38"/>
      <c r="KW166" s="38"/>
      <c r="KX166" s="38"/>
      <c r="KY166" s="38"/>
      <c r="KZ166" s="38"/>
      <c r="LA166" s="38"/>
      <c r="LB166" s="38"/>
      <c r="LC166" s="38"/>
      <c r="LD166" s="38"/>
      <c r="LE166" s="38"/>
      <c r="LF166" s="38"/>
      <c r="LG166" s="38"/>
      <c r="LH166" s="38"/>
      <c r="LI166" s="38"/>
      <c r="LJ166" s="38"/>
      <c r="LK166" s="38"/>
      <c r="LL166" s="38"/>
      <c r="LM166" s="38"/>
      <c r="LN166" s="38"/>
      <c r="LO166" s="38"/>
      <c r="LP166" s="38"/>
      <c r="LQ166" s="38"/>
      <c r="LR166" s="38"/>
      <c r="LS166" s="38"/>
      <c r="LT166" s="38"/>
      <c r="LU166" s="38"/>
      <c r="LV166" s="38"/>
      <c r="LW166" s="38"/>
      <c r="LX166" s="38"/>
      <c r="LY166" s="38"/>
      <c r="LZ166" s="38"/>
      <c r="MA166" s="38"/>
      <c r="MB166" s="38"/>
      <c r="MC166" s="38"/>
      <c r="MD166" s="38"/>
      <c r="ME166" s="38"/>
      <c r="MF166" s="38"/>
      <c r="MG166" s="38"/>
      <c r="MH166" s="38"/>
      <c r="MI166" s="38"/>
      <c r="MJ166" s="38"/>
      <c r="MK166" s="38"/>
      <c r="ML166" s="38"/>
      <c r="MM166" s="38"/>
      <c r="MN166" s="38"/>
      <c r="MO166" s="38"/>
      <c r="MP166" s="38"/>
      <c r="MQ166" s="38"/>
      <c r="MR166" s="38"/>
      <c r="MS166" s="38"/>
      <c r="MT166" s="38"/>
      <c r="MU166" s="38"/>
      <c r="MV166" s="38"/>
      <c r="MW166" s="38"/>
      <c r="MX166" s="38"/>
      <c r="MY166" s="38"/>
      <c r="MZ166" s="38"/>
      <c r="NA166" s="38"/>
      <c r="NB166" s="38"/>
      <c r="NC166" s="38"/>
      <c r="ND166" s="38"/>
      <c r="NE166" s="38"/>
      <c r="NF166" s="38"/>
      <c r="NG166" s="38"/>
      <c r="NH166" s="38"/>
      <c r="NI166" s="38"/>
      <c r="NJ166" s="38"/>
      <c r="NK166" s="38"/>
      <c r="NL166" s="38"/>
      <c r="NM166" s="38"/>
      <c r="NN166" s="38"/>
      <c r="NO166" s="38"/>
      <c r="NP166" s="38"/>
      <c r="NQ166" s="38"/>
      <c r="NR166" s="38"/>
      <c r="NS166" s="38"/>
      <c r="NT166" s="38"/>
      <c r="NU166" s="38"/>
      <c r="NV166" s="38"/>
      <c r="NW166" s="38"/>
      <c r="NX166" s="38"/>
      <c r="NY166" s="38"/>
      <c r="NZ166" s="38"/>
      <c r="OA166" s="38"/>
      <c r="OB166" s="38"/>
      <c r="OC166" s="38"/>
      <c r="OD166" s="38"/>
      <c r="OE166" s="38"/>
      <c r="OF166" s="38"/>
      <c r="OG166" s="38"/>
      <c r="OH166" s="38"/>
      <c r="OI166" s="38"/>
      <c r="OJ166" s="38"/>
      <c r="OK166" s="38"/>
      <c r="OL166" s="38"/>
      <c r="OM166" s="38"/>
      <c r="ON166" s="38"/>
      <c r="OO166" s="38"/>
      <c r="OP166" s="38"/>
      <c r="OQ166" s="38"/>
      <c r="OR166" s="38"/>
      <c r="OS166" s="38"/>
      <c r="OT166" s="38"/>
      <c r="OU166" s="38"/>
      <c r="OV166" s="38"/>
      <c r="OW166" s="38"/>
      <c r="OX166" s="38"/>
      <c r="OY166" s="38"/>
      <c r="OZ166" s="38"/>
      <c r="PA166" s="38"/>
      <c r="PB166" s="38"/>
      <c r="PC166" s="38"/>
      <c r="PD166" s="38"/>
      <c r="PE166" s="38"/>
      <c r="PF166" s="38"/>
      <c r="PG166" s="38"/>
      <c r="PH166" s="38"/>
      <c r="PI166" s="38"/>
      <c r="PJ166" s="38"/>
      <c r="PK166" s="38"/>
      <c r="PL166" s="38"/>
      <c r="PM166" s="38"/>
      <c r="PN166" s="38"/>
      <c r="PO166" s="38"/>
      <c r="PP166" s="38"/>
      <c r="PQ166" s="38"/>
      <c r="PR166" s="38"/>
      <c r="PS166" s="38"/>
      <c r="PT166" s="38"/>
      <c r="PU166" s="38"/>
      <c r="PV166" s="38"/>
      <c r="PW166" s="38"/>
      <c r="PX166" s="38"/>
      <c r="PY166" s="38"/>
      <c r="PZ166" s="38"/>
      <c r="QA166" s="38"/>
      <c r="QB166" s="38"/>
      <c r="QC166" s="38"/>
      <c r="QD166" s="38"/>
      <c r="QE166" s="38"/>
      <c r="QF166" s="38"/>
      <c r="QG166" s="38"/>
      <c r="QH166" s="38"/>
      <c r="QI166" s="38"/>
      <c r="QJ166" s="38"/>
      <c r="QK166" s="38"/>
      <c r="QL166" s="38"/>
      <c r="QM166" s="38"/>
      <c r="QN166" s="38"/>
      <c r="QO166" s="38"/>
      <c r="QP166" s="38"/>
      <c r="QQ166" s="38"/>
      <c r="QR166" s="38"/>
      <c r="QS166" s="38"/>
      <c r="QT166" s="38"/>
      <c r="QU166" s="38"/>
      <c r="QV166" s="38"/>
      <c r="QW166" s="38"/>
      <c r="QX166" s="38"/>
      <c r="QY166" s="38"/>
      <c r="QZ166" s="38"/>
      <c r="RA166" s="38"/>
      <c r="RB166" s="38"/>
      <c r="RC166" s="38"/>
      <c r="RD166" s="38"/>
      <c r="RE166" s="38"/>
      <c r="RF166" s="38"/>
      <c r="RG166" s="38"/>
      <c r="RH166" s="38"/>
      <c r="RI166" s="38"/>
      <c r="RJ166" s="38"/>
      <c r="RK166" s="38"/>
      <c r="RL166" s="38"/>
      <c r="RM166" s="38"/>
      <c r="RN166" s="38"/>
      <c r="RO166" s="38"/>
      <c r="RP166" s="38"/>
      <c r="RQ166" s="38"/>
      <c r="RR166" s="38"/>
      <c r="RS166" s="38"/>
      <c r="RT166" s="38"/>
      <c r="RU166" s="38"/>
      <c r="RV166" s="38"/>
      <c r="RW166" s="38"/>
      <c r="RX166" s="38"/>
      <c r="RY166" s="38"/>
      <c r="RZ166" s="38"/>
      <c r="SA166" s="38"/>
      <c r="SB166" s="38"/>
      <c r="SC166" s="38"/>
      <c r="SD166" s="38"/>
      <c r="SE166" s="38"/>
      <c r="SF166" s="38"/>
      <c r="SG166" s="38"/>
      <c r="SH166" s="38"/>
      <c r="SI166" s="38"/>
      <c r="SJ166" s="38"/>
      <c r="SK166" s="38"/>
      <c r="SL166" s="38"/>
      <c r="SM166" s="38"/>
      <c r="SN166" s="38"/>
      <c r="SO166" s="38"/>
      <c r="SP166" s="38"/>
      <c r="SQ166" s="38"/>
      <c r="SR166" s="38"/>
      <c r="SS166" s="38"/>
      <c r="ST166" s="38"/>
      <c r="SU166" s="38"/>
      <c r="SV166" s="38"/>
      <c r="SW166" s="38"/>
      <c r="SX166" s="38"/>
      <c r="SY166" s="38"/>
      <c r="SZ166" s="38"/>
      <c r="TA166" s="38"/>
      <c r="TB166" s="38"/>
      <c r="TC166" s="38"/>
      <c r="TD166" s="38"/>
      <c r="TE166" s="38"/>
      <c r="TF166" s="38"/>
      <c r="TG166" s="38"/>
      <c r="TH166" s="38"/>
      <c r="TI166" s="38"/>
    </row>
    <row r="167" spans="1:529" s="40" customFormat="1" ht="38.25" customHeight="1" x14ac:dyDescent="0.25">
      <c r="A167" s="77" t="s">
        <v>40</v>
      </c>
      <c r="B167" s="75"/>
      <c r="C167" s="75"/>
      <c r="D167" s="33" t="s">
        <v>46</v>
      </c>
      <c r="E167" s="68">
        <f>SUM(E168+E169+E170+E171+E172+E173+E175+E176+E177+E178+E174+E179)</f>
        <v>3706717</v>
      </c>
      <c r="F167" s="68">
        <f t="shared" ref="F167:P167" si="96">SUM(F168+F169+F170+F171+F172+F173+F175+F176+F177+F178+F174+F179)</f>
        <v>3621811</v>
      </c>
      <c r="G167" s="68">
        <f t="shared" si="96"/>
        <v>1552300</v>
      </c>
      <c r="H167" s="68">
        <f t="shared" si="96"/>
        <v>0</v>
      </c>
      <c r="I167" s="68">
        <f t="shared" si="96"/>
        <v>84906</v>
      </c>
      <c r="J167" s="68">
        <f t="shared" si="96"/>
        <v>173274492.18000001</v>
      </c>
      <c r="K167" s="68">
        <f t="shared" si="96"/>
        <v>159427220</v>
      </c>
      <c r="L167" s="68">
        <f t="shared" si="96"/>
        <v>3200000</v>
      </c>
      <c r="M167" s="68">
        <f t="shared" si="96"/>
        <v>2348000</v>
      </c>
      <c r="N167" s="68">
        <f t="shared" si="96"/>
        <v>90600</v>
      </c>
      <c r="O167" s="68">
        <f t="shared" si="96"/>
        <v>170074492.18000001</v>
      </c>
      <c r="P167" s="68">
        <f t="shared" si="96"/>
        <v>176981209.18000001</v>
      </c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39"/>
      <c r="KH167" s="39"/>
      <c r="KI167" s="39"/>
      <c r="KJ167" s="39"/>
      <c r="KK167" s="39"/>
      <c r="KL167" s="39"/>
      <c r="KM167" s="39"/>
      <c r="KN167" s="39"/>
      <c r="KO167" s="39"/>
      <c r="KP167" s="39"/>
      <c r="KQ167" s="39"/>
      <c r="KR167" s="39"/>
      <c r="KS167" s="39"/>
      <c r="KT167" s="39"/>
      <c r="KU167" s="39"/>
      <c r="KV167" s="39"/>
      <c r="KW167" s="39"/>
      <c r="KX167" s="39"/>
      <c r="KY167" s="39"/>
      <c r="KZ167" s="39"/>
      <c r="LA167" s="39"/>
      <c r="LB167" s="39"/>
      <c r="LC167" s="39"/>
      <c r="LD167" s="39"/>
      <c r="LE167" s="39"/>
      <c r="LF167" s="39"/>
      <c r="LG167" s="39"/>
      <c r="LH167" s="39"/>
      <c r="LI167" s="39"/>
      <c r="LJ167" s="39"/>
      <c r="LK167" s="39"/>
      <c r="LL167" s="39"/>
      <c r="LM167" s="39"/>
      <c r="LN167" s="39"/>
      <c r="LO167" s="39"/>
      <c r="LP167" s="39"/>
      <c r="LQ167" s="39"/>
      <c r="LR167" s="39"/>
      <c r="LS167" s="39"/>
      <c r="LT167" s="39"/>
      <c r="LU167" s="39"/>
      <c r="LV167" s="39"/>
      <c r="LW167" s="39"/>
      <c r="LX167" s="39"/>
      <c r="LY167" s="39"/>
      <c r="LZ167" s="39"/>
      <c r="MA167" s="39"/>
      <c r="MB167" s="39"/>
      <c r="MC167" s="39"/>
      <c r="MD167" s="39"/>
      <c r="ME167" s="39"/>
      <c r="MF167" s="39"/>
      <c r="MG167" s="39"/>
      <c r="MH167" s="39"/>
      <c r="MI167" s="39"/>
      <c r="MJ167" s="39"/>
      <c r="MK167" s="39"/>
      <c r="ML167" s="39"/>
      <c r="MM167" s="39"/>
      <c r="MN167" s="39"/>
      <c r="MO167" s="39"/>
      <c r="MP167" s="39"/>
      <c r="MQ167" s="39"/>
      <c r="MR167" s="39"/>
      <c r="MS167" s="39"/>
      <c r="MT167" s="39"/>
      <c r="MU167" s="39"/>
      <c r="MV167" s="39"/>
      <c r="MW167" s="39"/>
      <c r="MX167" s="39"/>
      <c r="MY167" s="39"/>
      <c r="MZ167" s="39"/>
      <c r="NA167" s="39"/>
      <c r="NB167" s="39"/>
      <c r="NC167" s="39"/>
      <c r="ND167" s="39"/>
      <c r="NE167" s="39"/>
      <c r="NF167" s="39"/>
      <c r="NG167" s="39"/>
      <c r="NH167" s="39"/>
      <c r="NI167" s="39"/>
      <c r="NJ167" s="39"/>
      <c r="NK167" s="39"/>
      <c r="NL167" s="39"/>
      <c r="NM167" s="39"/>
      <c r="NN167" s="39"/>
      <c r="NO167" s="39"/>
      <c r="NP167" s="39"/>
      <c r="NQ167" s="39"/>
      <c r="NR167" s="39"/>
      <c r="NS167" s="39"/>
      <c r="NT167" s="39"/>
      <c r="NU167" s="39"/>
      <c r="NV167" s="39"/>
      <c r="NW167" s="39"/>
      <c r="NX167" s="39"/>
      <c r="NY167" s="39"/>
      <c r="NZ167" s="39"/>
      <c r="OA167" s="39"/>
      <c r="OB167" s="39"/>
      <c r="OC167" s="39"/>
      <c r="OD167" s="39"/>
      <c r="OE167" s="39"/>
      <c r="OF167" s="39"/>
      <c r="OG167" s="39"/>
      <c r="OH167" s="39"/>
      <c r="OI167" s="39"/>
      <c r="OJ167" s="39"/>
      <c r="OK167" s="39"/>
      <c r="OL167" s="39"/>
      <c r="OM167" s="39"/>
      <c r="ON167" s="39"/>
      <c r="OO167" s="39"/>
      <c r="OP167" s="39"/>
      <c r="OQ167" s="39"/>
      <c r="OR167" s="39"/>
      <c r="OS167" s="39"/>
      <c r="OT167" s="39"/>
      <c r="OU167" s="39"/>
      <c r="OV167" s="39"/>
      <c r="OW167" s="39"/>
      <c r="OX167" s="39"/>
      <c r="OY167" s="39"/>
      <c r="OZ167" s="39"/>
      <c r="PA167" s="39"/>
      <c r="PB167" s="39"/>
      <c r="PC167" s="39"/>
      <c r="PD167" s="39"/>
      <c r="PE167" s="39"/>
      <c r="PF167" s="39"/>
      <c r="PG167" s="39"/>
      <c r="PH167" s="39"/>
      <c r="PI167" s="39"/>
      <c r="PJ167" s="39"/>
      <c r="PK167" s="39"/>
      <c r="PL167" s="39"/>
      <c r="PM167" s="39"/>
      <c r="PN167" s="39"/>
      <c r="PO167" s="39"/>
      <c r="PP167" s="39"/>
      <c r="PQ167" s="39"/>
      <c r="PR167" s="39"/>
      <c r="PS167" s="39"/>
      <c r="PT167" s="39"/>
      <c r="PU167" s="39"/>
      <c r="PV167" s="39"/>
      <c r="PW167" s="39"/>
      <c r="PX167" s="39"/>
      <c r="PY167" s="39"/>
      <c r="PZ167" s="39"/>
      <c r="QA167" s="39"/>
      <c r="QB167" s="39"/>
      <c r="QC167" s="39"/>
      <c r="QD167" s="39"/>
      <c r="QE167" s="39"/>
      <c r="QF167" s="39"/>
      <c r="QG167" s="39"/>
      <c r="QH167" s="39"/>
      <c r="QI167" s="39"/>
      <c r="QJ167" s="39"/>
      <c r="QK167" s="39"/>
      <c r="QL167" s="39"/>
      <c r="QM167" s="39"/>
      <c r="QN167" s="39"/>
      <c r="QO167" s="39"/>
      <c r="QP167" s="39"/>
      <c r="QQ167" s="39"/>
      <c r="QR167" s="39"/>
      <c r="QS167" s="39"/>
      <c r="QT167" s="39"/>
      <c r="QU167" s="39"/>
      <c r="QV167" s="39"/>
      <c r="QW167" s="39"/>
      <c r="QX167" s="39"/>
      <c r="QY167" s="39"/>
      <c r="QZ167" s="39"/>
      <c r="RA167" s="39"/>
      <c r="RB167" s="39"/>
      <c r="RC167" s="39"/>
      <c r="RD167" s="39"/>
      <c r="RE167" s="39"/>
      <c r="RF167" s="39"/>
      <c r="RG167" s="39"/>
      <c r="RH167" s="39"/>
      <c r="RI167" s="39"/>
      <c r="RJ167" s="39"/>
      <c r="RK167" s="39"/>
      <c r="RL167" s="39"/>
      <c r="RM167" s="39"/>
      <c r="RN167" s="39"/>
      <c r="RO167" s="39"/>
      <c r="RP167" s="39"/>
      <c r="RQ167" s="39"/>
      <c r="RR167" s="39"/>
      <c r="RS167" s="39"/>
      <c r="RT167" s="39"/>
      <c r="RU167" s="39"/>
      <c r="RV167" s="39"/>
      <c r="RW167" s="39"/>
      <c r="RX167" s="39"/>
      <c r="RY167" s="39"/>
      <c r="RZ167" s="39"/>
      <c r="SA167" s="39"/>
      <c r="SB167" s="39"/>
      <c r="SC167" s="39"/>
      <c r="SD167" s="39"/>
      <c r="SE167" s="39"/>
      <c r="SF167" s="39"/>
      <c r="SG167" s="39"/>
      <c r="SH167" s="39"/>
      <c r="SI167" s="39"/>
      <c r="SJ167" s="39"/>
      <c r="SK167" s="39"/>
      <c r="SL167" s="39"/>
      <c r="SM167" s="39"/>
      <c r="SN167" s="39"/>
      <c r="SO167" s="39"/>
      <c r="SP167" s="39"/>
      <c r="SQ167" s="39"/>
      <c r="SR167" s="39"/>
      <c r="SS167" s="39"/>
      <c r="ST167" s="39"/>
      <c r="SU167" s="39"/>
      <c r="SV167" s="39"/>
      <c r="SW167" s="39"/>
      <c r="SX167" s="39"/>
      <c r="SY167" s="39"/>
      <c r="SZ167" s="39"/>
      <c r="TA167" s="39"/>
      <c r="TB167" s="39"/>
      <c r="TC167" s="39"/>
      <c r="TD167" s="39"/>
      <c r="TE167" s="39"/>
      <c r="TF167" s="39"/>
      <c r="TG167" s="39"/>
      <c r="TH167" s="39"/>
      <c r="TI167" s="39"/>
    </row>
    <row r="168" spans="1:529" s="23" customFormat="1" ht="44.25" customHeight="1" x14ac:dyDescent="0.25">
      <c r="A168" s="43" t="s">
        <v>170</v>
      </c>
      <c r="B168" s="44" t="str">
        <f>'дод 4'!A20</f>
        <v>0160</v>
      </c>
      <c r="C168" s="44" t="str">
        <f>'дод 4'!B20</f>
        <v>0111</v>
      </c>
      <c r="D168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68" s="69">
        <f t="shared" ref="E168:E179" si="97">F168+I168</f>
        <v>1893800</v>
      </c>
      <c r="F168" s="69">
        <f>1976700-82900</f>
        <v>1893800</v>
      </c>
      <c r="G168" s="69">
        <f>1620200-67900</f>
        <v>1552300</v>
      </c>
      <c r="H168" s="69"/>
      <c r="I168" s="69"/>
      <c r="J168" s="69">
        <f>L168+O168</f>
        <v>3200000</v>
      </c>
      <c r="K168" s="69"/>
      <c r="L168" s="69">
        <v>3200000</v>
      </c>
      <c r="M168" s="69">
        <v>2348000</v>
      </c>
      <c r="N168" s="69">
        <v>90600</v>
      </c>
      <c r="O168" s="69"/>
      <c r="P168" s="69">
        <f t="shared" ref="P168:P179" si="98">E168+J168</f>
        <v>5093800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</row>
    <row r="169" spans="1:529" s="23" customFormat="1" ht="22.5" customHeight="1" x14ac:dyDescent="0.25">
      <c r="A169" s="43" t="s">
        <v>242</v>
      </c>
      <c r="B169" s="44" t="str">
        <f>'дод 4'!A95</f>
        <v>6030</v>
      </c>
      <c r="C169" s="44" t="str">
        <f>'дод 4'!B95</f>
        <v>0620</v>
      </c>
      <c r="D169" s="24" t="str">
        <f>'дод 4'!C95</f>
        <v>Організація благоустрою населених пунктів</v>
      </c>
      <c r="E169" s="69">
        <f t="shared" si="97"/>
        <v>0</v>
      </c>
      <c r="F169" s="69"/>
      <c r="G169" s="69"/>
      <c r="H169" s="69"/>
      <c r="I169" s="69"/>
      <c r="J169" s="69">
        <f t="shared" ref="J169:J184" si="99">L169+O169</f>
        <v>15454000</v>
      </c>
      <c r="K169" s="69">
        <f>60000000-5000000-3750000-35796000</f>
        <v>15454000</v>
      </c>
      <c r="L169" s="69"/>
      <c r="M169" s="69"/>
      <c r="N169" s="69"/>
      <c r="O169" s="69">
        <f>60000000-5000000-3750000-35796000</f>
        <v>15454000</v>
      </c>
      <c r="P169" s="69">
        <f t="shared" si="98"/>
        <v>15454000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3" customFormat="1" ht="54.75" customHeight="1" x14ac:dyDescent="0.25">
      <c r="A170" s="43" t="s">
        <v>243</v>
      </c>
      <c r="B170" s="44" t="str">
        <f>'дод 4'!A96</f>
        <v>6084</v>
      </c>
      <c r="C170" s="44" t="str">
        <f>'дод 4'!B96</f>
        <v>0610</v>
      </c>
      <c r="D170" s="24" t="str">
        <f>'дод 4'!C96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70" s="69">
        <f t="shared" si="97"/>
        <v>84906</v>
      </c>
      <c r="F170" s="69"/>
      <c r="G170" s="69"/>
      <c r="H170" s="69"/>
      <c r="I170" s="69">
        <v>84906</v>
      </c>
      <c r="J170" s="69">
        <f t="shared" si="99"/>
        <v>77703.06</v>
      </c>
      <c r="K170" s="69"/>
      <c r="L170" s="71"/>
      <c r="M170" s="69"/>
      <c r="N170" s="69"/>
      <c r="O170" s="69">
        <f>46724+30979.06</f>
        <v>77703.06</v>
      </c>
      <c r="P170" s="69">
        <f t="shared" si="98"/>
        <v>162609.06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3" customFormat="1" ht="33.75" customHeight="1" x14ac:dyDescent="0.25">
      <c r="A171" s="43" t="s">
        <v>318</v>
      </c>
      <c r="B171" s="44" t="str">
        <f>'дод 4'!A104</f>
        <v>7310</v>
      </c>
      <c r="C171" s="44" t="str">
        <f>'дод 4'!B104</f>
        <v>0443</v>
      </c>
      <c r="D171" s="24" t="str">
        <f>'дод 4'!C104</f>
        <v>Будівництво об'єктів житлово-комунального господарства</v>
      </c>
      <c r="E171" s="69">
        <f t="shared" si="97"/>
        <v>0</v>
      </c>
      <c r="F171" s="69"/>
      <c r="G171" s="69"/>
      <c r="H171" s="69"/>
      <c r="I171" s="69"/>
      <c r="J171" s="69">
        <f t="shared" si="99"/>
        <v>4590000</v>
      </c>
      <c r="K171" s="69">
        <f>3000000+1590000</f>
        <v>4590000</v>
      </c>
      <c r="L171" s="69"/>
      <c r="M171" s="69"/>
      <c r="N171" s="69"/>
      <c r="O171" s="69">
        <f>3000000+1590000</f>
        <v>4590000</v>
      </c>
      <c r="P171" s="69">
        <f t="shared" si="98"/>
        <v>4590000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21.75" customHeight="1" x14ac:dyDescent="0.25">
      <c r="A172" s="43" t="s">
        <v>319</v>
      </c>
      <c r="B172" s="44" t="str">
        <f>'дод 4'!A105</f>
        <v>7321</v>
      </c>
      <c r="C172" s="44" t="str">
        <f>'дод 4'!B105</f>
        <v>0443</v>
      </c>
      <c r="D172" s="24" t="str">
        <f>'дод 4'!C105</f>
        <v>Будівництво освітніх установ та закладів</v>
      </c>
      <c r="E172" s="69">
        <f t="shared" si="97"/>
        <v>0</v>
      </c>
      <c r="F172" s="69"/>
      <c r="G172" s="69"/>
      <c r="H172" s="69"/>
      <c r="I172" s="69"/>
      <c r="J172" s="69">
        <f t="shared" si="99"/>
        <v>4000000</v>
      </c>
      <c r="K172" s="69">
        <f>9000000-5000000</f>
        <v>4000000</v>
      </c>
      <c r="L172" s="69"/>
      <c r="M172" s="69"/>
      <c r="N172" s="69"/>
      <c r="O172" s="69">
        <f>9000000-5000000</f>
        <v>4000000</v>
      </c>
      <c r="P172" s="69">
        <f t="shared" si="98"/>
        <v>4000000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3" customFormat="1" ht="18" customHeight="1" x14ac:dyDescent="0.25">
      <c r="A173" s="43" t="s">
        <v>321</v>
      </c>
      <c r="B173" s="44" t="str">
        <f>'дод 4'!A106</f>
        <v>7322</v>
      </c>
      <c r="C173" s="44" t="str">
        <f>'дод 4'!B106</f>
        <v>0443</v>
      </c>
      <c r="D173" s="24" t="str">
        <f>'дод 4'!C106</f>
        <v>Будівництво медичних установ та закладів</v>
      </c>
      <c r="E173" s="69">
        <f t="shared" si="97"/>
        <v>0</v>
      </c>
      <c r="F173" s="69"/>
      <c r="G173" s="69"/>
      <c r="H173" s="69"/>
      <c r="I173" s="69"/>
      <c r="J173" s="69">
        <f t="shared" si="99"/>
        <v>12454849</v>
      </c>
      <c r="K173" s="69">
        <f>7000000-3286719+741568+8000000</f>
        <v>12454849</v>
      </c>
      <c r="L173" s="69"/>
      <c r="M173" s="69"/>
      <c r="N173" s="69"/>
      <c r="O173" s="69">
        <f>7000000-3286719+741568+8000000</f>
        <v>12454849</v>
      </c>
      <c r="P173" s="69">
        <f t="shared" si="98"/>
        <v>12454849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</row>
    <row r="174" spans="1:529" s="23" customFormat="1" ht="30" x14ac:dyDescent="0.25">
      <c r="A174" s="43" t="s">
        <v>421</v>
      </c>
      <c r="B174" s="44">
        <f>'дод 4'!A107</f>
        <v>7325</v>
      </c>
      <c r="C174" s="44">
        <f>'дод 4'!B107</f>
        <v>443</v>
      </c>
      <c r="D174" s="24" t="str">
        <f>'дод 4'!C107</f>
        <v>Будівництво споруд, установ та закладів фізичної культури і спорту</v>
      </c>
      <c r="E174" s="69"/>
      <c r="F174" s="69"/>
      <c r="G174" s="69"/>
      <c r="H174" s="69"/>
      <c r="I174" s="69"/>
      <c r="J174" s="69">
        <f t="shared" si="99"/>
        <v>500000</v>
      </c>
      <c r="K174" s="69">
        <f>7000000-7000000+100000+400000</f>
        <v>500000</v>
      </c>
      <c r="L174" s="69"/>
      <c r="M174" s="69"/>
      <c r="N174" s="69"/>
      <c r="O174" s="69">
        <f>7000000-7000000+100000+400000</f>
        <v>500000</v>
      </c>
      <c r="P174" s="69">
        <f t="shared" si="98"/>
        <v>500000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</row>
    <row r="175" spans="1:529" s="23" customFormat="1" ht="23.25" customHeight="1" x14ac:dyDescent="0.25">
      <c r="A175" s="43" t="s">
        <v>323</v>
      </c>
      <c r="B175" s="44" t="str">
        <f>'дод 4'!A108</f>
        <v>7330</v>
      </c>
      <c r="C175" s="44" t="str">
        <f>'дод 4'!B108</f>
        <v>0443</v>
      </c>
      <c r="D175" s="24" t="str">
        <f>'дод 4'!C108</f>
        <v>Будівництво інших об'єктів комунальної власності</v>
      </c>
      <c r="E175" s="69">
        <f t="shared" si="97"/>
        <v>0</v>
      </c>
      <c r="F175" s="69"/>
      <c r="G175" s="69"/>
      <c r="H175" s="69"/>
      <c r="I175" s="69"/>
      <c r="J175" s="69">
        <f t="shared" si="99"/>
        <v>42980823</v>
      </c>
      <c r="K175" s="69">
        <f>41200000+100000-1000000+300000+1000000+1000000-1800000+860151+8034260+1003444+2000000+282968-10000000</f>
        <v>42980823</v>
      </c>
      <c r="L175" s="69"/>
      <c r="M175" s="69"/>
      <c r="N175" s="69"/>
      <c r="O175" s="69">
        <f>41200000+100000-1000000+300000+1000000+1000000-1800000+860151+8034260+1003444+2000000+282968-10000000</f>
        <v>42980823</v>
      </c>
      <c r="P175" s="69">
        <f t="shared" si="98"/>
        <v>42980823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23" customFormat="1" ht="44.25" customHeight="1" x14ac:dyDescent="0.25">
      <c r="A176" s="43" t="s">
        <v>447</v>
      </c>
      <c r="B176" s="44">
        <f>'дод 4'!A110</f>
        <v>7361</v>
      </c>
      <c r="C176" s="44" t="str">
        <f>'дод 4'!B110</f>
        <v>0490</v>
      </c>
      <c r="D176" s="24" t="str">
        <f>'дод 4'!C110</f>
        <v>Співфінансування інвестиційних проектів, що реалізуються за рахунок коштів державного фонду регіонального розвитку</v>
      </c>
      <c r="E176" s="69">
        <f t="shared" ref="E176" si="100">F176+I176</f>
        <v>0</v>
      </c>
      <c r="F176" s="69"/>
      <c r="G176" s="69"/>
      <c r="H176" s="69"/>
      <c r="I176" s="69"/>
      <c r="J176" s="69">
        <f t="shared" ref="J176" si="101">L176+O176</f>
        <v>5000000</v>
      </c>
      <c r="K176" s="69">
        <v>5000000</v>
      </c>
      <c r="L176" s="69"/>
      <c r="M176" s="69"/>
      <c r="N176" s="69"/>
      <c r="O176" s="69">
        <v>5000000</v>
      </c>
      <c r="P176" s="69">
        <f t="shared" si="98"/>
        <v>5000000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23" customFormat="1" ht="42.75" customHeight="1" x14ac:dyDescent="0.25">
      <c r="A177" s="43" t="s">
        <v>437</v>
      </c>
      <c r="B177" s="44">
        <v>7363</v>
      </c>
      <c r="C177" s="43" t="s">
        <v>102</v>
      </c>
      <c r="D177" s="24" t="s">
        <v>438</v>
      </c>
      <c r="E177" s="69">
        <f t="shared" si="97"/>
        <v>0</v>
      </c>
      <c r="F177" s="69"/>
      <c r="G177" s="69"/>
      <c r="H177" s="69"/>
      <c r="I177" s="69"/>
      <c r="J177" s="69">
        <f t="shared" si="99"/>
        <v>95000</v>
      </c>
      <c r="K177" s="69">
        <v>95000</v>
      </c>
      <c r="L177" s="69"/>
      <c r="M177" s="69"/>
      <c r="N177" s="69"/>
      <c r="O177" s="69">
        <v>95000</v>
      </c>
      <c r="P177" s="69">
        <f t="shared" si="98"/>
        <v>95000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23" customFormat="1" ht="21.75" customHeight="1" x14ac:dyDescent="0.25">
      <c r="A178" s="43" t="s">
        <v>177</v>
      </c>
      <c r="B178" s="44" t="str">
        <f>'дод 4'!A125</f>
        <v>7640</v>
      </c>
      <c r="C178" s="44" t="str">
        <f>'дод 4'!B125</f>
        <v>0470</v>
      </c>
      <c r="D178" s="24" t="str">
        <f>'дод 4'!C125</f>
        <v>Заходи з енергозбереження</v>
      </c>
      <c r="E178" s="69">
        <f t="shared" si="97"/>
        <v>1728011</v>
      </c>
      <c r="F178" s="69">
        <v>1728011</v>
      </c>
      <c r="G178" s="69"/>
      <c r="H178" s="69"/>
      <c r="I178" s="69"/>
      <c r="J178" s="69">
        <f t="shared" si="99"/>
        <v>84089000</v>
      </c>
      <c r="K178" s="69">
        <v>74352548</v>
      </c>
      <c r="L178" s="71"/>
      <c r="M178" s="69"/>
      <c r="N178" s="69"/>
      <c r="O178" s="69">
        <f>74352548+9736452</f>
        <v>84089000</v>
      </c>
      <c r="P178" s="69">
        <f t="shared" si="98"/>
        <v>85817011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</row>
    <row r="179" spans="1:529" s="23" customFormat="1" ht="116.25" customHeight="1" x14ac:dyDescent="0.25">
      <c r="A179" s="43" t="s">
        <v>443</v>
      </c>
      <c r="B179" s="44">
        <v>7691</v>
      </c>
      <c r="C179" s="46" t="s">
        <v>102</v>
      </c>
      <c r="D179" s="24" t="s">
        <v>367</v>
      </c>
      <c r="E179" s="69">
        <f t="shared" si="97"/>
        <v>0</v>
      </c>
      <c r="F179" s="69"/>
      <c r="G179" s="69"/>
      <c r="H179" s="69"/>
      <c r="I179" s="69"/>
      <c r="J179" s="69">
        <f t="shared" si="99"/>
        <v>833117.12</v>
      </c>
      <c r="K179" s="69"/>
      <c r="L179" s="71"/>
      <c r="M179" s="69"/>
      <c r="N179" s="69"/>
      <c r="O179" s="69">
        <v>833117.12</v>
      </c>
      <c r="P179" s="69">
        <f t="shared" si="98"/>
        <v>833117.12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</row>
    <row r="180" spans="1:529" s="31" customFormat="1" ht="35.25" customHeight="1" x14ac:dyDescent="0.2">
      <c r="A180" s="76" t="s">
        <v>244</v>
      </c>
      <c r="B180" s="74"/>
      <c r="C180" s="74"/>
      <c r="D180" s="30" t="s">
        <v>53</v>
      </c>
      <c r="E180" s="66">
        <f>E181</f>
        <v>9048300</v>
      </c>
      <c r="F180" s="66">
        <f t="shared" ref="F180:J180" si="102">F181</f>
        <v>9048300</v>
      </c>
      <c r="G180" s="66">
        <f t="shared" si="102"/>
        <v>6934200</v>
      </c>
      <c r="H180" s="66">
        <f t="shared" si="102"/>
        <v>92400</v>
      </c>
      <c r="I180" s="66">
        <f t="shared" si="102"/>
        <v>0</v>
      </c>
      <c r="J180" s="66">
        <f t="shared" si="102"/>
        <v>2696249.54</v>
      </c>
      <c r="K180" s="66">
        <f t="shared" ref="K180" si="103">K181</f>
        <v>0</v>
      </c>
      <c r="L180" s="66">
        <f t="shared" ref="L180" si="104">L181</f>
        <v>1946249.54</v>
      </c>
      <c r="M180" s="66">
        <f t="shared" ref="M180" si="105">M181</f>
        <v>0</v>
      </c>
      <c r="N180" s="66">
        <f t="shared" ref="N180" si="106">N181</f>
        <v>0</v>
      </c>
      <c r="O180" s="66">
        <f t="shared" ref="O180:P180" si="107">O181</f>
        <v>750000</v>
      </c>
      <c r="P180" s="66">
        <f t="shared" si="107"/>
        <v>11744549.539999999</v>
      </c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ET180" s="38"/>
      <c r="EU180" s="38"/>
      <c r="EV180" s="38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8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  <c r="GB180" s="38"/>
      <c r="GC180" s="38"/>
      <c r="GD180" s="38"/>
      <c r="GE180" s="38"/>
      <c r="GF180" s="38"/>
      <c r="GG180" s="38"/>
      <c r="GH180" s="38"/>
      <c r="GI180" s="38"/>
      <c r="GJ180" s="38"/>
      <c r="GK180" s="38"/>
      <c r="GL180" s="38"/>
      <c r="GM180" s="38"/>
      <c r="GN180" s="38"/>
      <c r="GO180" s="38"/>
      <c r="GP180" s="38"/>
      <c r="GQ180" s="38"/>
      <c r="GR180" s="38"/>
      <c r="GS180" s="38"/>
      <c r="GT180" s="38"/>
      <c r="GU180" s="38"/>
      <c r="GV180" s="38"/>
      <c r="GW180" s="38"/>
      <c r="GX180" s="38"/>
      <c r="GY180" s="38"/>
      <c r="GZ180" s="38"/>
      <c r="HA180" s="38"/>
      <c r="HB180" s="38"/>
      <c r="HC180" s="38"/>
      <c r="HD180" s="38"/>
      <c r="HE180" s="38"/>
      <c r="HF180" s="38"/>
      <c r="HG180" s="38"/>
      <c r="HH180" s="38"/>
      <c r="HI180" s="38"/>
      <c r="HJ180" s="38"/>
      <c r="HK180" s="38"/>
      <c r="HL180" s="38"/>
      <c r="HM180" s="38"/>
      <c r="HN180" s="38"/>
      <c r="HO180" s="38"/>
      <c r="HP180" s="38"/>
      <c r="HQ180" s="38"/>
      <c r="HR180" s="38"/>
      <c r="HS180" s="38"/>
      <c r="HT180" s="38"/>
      <c r="HU180" s="38"/>
      <c r="HV180" s="38"/>
      <c r="HW180" s="38"/>
      <c r="HX180" s="38"/>
      <c r="HY180" s="38"/>
      <c r="HZ180" s="38"/>
      <c r="IA180" s="38"/>
      <c r="IB180" s="38"/>
      <c r="IC180" s="38"/>
      <c r="ID180" s="38"/>
      <c r="IE180" s="38"/>
      <c r="IF180" s="38"/>
      <c r="IG180" s="38"/>
      <c r="IH180" s="38"/>
      <c r="II180" s="38"/>
      <c r="IJ180" s="38"/>
      <c r="IK180" s="38"/>
      <c r="IL180" s="38"/>
      <c r="IM180" s="38"/>
      <c r="IN180" s="38"/>
      <c r="IO180" s="38"/>
      <c r="IP180" s="38"/>
      <c r="IQ180" s="38"/>
      <c r="IR180" s="38"/>
      <c r="IS180" s="38"/>
      <c r="IT180" s="38"/>
      <c r="IU180" s="38"/>
      <c r="IV180" s="38"/>
      <c r="IW180" s="38"/>
      <c r="IX180" s="38"/>
      <c r="IY180" s="38"/>
      <c r="IZ180" s="38"/>
      <c r="JA180" s="38"/>
      <c r="JB180" s="38"/>
      <c r="JC180" s="38"/>
      <c r="JD180" s="38"/>
      <c r="JE180" s="38"/>
      <c r="JF180" s="38"/>
      <c r="JG180" s="38"/>
      <c r="JH180" s="38"/>
      <c r="JI180" s="38"/>
      <c r="JJ180" s="38"/>
      <c r="JK180" s="38"/>
      <c r="JL180" s="38"/>
      <c r="JM180" s="38"/>
      <c r="JN180" s="38"/>
      <c r="JO180" s="38"/>
      <c r="JP180" s="38"/>
      <c r="JQ180" s="38"/>
      <c r="JR180" s="38"/>
      <c r="JS180" s="38"/>
      <c r="JT180" s="38"/>
      <c r="JU180" s="38"/>
      <c r="JV180" s="38"/>
      <c r="JW180" s="38"/>
      <c r="JX180" s="38"/>
      <c r="JY180" s="38"/>
      <c r="JZ180" s="38"/>
      <c r="KA180" s="38"/>
      <c r="KB180" s="38"/>
      <c r="KC180" s="38"/>
      <c r="KD180" s="38"/>
      <c r="KE180" s="38"/>
      <c r="KF180" s="38"/>
      <c r="KG180" s="38"/>
      <c r="KH180" s="38"/>
      <c r="KI180" s="38"/>
      <c r="KJ180" s="38"/>
      <c r="KK180" s="38"/>
      <c r="KL180" s="38"/>
      <c r="KM180" s="38"/>
      <c r="KN180" s="38"/>
      <c r="KO180" s="38"/>
      <c r="KP180" s="38"/>
      <c r="KQ180" s="38"/>
      <c r="KR180" s="38"/>
      <c r="KS180" s="38"/>
      <c r="KT180" s="38"/>
      <c r="KU180" s="38"/>
      <c r="KV180" s="38"/>
      <c r="KW180" s="38"/>
      <c r="KX180" s="38"/>
      <c r="KY180" s="38"/>
      <c r="KZ180" s="38"/>
      <c r="LA180" s="38"/>
      <c r="LB180" s="38"/>
      <c r="LC180" s="38"/>
      <c r="LD180" s="38"/>
      <c r="LE180" s="38"/>
      <c r="LF180" s="38"/>
      <c r="LG180" s="38"/>
      <c r="LH180" s="38"/>
      <c r="LI180" s="38"/>
      <c r="LJ180" s="38"/>
      <c r="LK180" s="38"/>
      <c r="LL180" s="38"/>
      <c r="LM180" s="38"/>
      <c r="LN180" s="38"/>
      <c r="LO180" s="38"/>
      <c r="LP180" s="38"/>
      <c r="LQ180" s="38"/>
      <c r="LR180" s="38"/>
      <c r="LS180" s="38"/>
      <c r="LT180" s="38"/>
      <c r="LU180" s="38"/>
      <c r="LV180" s="38"/>
      <c r="LW180" s="38"/>
      <c r="LX180" s="38"/>
      <c r="LY180" s="38"/>
      <c r="LZ180" s="38"/>
      <c r="MA180" s="38"/>
      <c r="MB180" s="38"/>
      <c r="MC180" s="38"/>
      <c r="MD180" s="38"/>
      <c r="ME180" s="38"/>
      <c r="MF180" s="38"/>
      <c r="MG180" s="38"/>
      <c r="MH180" s="38"/>
      <c r="MI180" s="38"/>
      <c r="MJ180" s="38"/>
      <c r="MK180" s="38"/>
      <c r="ML180" s="38"/>
      <c r="MM180" s="38"/>
      <c r="MN180" s="38"/>
      <c r="MO180" s="38"/>
      <c r="MP180" s="38"/>
      <c r="MQ180" s="38"/>
      <c r="MR180" s="38"/>
      <c r="MS180" s="38"/>
      <c r="MT180" s="38"/>
      <c r="MU180" s="38"/>
      <c r="MV180" s="38"/>
      <c r="MW180" s="38"/>
      <c r="MX180" s="38"/>
      <c r="MY180" s="38"/>
      <c r="MZ180" s="38"/>
      <c r="NA180" s="38"/>
      <c r="NB180" s="38"/>
      <c r="NC180" s="38"/>
      <c r="ND180" s="38"/>
      <c r="NE180" s="38"/>
      <c r="NF180" s="38"/>
      <c r="NG180" s="38"/>
      <c r="NH180" s="38"/>
      <c r="NI180" s="38"/>
      <c r="NJ180" s="38"/>
      <c r="NK180" s="38"/>
      <c r="NL180" s="38"/>
      <c r="NM180" s="38"/>
      <c r="NN180" s="38"/>
      <c r="NO180" s="38"/>
      <c r="NP180" s="38"/>
      <c r="NQ180" s="38"/>
      <c r="NR180" s="38"/>
      <c r="NS180" s="38"/>
      <c r="NT180" s="38"/>
      <c r="NU180" s="38"/>
      <c r="NV180" s="38"/>
      <c r="NW180" s="38"/>
      <c r="NX180" s="38"/>
      <c r="NY180" s="38"/>
      <c r="NZ180" s="38"/>
      <c r="OA180" s="38"/>
      <c r="OB180" s="38"/>
      <c r="OC180" s="38"/>
      <c r="OD180" s="38"/>
      <c r="OE180" s="38"/>
      <c r="OF180" s="38"/>
      <c r="OG180" s="38"/>
      <c r="OH180" s="38"/>
      <c r="OI180" s="38"/>
      <c r="OJ180" s="38"/>
      <c r="OK180" s="38"/>
      <c r="OL180" s="38"/>
      <c r="OM180" s="38"/>
      <c r="ON180" s="38"/>
      <c r="OO180" s="38"/>
      <c r="OP180" s="38"/>
      <c r="OQ180" s="38"/>
      <c r="OR180" s="38"/>
      <c r="OS180" s="38"/>
      <c r="OT180" s="38"/>
      <c r="OU180" s="38"/>
      <c r="OV180" s="38"/>
      <c r="OW180" s="38"/>
      <c r="OX180" s="38"/>
      <c r="OY180" s="38"/>
      <c r="OZ180" s="38"/>
      <c r="PA180" s="38"/>
      <c r="PB180" s="38"/>
      <c r="PC180" s="38"/>
      <c r="PD180" s="38"/>
      <c r="PE180" s="38"/>
      <c r="PF180" s="38"/>
      <c r="PG180" s="38"/>
      <c r="PH180" s="38"/>
      <c r="PI180" s="38"/>
      <c r="PJ180" s="38"/>
      <c r="PK180" s="38"/>
      <c r="PL180" s="38"/>
      <c r="PM180" s="38"/>
      <c r="PN180" s="38"/>
      <c r="PO180" s="38"/>
      <c r="PP180" s="38"/>
      <c r="PQ180" s="38"/>
      <c r="PR180" s="38"/>
      <c r="PS180" s="38"/>
      <c r="PT180" s="38"/>
      <c r="PU180" s="38"/>
      <c r="PV180" s="38"/>
      <c r="PW180" s="38"/>
      <c r="PX180" s="38"/>
      <c r="PY180" s="38"/>
      <c r="PZ180" s="38"/>
      <c r="QA180" s="38"/>
      <c r="QB180" s="38"/>
      <c r="QC180" s="38"/>
      <c r="QD180" s="38"/>
      <c r="QE180" s="38"/>
      <c r="QF180" s="38"/>
      <c r="QG180" s="38"/>
      <c r="QH180" s="38"/>
      <c r="QI180" s="38"/>
      <c r="QJ180" s="38"/>
      <c r="QK180" s="38"/>
      <c r="QL180" s="38"/>
      <c r="QM180" s="38"/>
      <c r="QN180" s="38"/>
      <c r="QO180" s="38"/>
      <c r="QP180" s="38"/>
      <c r="QQ180" s="38"/>
      <c r="QR180" s="38"/>
      <c r="QS180" s="38"/>
      <c r="QT180" s="38"/>
      <c r="QU180" s="38"/>
      <c r="QV180" s="38"/>
      <c r="QW180" s="38"/>
      <c r="QX180" s="38"/>
      <c r="QY180" s="38"/>
      <c r="QZ180" s="38"/>
      <c r="RA180" s="38"/>
      <c r="RB180" s="38"/>
      <c r="RC180" s="38"/>
      <c r="RD180" s="38"/>
      <c r="RE180" s="38"/>
      <c r="RF180" s="38"/>
      <c r="RG180" s="38"/>
      <c r="RH180" s="38"/>
      <c r="RI180" s="38"/>
      <c r="RJ180" s="38"/>
      <c r="RK180" s="38"/>
      <c r="RL180" s="38"/>
      <c r="RM180" s="38"/>
      <c r="RN180" s="38"/>
      <c r="RO180" s="38"/>
      <c r="RP180" s="38"/>
      <c r="RQ180" s="38"/>
      <c r="RR180" s="38"/>
      <c r="RS180" s="38"/>
      <c r="RT180" s="38"/>
      <c r="RU180" s="38"/>
      <c r="RV180" s="38"/>
      <c r="RW180" s="38"/>
      <c r="RX180" s="38"/>
      <c r="RY180" s="38"/>
      <c r="RZ180" s="38"/>
      <c r="SA180" s="38"/>
      <c r="SB180" s="38"/>
      <c r="SC180" s="38"/>
      <c r="SD180" s="38"/>
      <c r="SE180" s="38"/>
      <c r="SF180" s="38"/>
      <c r="SG180" s="38"/>
      <c r="SH180" s="38"/>
      <c r="SI180" s="38"/>
      <c r="SJ180" s="38"/>
      <c r="SK180" s="38"/>
      <c r="SL180" s="38"/>
      <c r="SM180" s="38"/>
      <c r="SN180" s="38"/>
      <c r="SO180" s="38"/>
      <c r="SP180" s="38"/>
      <c r="SQ180" s="38"/>
      <c r="SR180" s="38"/>
      <c r="SS180" s="38"/>
      <c r="ST180" s="38"/>
      <c r="SU180" s="38"/>
      <c r="SV180" s="38"/>
      <c r="SW180" s="38"/>
      <c r="SX180" s="38"/>
      <c r="SY180" s="38"/>
      <c r="SZ180" s="38"/>
      <c r="TA180" s="38"/>
      <c r="TB180" s="38"/>
      <c r="TC180" s="38"/>
      <c r="TD180" s="38"/>
      <c r="TE180" s="38"/>
      <c r="TF180" s="38"/>
      <c r="TG180" s="38"/>
      <c r="TH180" s="38"/>
      <c r="TI180" s="38"/>
    </row>
    <row r="181" spans="1:529" s="40" customFormat="1" ht="41.25" customHeight="1" x14ac:dyDescent="0.25">
      <c r="A181" s="77" t="s">
        <v>245</v>
      </c>
      <c r="B181" s="75"/>
      <c r="C181" s="75"/>
      <c r="D181" s="33" t="s">
        <v>53</v>
      </c>
      <c r="E181" s="68">
        <f>E182+E183+E184</f>
        <v>9048300</v>
      </c>
      <c r="F181" s="68">
        <f t="shared" ref="F181:P181" si="108">F182+F183+F184</f>
        <v>9048300</v>
      </c>
      <c r="G181" s="68">
        <f t="shared" si="108"/>
        <v>6934200</v>
      </c>
      <c r="H181" s="68">
        <f t="shared" si="108"/>
        <v>92400</v>
      </c>
      <c r="I181" s="68">
        <f t="shared" si="108"/>
        <v>0</v>
      </c>
      <c r="J181" s="68">
        <f t="shared" si="108"/>
        <v>2696249.54</v>
      </c>
      <c r="K181" s="68">
        <f t="shared" si="108"/>
        <v>0</v>
      </c>
      <c r="L181" s="68">
        <f>L182+L183+L184</f>
        <v>1946249.54</v>
      </c>
      <c r="M181" s="68">
        <f t="shared" si="108"/>
        <v>0</v>
      </c>
      <c r="N181" s="68">
        <f t="shared" si="108"/>
        <v>0</v>
      </c>
      <c r="O181" s="68">
        <f t="shared" si="108"/>
        <v>750000</v>
      </c>
      <c r="P181" s="68">
        <f t="shared" si="108"/>
        <v>11744549.539999999</v>
      </c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  <c r="IU181" s="39"/>
      <c r="IV181" s="39"/>
      <c r="IW181" s="39"/>
      <c r="IX181" s="39"/>
      <c r="IY181" s="39"/>
      <c r="IZ181" s="39"/>
      <c r="JA181" s="39"/>
      <c r="JB181" s="39"/>
      <c r="JC181" s="39"/>
      <c r="JD181" s="39"/>
      <c r="JE181" s="39"/>
      <c r="JF181" s="39"/>
      <c r="JG181" s="39"/>
      <c r="JH181" s="39"/>
      <c r="JI181" s="39"/>
      <c r="JJ181" s="39"/>
      <c r="JK181" s="39"/>
      <c r="JL181" s="39"/>
      <c r="JM181" s="39"/>
      <c r="JN181" s="39"/>
      <c r="JO181" s="39"/>
      <c r="JP181" s="39"/>
      <c r="JQ181" s="39"/>
      <c r="JR181" s="39"/>
      <c r="JS181" s="39"/>
      <c r="JT181" s="39"/>
      <c r="JU181" s="39"/>
      <c r="JV181" s="39"/>
      <c r="JW181" s="39"/>
      <c r="JX181" s="39"/>
      <c r="JY181" s="39"/>
      <c r="JZ181" s="39"/>
      <c r="KA181" s="39"/>
      <c r="KB181" s="39"/>
      <c r="KC181" s="39"/>
      <c r="KD181" s="39"/>
      <c r="KE181" s="39"/>
      <c r="KF181" s="39"/>
      <c r="KG181" s="39"/>
      <c r="KH181" s="39"/>
      <c r="KI181" s="39"/>
      <c r="KJ181" s="39"/>
      <c r="KK181" s="39"/>
      <c r="KL181" s="39"/>
      <c r="KM181" s="39"/>
      <c r="KN181" s="39"/>
      <c r="KO181" s="39"/>
      <c r="KP181" s="39"/>
      <c r="KQ181" s="39"/>
      <c r="KR181" s="39"/>
      <c r="KS181" s="39"/>
      <c r="KT181" s="39"/>
      <c r="KU181" s="39"/>
      <c r="KV181" s="39"/>
      <c r="KW181" s="39"/>
      <c r="KX181" s="39"/>
      <c r="KY181" s="39"/>
      <c r="KZ181" s="39"/>
      <c r="LA181" s="39"/>
      <c r="LB181" s="39"/>
      <c r="LC181" s="39"/>
      <c r="LD181" s="39"/>
      <c r="LE181" s="39"/>
      <c r="LF181" s="39"/>
      <c r="LG181" s="39"/>
      <c r="LH181" s="39"/>
      <c r="LI181" s="39"/>
      <c r="LJ181" s="39"/>
      <c r="LK181" s="39"/>
      <c r="LL181" s="39"/>
      <c r="LM181" s="39"/>
      <c r="LN181" s="39"/>
      <c r="LO181" s="39"/>
      <c r="LP181" s="39"/>
      <c r="LQ181" s="39"/>
      <c r="LR181" s="39"/>
      <c r="LS181" s="39"/>
      <c r="LT181" s="39"/>
      <c r="LU181" s="39"/>
      <c r="LV181" s="39"/>
      <c r="LW181" s="39"/>
      <c r="LX181" s="39"/>
      <c r="LY181" s="39"/>
      <c r="LZ181" s="39"/>
      <c r="MA181" s="39"/>
      <c r="MB181" s="39"/>
      <c r="MC181" s="39"/>
      <c r="MD181" s="39"/>
      <c r="ME181" s="39"/>
      <c r="MF181" s="39"/>
      <c r="MG181" s="39"/>
      <c r="MH181" s="39"/>
      <c r="MI181" s="39"/>
      <c r="MJ181" s="39"/>
      <c r="MK181" s="39"/>
      <c r="ML181" s="39"/>
      <c r="MM181" s="39"/>
      <c r="MN181" s="39"/>
      <c r="MO181" s="39"/>
      <c r="MP181" s="39"/>
      <c r="MQ181" s="39"/>
      <c r="MR181" s="39"/>
      <c r="MS181" s="39"/>
      <c r="MT181" s="39"/>
      <c r="MU181" s="39"/>
      <c r="MV181" s="39"/>
      <c r="MW181" s="39"/>
      <c r="MX181" s="39"/>
      <c r="MY181" s="39"/>
      <c r="MZ181" s="39"/>
      <c r="NA181" s="39"/>
      <c r="NB181" s="39"/>
      <c r="NC181" s="39"/>
      <c r="ND181" s="39"/>
      <c r="NE181" s="39"/>
      <c r="NF181" s="39"/>
      <c r="NG181" s="39"/>
      <c r="NH181" s="39"/>
      <c r="NI181" s="39"/>
      <c r="NJ181" s="39"/>
      <c r="NK181" s="39"/>
      <c r="NL181" s="39"/>
      <c r="NM181" s="39"/>
      <c r="NN181" s="39"/>
      <c r="NO181" s="39"/>
      <c r="NP181" s="39"/>
      <c r="NQ181" s="39"/>
      <c r="NR181" s="39"/>
      <c r="NS181" s="39"/>
      <c r="NT181" s="39"/>
      <c r="NU181" s="39"/>
      <c r="NV181" s="39"/>
      <c r="NW181" s="39"/>
      <c r="NX181" s="39"/>
      <c r="NY181" s="39"/>
      <c r="NZ181" s="39"/>
      <c r="OA181" s="39"/>
      <c r="OB181" s="39"/>
      <c r="OC181" s="39"/>
      <c r="OD181" s="39"/>
      <c r="OE181" s="39"/>
      <c r="OF181" s="39"/>
      <c r="OG181" s="39"/>
      <c r="OH181" s="39"/>
      <c r="OI181" s="39"/>
      <c r="OJ181" s="39"/>
      <c r="OK181" s="39"/>
      <c r="OL181" s="39"/>
      <c r="OM181" s="39"/>
      <c r="ON181" s="39"/>
      <c r="OO181" s="39"/>
      <c r="OP181" s="39"/>
      <c r="OQ181" s="39"/>
      <c r="OR181" s="39"/>
      <c r="OS181" s="39"/>
      <c r="OT181" s="39"/>
      <c r="OU181" s="39"/>
      <c r="OV181" s="39"/>
      <c r="OW181" s="39"/>
      <c r="OX181" s="39"/>
      <c r="OY181" s="39"/>
      <c r="OZ181" s="39"/>
      <c r="PA181" s="39"/>
      <c r="PB181" s="39"/>
      <c r="PC181" s="39"/>
      <c r="PD181" s="39"/>
      <c r="PE181" s="39"/>
      <c r="PF181" s="39"/>
      <c r="PG181" s="39"/>
      <c r="PH181" s="39"/>
      <c r="PI181" s="39"/>
      <c r="PJ181" s="39"/>
      <c r="PK181" s="39"/>
      <c r="PL181" s="39"/>
      <c r="PM181" s="39"/>
      <c r="PN181" s="39"/>
      <c r="PO181" s="39"/>
      <c r="PP181" s="39"/>
      <c r="PQ181" s="39"/>
      <c r="PR181" s="39"/>
      <c r="PS181" s="39"/>
      <c r="PT181" s="39"/>
      <c r="PU181" s="39"/>
      <c r="PV181" s="39"/>
      <c r="PW181" s="39"/>
      <c r="PX181" s="39"/>
      <c r="PY181" s="39"/>
      <c r="PZ181" s="39"/>
      <c r="QA181" s="39"/>
      <c r="QB181" s="39"/>
      <c r="QC181" s="39"/>
      <c r="QD181" s="39"/>
      <c r="QE181" s="39"/>
      <c r="QF181" s="39"/>
      <c r="QG181" s="39"/>
      <c r="QH181" s="39"/>
      <c r="QI181" s="39"/>
      <c r="QJ181" s="39"/>
      <c r="QK181" s="39"/>
      <c r="QL181" s="39"/>
      <c r="QM181" s="39"/>
      <c r="QN181" s="39"/>
      <c r="QO181" s="39"/>
      <c r="QP181" s="39"/>
      <c r="QQ181" s="39"/>
      <c r="QR181" s="39"/>
      <c r="QS181" s="39"/>
      <c r="QT181" s="39"/>
      <c r="QU181" s="39"/>
      <c r="QV181" s="39"/>
      <c r="QW181" s="39"/>
      <c r="QX181" s="39"/>
      <c r="QY181" s="39"/>
      <c r="QZ181" s="39"/>
      <c r="RA181" s="39"/>
      <c r="RB181" s="39"/>
      <c r="RC181" s="39"/>
      <c r="RD181" s="39"/>
      <c r="RE181" s="39"/>
      <c r="RF181" s="39"/>
      <c r="RG181" s="39"/>
      <c r="RH181" s="39"/>
      <c r="RI181" s="39"/>
      <c r="RJ181" s="39"/>
      <c r="RK181" s="39"/>
      <c r="RL181" s="39"/>
      <c r="RM181" s="39"/>
      <c r="RN181" s="39"/>
      <c r="RO181" s="39"/>
      <c r="RP181" s="39"/>
      <c r="RQ181" s="39"/>
      <c r="RR181" s="39"/>
      <c r="RS181" s="39"/>
      <c r="RT181" s="39"/>
      <c r="RU181" s="39"/>
      <c r="RV181" s="39"/>
      <c r="RW181" s="39"/>
      <c r="RX181" s="39"/>
      <c r="RY181" s="39"/>
      <c r="RZ181" s="39"/>
      <c r="SA181" s="39"/>
      <c r="SB181" s="39"/>
      <c r="SC181" s="39"/>
      <c r="SD181" s="39"/>
      <c r="SE181" s="39"/>
      <c r="SF181" s="39"/>
      <c r="SG181" s="39"/>
      <c r="SH181" s="39"/>
      <c r="SI181" s="39"/>
      <c r="SJ181" s="39"/>
      <c r="SK181" s="39"/>
      <c r="SL181" s="39"/>
      <c r="SM181" s="39"/>
      <c r="SN181" s="39"/>
      <c r="SO181" s="39"/>
      <c r="SP181" s="39"/>
      <c r="SQ181" s="39"/>
      <c r="SR181" s="39"/>
      <c r="SS181" s="39"/>
      <c r="ST181" s="39"/>
      <c r="SU181" s="39"/>
      <c r="SV181" s="39"/>
      <c r="SW181" s="39"/>
      <c r="SX181" s="39"/>
      <c r="SY181" s="39"/>
      <c r="SZ181" s="39"/>
      <c r="TA181" s="39"/>
      <c r="TB181" s="39"/>
      <c r="TC181" s="39"/>
      <c r="TD181" s="39"/>
      <c r="TE181" s="39"/>
      <c r="TF181" s="39"/>
      <c r="TG181" s="39"/>
      <c r="TH181" s="39"/>
      <c r="TI181" s="39"/>
    </row>
    <row r="182" spans="1:529" s="23" customFormat="1" ht="45" customHeight="1" x14ac:dyDescent="0.25">
      <c r="A182" s="43" t="s">
        <v>246</v>
      </c>
      <c r="B182" s="44" t="str">
        <f>'дод 4'!A20</f>
        <v>0160</v>
      </c>
      <c r="C182" s="44" t="str">
        <f>'дод 4'!B20</f>
        <v>0111</v>
      </c>
      <c r="D18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82" s="69">
        <f>F182+I182</f>
        <v>8873300</v>
      </c>
      <c r="F182" s="69">
        <f>8936200+12100+288619-394119+50000-19500</f>
        <v>8873300</v>
      </c>
      <c r="G182" s="69">
        <f>7036700+236573-323073-16000</f>
        <v>6934200</v>
      </c>
      <c r="H182" s="69">
        <v>92400</v>
      </c>
      <c r="I182" s="69"/>
      <c r="J182" s="69">
        <f t="shared" si="99"/>
        <v>0</v>
      </c>
      <c r="K182" s="69"/>
      <c r="L182" s="69"/>
      <c r="M182" s="69"/>
      <c r="N182" s="69"/>
      <c r="O182" s="69"/>
      <c r="P182" s="69">
        <f>E182+J182</f>
        <v>8873300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</row>
    <row r="183" spans="1:529" s="23" customFormat="1" ht="34.5" customHeight="1" x14ac:dyDescent="0.25">
      <c r="A183" s="43" t="s">
        <v>363</v>
      </c>
      <c r="B183" s="44" t="str">
        <f>'дод 4'!A97</f>
        <v>6090</v>
      </c>
      <c r="C183" s="44" t="str">
        <f>'дод 4'!B97</f>
        <v>0640</v>
      </c>
      <c r="D183" s="24" t="str">
        <f>'дод 4'!C97</f>
        <v>Інша діяльність у сфері житлово-комунального господарства</v>
      </c>
      <c r="E183" s="69">
        <f>F183+I183</f>
        <v>175000</v>
      </c>
      <c r="F183" s="69">
        <v>175000</v>
      </c>
      <c r="G183" s="69"/>
      <c r="H183" s="69"/>
      <c r="I183" s="69"/>
      <c r="J183" s="69">
        <f t="shared" si="99"/>
        <v>0</v>
      </c>
      <c r="K183" s="69"/>
      <c r="L183" s="69"/>
      <c r="M183" s="69"/>
      <c r="N183" s="69"/>
      <c r="O183" s="69"/>
      <c r="P183" s="69">
        <f>E183+J183</f>
        <v>175000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</row>
    <row r="184" spans="1:529" s="23" customFormat="1" ht="87.75" customHeight="1" x14ac:dyDescent="0.25">
      <c r="A184" s="52" t="s">
        <v>349</v>
      </c>
      <c r="B184" s="45" t="str">
        <f>'дод 4'!A130</f>
        <v>7691</v>
      </c>
      <c r="C184" s="45" t="str">
        <f>'дод 4'!B130</f>
        <v>0490</v>
      </c>
      <c r="D184" s="22" t="str">
        <f>'дод 4'!C130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4" s="69">
        <f>F184+I184</f>
        <v>0</v>
      </c>
      <c r="F184" s="69"/>
      <c r="G184" s="69"/>
      <c r="H184" s="69"/>
      <c r="I184" s="69"/>
      <c r="J184" s="69">
        <f t="shared" si="99"/>
        <v>2696249.54</v>
      </c>
      <c r="K184" s="69"/>
      <c r="L184" s="69">
        <f>1321371+1074878.54-450000</f>
        <v>1946249.54</v>
      </c>
      <c r="M184" s="69"/>
      <c r="N184" s="69"/>
      <c r="O184" s="69">
        <f>300000+450000</f>
        <v>750000</v>
      </c>
      <c r="P184" s="69">
        <f>E184+J184</f>
        <v>2696249.54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</row>
    <row r="185" spans="1:529" s="31" customFormat="1" ht="36.75" customHeight="1" x14ac:dyDescent="0.2">
      <c r="A185" s="76" t="s">
        <v>249</v>
      </c>
      <c r="B185" s="74"/>
      <c r="C185" s="74"/>
      <c r="D185" s="30" t="s">
        <v>56</v>
      </c>
      <c r="E185" s="66">
        <f>E186</f>
        <v>4521518</v>
      </c>
      <c r="F185" s="66">
        <f t="shared" ref="F185:J186" si="109">F186</f>
        <v>4521518</v>
      </c>
      <c r="G185" s="66">
        <f t="shared" si="109"/>
        <v>3508625</v>
      </c>
      <c r="H185" s="66">
        <f t="shared" si="109"/>
        <v>52700</v>
      </c>
      <c r="I185" s="66">
        <f t="shared" si="109"/>
        <v>0</v>
      </c>
      <c r="J185" s="66">
        <f t="shared" si="109"/>
        <v>0</v>
      </c>
      <c r="K185" s="66">
        <f t="shared" ref="K185:K186" si="110">K186</f>
        <v>0</v>
      </c>
      <c r="L185" s="66">
        <f t="shared" ref="L185:L186" si="111">L186</f>
        <v>0</v>
      </c>
      <c r="M185" s="66">
        <f t="shared" ref="M185:M186" si="112">M186</f>
        <v>0</v>
      </c>
      <c r="N185" s="66">
        <f t="shared" ref="N185:N186" si="113">N186</f>
        <v>0</v>
      </c>
      <c r="O185" s="66">
        <f t="shared" ref="O185:P186" si="114">O186</f>
        <v>0</v>
      </c>
      <c r="P185" s="66">
        <f t="shared" si="114"/>
        <v>4521518</v>
      </c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  <c r="IH185" s="38"/>
      <c r="II185" s="38"/>
      <c r="IJ185" s="38"/>
      <c r="IK185" s="38"/>
      <c r="IL185" s="38"/>
      <c r="IM185" s="38"/>
      <c r="IN185" s="38"/>
      <c r="IO185" s="38"/>
      <c r="IP185" s="38"/>
      <c r="IQ185" s="38"/>
      <c r="IR185" s="38"/>
      <c r="IS185" s="38"/>
      <c r="IT185" s="38"/>
      <c r="IU185" s="38"/>
      <c r="IV185" s="38"/>
      <c r="IW185" s="38"/>
      <c r="IX185" s="38"/>
      <c r="IY185" s="38"/>
      <c r="IZ185" s="38"/>
      <c r="JA185" s="38"/>
      <c r="JB185" s="38"/>
      <c r="JC185" s="38"/>
      <c r="JD185" s="38"/>
      <c r="JE185" s="38"/>
      <c r="JF185" s="38"/>
      <c r="JG185" s="38"/>
      <c r="JH185" s="38"/>
      <c r="JI185" s="38"/>
      <c r="JJ185" s="38"/>
      <c r="JK185" s="38"/>
      <c r="JL185" s="38"/>
      <c r="JM185" s="38"/>
      <c r="JN185" s="38"/>
      <c r="JO185" s="38"/>
      <c r="JP185" s="38"/>
      <c r="JQ185" s="38"/>
      <c r="JR185" s="38"/>
      <c r="JS185" s="38"/>
      <c r="JT185" s="38"/>
      <c r="JU185" s="38"/>
      <c r="JV185" s="38"/>
      <c r="JW185" s="38"/>
      <c r="JX185" s="38"/>
      <c r="JY185" s="38"/>
      <c r="JZ185" s="38"/>
      <c r="KA185" s="38"/>
      <c r="KB185" s="38"/>
      <c r="KC185" s="38"/>
      <c r="KD185" s="38"/>
      <c r="KE185" s="38"/>
      <c r="KF185" s="38"/>
      <c r="KG185" s="38"/>
      <c r="KH185" s="38"/>
      <c r="KI185" s="38"/>
      <c r="KJ185" s="38"/>
      <c r="KK185" s="38"/>
      <c r="KL185" s="38"/>
      <c r="KM185" s="38"/>
      <c r="KN185" s="38"/>
      <c r="KO185" s="38"/>
      <c r="KP185" s="38"/>
      <c r="KQ185" s="38"/>
      <c r="KR185" s="38"/>
      <c r="KS185" s="38"/>
      <c r="KT185" s="38"/>
      <c r="KU185" s="38"/>
      <c r="KV185" s="38"/>
      <c r="KW185" s="38"/>
      <c r="KX185" s="38"/>
      <c r="KY185" s="38"/>
      <c r="KZ185" s="38"/>
      <c r="LA185" s="38"/>
      <c r="LB185" s="38"/>
      <c r="LC185" s="38"/>
      <c r="LD185" s="38"/>
      <c r="LE185" s="38"/>
      <c r="LF185" s="38"/>
      <c r="LG185" s="38"/>
      <c r="LH185" s="38"/>
      <c r="LI185" s="38"/>
      <c r="LJ185" s="38"/>
      <c r="LK185" s="38"/>
      <c r="LL185" s="38"/>
      <c r="LM185" s="38"/>
      <c r="LN185" s="38"/>
      <c r="LO185" s="38"/>
      <c r="LP185" s="38"/>
      <c r="LQ185" s="38"/>
      <c r="LR185" s="38"/>
      <c r="LS185" s="38"/>
      <c r="LT185" s="38"/>
      <c r="LU185" s="38"/>
      <c r="LV185" s="38"/>
      <c r="LW185" s="38"/>
      <c r="LX185" s="38"/>
      <c r="LY185" s="38"/>
      <c r="LZ185" s="38"/>
      <c r="MA185" s="38"/>
      <c r="MB185" s="38"/>
      <c r="MC185" s="38"/>
      <c r="MD185" s="38"/>
      <c r="ME185" s="38"/>
      <c r="MF185" s="38"/>
      <c r="MG185" s="38"/>
      <c r="MH185" s="38"/>
      <c r="MI185" s="38"/>
      <c r="MJ185" s="38"/>
      <c r="MK185" s="38"/>
      <c r="ML185" s="38"/>
      <c r="MM185" s="38"/>
      <c r="MN185" s="38"/>
      <c r="MO185" s="38"/>
      <c r="MP185" s="38"/>
      <c r="MQ185" s="38"/>
      <c r="MR185" s="38"/>
      <c r="MS185" s="38"/>
      <c r="MT185" s="38"/>
      <c r="MU185" s="38"/>
      <c r="MV185" s="38"/>
      <c r="MW185" s="38"/>
      <c r="MX185" s="38"/>
      <c r="MY185" s="38"/>
      <c r="MZ185" s="38"/>
      <c r="NA185" s="38"/>
      <c r="NB185" s="38"/>
      <c r="NC185" s="38"/>
      <c r="ND185" s="38"/>
      <c r="NE185" s="38"/>
      <c r="NF185" s="38"/>
      <c r="NG185" s="38"/>
      <c r="NH185" s="38"/>
      <c r="NI185" s="38"/>
      <c r="NJ185" s="38"/>
      <c r="NK185" s="38"/>
      <c r="NL185" s="38"/>
      <c r="NM185" s="38"/>
      <c r="NN185" s="38"/>
      <c r="NO185" s="38"/>
      <c r="NP185" s="38"/>
      <c r="NQ185" s="38"/>
      <c r="NR185" s="38"/>
      <c r="NS185" s="38"/>
      <c r="NT185" s="38"/>
      <c r="NU185" s="38"/>
      <c r="NV185" s="38"/>
      <c r="NW185" s="38"/>
      <c r="NX185" s="38"/>
      <c r="NY185" s="38"/>
      <c r="NZ185" s="38"/>
      <c r="OA185" s="38"/>
      <c r="OB185" s="38"/>
      <c r="OC185" s="38"/>
      <c r="OD185" s="38"/>
      <c r="OE185" s="38"/>
      <c r="OF185" s="38"/>
      <c r="OG185" s="38"/>
      <c r="OH185" s="38"/>
      <c r="OI185" s="38"/>
      <c r="OJ185" s="38"/>
      <c r="OK185" s="38"/>
      <c r="OL185" s="38"/>
      <c r="OM185" s="38"/>
      <c r="ON185" s="38"/>
      <c r="OO185" s="38"/>
      <c r="OP185" s="38"/>
      <c r="OQ185" s="38"/>
      <c r="OR185" s="38"/>
      <c r="OS185" s="38"/>
      <c r="OT185" s="38"/>
      <c r="OU185" s="38"/>
      <c r="OV185" s="38"/>
      <c r="OW185" s="38"/>
      <c r="OX185" s="38"/>
      <c r="OY185" s="38"/>
      <c r="OZ185" s="38"/>
      <c r="PA185" s="38"/>
      <c r="PB185" s="38"/>
      <c r="PC185" s="38"/>
      <c r="PD185" s="38"/>
      <c r="PE185" s="38"/>
      <c r="PF185" s="38"/>
      <c r="PG185" s="38"/>
      <c r="PH185" s="38"/>
      <c r="PI185" s="38"/>
      <c r="PJ185" s="38"/>
      <c r="PK185" s="38"/>
      <c r="PL185" s="38"/>
      <c r="PM185" s="38"/>
      <c r="PN185" s="38"/>
      <c r="PO185" s="38"/>
      <c r="PP185" s="38"/>
      <c r="PQ185" s="38"/>
      <c r="PR185" s="38"/>
      <c r="PS185" s="38"/>
      <c r="PT185" s="38"/>
      <c r="PU185" s="38"/>
      <c r="PV185" s="38"/>
      <c r="PW185" s="38"/>
      <c r="PX185" s="38"/>
      <c r="PY185" s="38"/>
      <c r="PZ185" s="38"/>
      <c r="QA185" s="38"/>
      <c r="QB185" s="38"/>
      <c r="QC185" s="38"/>
      <c r="QD185" s="38"/>
      <c r="QE185" s="38"/>
      <c r="QF185" s="38"/>
      <c r="QG185" s="38"/>
      <c r="QH185" s="38"/>
      <c r="QI185" s="38"/>
      <c r="QJ185" s="38"/>
      <c r="QK185" s="38"/>
      <c r="QL185" s="38"/>
      <c r="QM185" s="38"/>
      <c r="QN185" s="38"/>
      <c r="QO185" s="38"/>
      <c r="QP185" s="38"/>
      <c r="QQ185" s="38"/>
      <c r="QR185" s="38"/>
      <c r="QS185" s="38"/>
      <c r="QT185" s="38"/>
      <c r="QU185" s="38"/>
      <c r="QV185" s="38"/>
      <c r="QW185" s="38"/>
      <c r="QX185" s="38"/>
      <c r="QY185" s="38"/>
      <c r="QZ185" s="38"/>
      <c r="RA185" s="38"/>
      <c r="RB185" s="38"/>
      <c r="RC185" s="38"/>
      <c r="RD185" s="38"/>
      <c r="RE185" s="38"/>
      <c r="RF185" s="38"/>
      <c r="RG185" s="38"/>
      <c r="RH185" s="38"/>
      <c r="RI185" s="38"/>
      <c r="RJ185" s="38"/>
      <c r="RK185" s="38"/>
      <c r="RL185" s="38"/>
      <c r="RM185" s="38"/>
      <c r="RN185" s="38"/>
      <c r="RO185" s="38"/>
      <c r="RP185" s="38"/>
      <c r="RQ185" s="38"/>
      <c r="RR185" s="38"/>
      <c r="RS185" s="38"/>
      <c r="RT185" s="38"/>
      <c r="RU185" s="38"/>
      <c r="RV185" s="38"/>
      <c r="RW185" s="38"/>
      <c r="RX185" s="38"/>
      <c r="RY185" s="38"/>
      <c r="RZ185" s="38"/>
      <c r="SA185" s="38"/>
      <c r="SB185" s="38"/>
      <c r="SC185" s="38"/>
      <c r="SD185" s="38"/>
      <c r="SE185" s="38"/>
      <c r="SF185" s="38"/>
      <c r="SG185" s="38"/>
      <c r="SH185" s="38"/>
      <c r="SI185" s="38"/>
      <c r="SJ185" s="38"/>
      <c r="SK185" s="38"/>
      <c r="SL185" s="38"/>
      <c r="SM185" s="38"/>
      <c r="SN185" s="38"/>
      <c r="SO185" s="38"/>
      <c r="SP185" s="38"/>
      <c r="SQ185" s="38"/>
      <c r="SR185" s="38"/>
      <c r="SS185" s="38"/>
      <c r="ST185" s="38"/>
      <c r="SU185" s="38"/>
      <c r="SV185" s="38"/>
      <c r="SW185" s="38"/>
      <c r="SX185" s="38"/>
      <c r="SY185" s="38"/>
      <c r="SZ185" s="38"/>
      <c r="TA185" s="38"/>
      <c r="TB185" s="38"/>
      <c r="TC185" s="38"/>
      <c r="TD185" s="38"/>
      <c r="TE185" s="38"/>
      <c r="TF185" s="38"/>
      <c r="TG185" s="38"/>
      <c r="TH185" s="38"/>
      <c r="TI185" s="38"/>
    </row>
    <row r="186" spans="1:529" s="40" customFormat="1" ht="35.25" customHeight="1" x14ac:dyDescent="0.25">
      <c r="A186" s="77" t="s">
        <v>247</v>
      </c>
      <c r="B186" s="75"/>
      <c r="C186" s="75"/>
      <c r="D186" s="33" t="s">
        <v>56</v>
      </c>
      <c r="E186" s="68">
        <f>E187</f>
        <v>4521518</v>
      </c>
      <c r="F186" s="68">
        <f t="shared" si="109"/>
        <v>4521518</v>
      </c>
      <c r="G186" s="68">
        <f t="shared" si="109"/>
        <v>3508625</v>
      </c>
      <c r="H186" s="68">
        <f t="shared" si="109"/>
        <v>52700</v>
      </c>
      <c r="I186" s="68">
        <f t="shared" si="109"/>
        <v>0</v>
      </c>
      <c r="J186" s="68">
        <f t="shared" si="109"/>
        <v>0</v>
      </c>
      <c r="K186" s="68">
        <f t="shared" si="110"/>
        <v>0</v>
      </c>
      <c r="L186" s="68">
        <f t="shared" si="111"/>
        <v>0</v>
      </c>
      <c r="M186" s="68">
        <f t="shared" si="112"/>
        <v>0</v>
      </c>
      <c r="N186" s="68">
        <f t="shared" si="113"/>
        <v>0</v>
      </c>
      <c r="O186" s="68">
        <f t="shared" si="114"/>
        <v>0</v>
      </c>
      <c r="P186" s="68">
        <f t="shared" si="114"/>
        <v>4521518</v>
      </c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  <c r="IW186" s="39"/>
      <c r="IX186" s="39"/>
      <c r="IY186" s="39"/>
      <c r="IZ186" s="39"/>
      <c r="JA186" s="39"/>
      <c r="JB186" s="39"/>
      <c r="JC186" s="39"/>
      <c r="JD186" s="39"/>
      <c r="JE186" s="39"/>
      <c r="JF186" s="39"/>
      <c r="JG186" s="39"/>
      <c r="JH186" s="39"/>
      <c r="JI186" s="39"/>
      <c r="JJ186" s="39"/>
      <c r="JK186" s="39"/>
      <c r="JL186" s="39"/>
      <c r="JM186" s="39"/>
      <c r="JN186" s="39"/>
      <c r="JO186" s="39"/>
      <c r="JP186" s="39"/>
      <c r="JQ186" s="39"/>
      <c r="JR186" s="39"/>
      <c r="JS186" s="39"/>
      <c r="JT186" s="39"/>
      <c r="JU186" s="39"/>
      <c r="JV186" s="39"/>
      <c r="JW186" s="39"/>
      <c r="JX186" s="39"/>
      <c r="JY186" s="39"/>
      <c r="JZ186" s="39"/>
      <c r="KA186" s="39"/>
      <c r="KB186" s="39"/>
      <c r="KC186" s="39"/>
      <c r="KD186" s="39"/>
      <c r="KE186" s="39"/>
      <c r="KF186" s="39"/>
      <c r="KG186" s="39"/>
      <c r="KH186" s="39"/>
      <c r="KI186" s="39"/>
      <c r="KJ186" s="39"/>
      <c r="KK186" s="39"/>
      <c r="KL186" s="39"/>
      <c r="KM186" s="39"/>
      <c r="KN186" s="39"/>
      <c r="KO186" s="39"/>
      <c r="KP186" s="39"/>
      <c r="KQ186" s="39"/>
      <c r="KR186" s="39"/>
      <c r="KS186" s="39"/>
      <c r="KT186" s="39"/>
      <c r="KU186" s="39"/>
      <c r="KV186" s="39"/>
      <c r="KW186" s="39"/>
      <c r="KX186" s="39"/>
      <c r="KY186" s="39"/>
      <c r="KZ186" s="39"/>
      <c r="LA186" s="39"/>
      <c r="LB186" s="39"/>
      <c r="LC186" s="39"/>
      <c r="LD186" s="39"/>
      <c r="LE186" s="39"/>
      <c r="LF186" s="39"/>
      <c r="LG186" s="39"/>
      <c r="LH186" s="39"/>
      <c r="LI186" s="39"/>
      <c r="LJ186" s="39"/>
      <c r="LK186" s="39"/>
      <c r="LL186" s="39"/>
      <c r="LM186" s="39"/>
      <c r="LN186" s="39"/>
      <c r="LO186" s="39"/>
      <c r="LP186" s="39"/>
      <c r="LQ186" s="39"/>
      <c r="LR186" s="39"/>
      <c r="LS186" s="39"/>
      <c r="LT186" s="39"/>
      <c r="LU186" s="39"/>
      <c r="LV186" s="39"/>
      <c r="LW186" s="39"/>
      <c r="LX186" s="39"/>
      <c r="LY186" s="39"/>
      <c r="LZ186" s="39"/>
      <c r="MA186" s="39"/>
      <c r="MB186" s="39"/>
      <c r="MC186" s="39"/>
      <c r="MD186" s="39"/>
      <c r="ME186" s="39"/>
      <c r="MF186" s="39"/>
      <c r="MG186" s="39"/>
      <c r="MH186" s="39"/>
      <c r="MI186" s="39"/>
      <c r="MJ186" s="39"/>
      <c r="MK186" s="39"/>
      <c r="ML186" s="39"/>
      <c r="MM186" s="39"/>
      <c r="MN186" s="39"/>
      <c r="MO186" s="39"/>
      <c r="MP186" s="39"/>
      <c r="MQ186" s="39"/>
      <c r="MR186" s="39"/>
      <c r="MS186" s="39"/>
      <c r="MT186" s="39"/>
      <c r="MU186" s="39"/>
      <c r="MV186" s="39"/>
      <c r="MW186" s="39"/>
      <c r="MX186" s="39"/>
      <c r="MY186" s="39"/>
      <c r="MZ186" s="39"/>
      <c r="NA186" s="39"/>
      <c r="NB186" s="39"/>
      <c r="NC186" s="39"/>
      <c r="ND186" s="39"/>
      <c r="NE186" s="39"/>
      <c r="NF186" s="39"/>
      <c r="NG186" s="39"/>
      <c r="NH186" s="39"/>
      <c r="NI186" s="39"/>
      <c r="NJ186" s="39"/>
      <c r="NK186" s="39"/>
      <c r="NL186" s="39"/>
      <c r="NM186" s="39"/>
      <c r="NN186" s="39"/>
      <c r="NO186" s="39"/>
      <c r="NP186" s="39"/>
      <c r="NQ186" s="39"/>
      <c r="NR186" s="39"/>
      <c r="NS186" s="39"/>
      <c r="NT186" s="39"/>
      <c r="NU186" s="39"/>
      <c r="NV186" s="39"/>
      <c r="NW186" s="39"/>
      <c r="NX186" s="39"/>
      <c r="NY186" s="39"/>
      <c r="NZ186" s="39"/>
      <c r="OA186" s="39"/>
      <c r="OB186" s="39"/>
      <c r="OC186" s="39"/>
      <c r="OD186" s="39"/>
      <c r="OE186" s="39"/>
      <c r="OF186" s="39"/>
      <c r="OG186" s="39"/>
      <c r="OH186" s="39"/>
      <c r="OI186" s="39"/>
      <c r="OJ186" s="39"/>
      <c r="OK186" s="39"/>
      <c r="OL186" s="39"/>
      <c r="OM186" s="39"/>
      <c r="ON186" s="39"/>
      <c r="OO186" s="39"/>
      <c r="OP186" s="39"/>
      <c r="OQ186" s="39"/>
      <c r="OR186" s="39"/>
      <c r="OS186" s="39"/>
      <c r="OT186" s="39"/>
      <c r="OU186" s="39"/>
      <c r="OV186" s="39"/>
      <c r="OW186" s="39"/>
      <c r="OX186" s="39"/>
      <c r="OY186" s="39"/>
      <c r="OZ186" s="39"/>
      <c r="PA186" s="39"/>
      <c r="PB186" s="39"/>
      <c r="PC186" s="39"/>
      <c r="PD186" s="39"/>
      <c r="PE186" s="39"/>
      <c r="PF186" s="39"/>
      <c r="PG186" s="39"/>
      <c r="PH186" s="39"/>
      <c r="PI186" s="39"/>
      <c r="PJ186" s="39"/>
      <c r="PK186" s="39"/>
      <c r="PL186" s="39"/>
      <c r="PM186" s="39"/>
      <c r="PN186" s="39"/>
      <c r="PO186" s="39"/>
      <c r="PP186" s="39"/>
      <c r="PQ186" s="39"/>
      <c r="PR186" s="39"/>
      <c r="PS186" s="39"/>
      <c r="PT186" s="39"/>
      <c r="PU186" s="39"/>
      <c r="PV186" s="39"/>
      <c r="PW186" s="39"/>
      <c r="PX186" s="39"/>
      <c r="PY186" s="39"/>
      <c r="PZ186" s="39"/>
      <c r="QA186" s="39"/>
      <c r="QB186" s="39"/>
      <c r="QC186" s="39"/>
      <c r="QD186" s="39"/>
      <c r="QE186" s="39"/>
      <c r="QF186" s="39"/>
      <c r="QG186" s="39"/>
      <c r="QH186" s="39"/>
      <c r="QI186" s="39"/>
      <c r="QJ186" s="39"/>
      <c r="QK186" s="39"/>
      <c r="QL186" s="39"/>
      <c r="QM186" s="39"/>
      <c r="QN186" s="39"/>
      <c r="QO186" s="39"/>
      <c r="QP186" s="39"/>
      <c r="QQ186" s="39"/>
      <c r="QR186" s="39"/>
      <c r="QS186" s="39"/>
      <c r="QT186" s="39"/>
      <c r="QU186" s="39"/>
      <c r="QV186" s="39"/>
      <c r="QW186" s="39"/>
      <c r="QX186" s="39"/>
      <c r="QY186" s="39"/>
      <c r="QZ186" s="39"/>
      <c r="RA186" s="39"/>
      <c r="RB186" s="39"/>
      <c r="RC186" s="39"/>
      <c r="RD186" s="39"/>
      <c r="RE186" s="39"/>
      <c r="RF186" s="39"/>
      <c r="RG186" s="39"/>
      <c r="RH186" s="39"/>
      <c r="RI186" s="39"/>
      <c r="RJ186" s="39"/>
      <c r="RK186" s="39"/>
      <c r="RL186" s="39"/>
      <c r="RM186" s="39"/>
      <c r="RN186" s="39"/>
      <c r="RO186" s="39"/>
      <c r="RP186" s="39"/>
      <c r="RQ186" s="39"/>
      <c r="RR186" s="39"/>
      <c r="RS186" s="39"/>
      <c r="RT186" s="39"/>
      <c r="RU186" s="39"/>
      <c r="RV186" s="39"/>
      <c r="RW186" s="39"/>
      <c r="RX186" s="39"/>
      <c r="RY186" s="39"/>
      <c r="RZ186" s="39"/>
      <c r="SA186" s="39"/>
      <c r="SB186" s="39"/>
      <c r="SC186" s="39"/>
      <c r="SD186" s="39"/>
      <c r="SE186" s="39"/>
      <c r="SF186" s="39"/>
      <c r="SG186" s="39"/>
      <c r="SH186" s="39"/>
      <c r="SI186" s="39"/>
      <c r="SJ186" s="39"/>
      <c r="SK186" s="39"/>
      <c r="SL186" s="39"/>
      <c r="SM186" s="39"/>
      <c r="SN186" s="39"/>
      <c r="SO186" s="39"/>
      <c r="SP186" s="39"/>
      <c r="SQ186" s="39"/>
      <c r="SR186" s="39"/>
      <c r="SS186" s="39"/>
      <c r="ST186" s="39"/>
      <c r="SU186" s="39"/>
      <c r="SV186" s="39"/>
      <c r="SW186" s="39"/>
      <c r="SX186" s="39"/>
      <c r="SY186" s="39"/>
      <c r="SZ186" s="39"/>
      <c r="TA186" s="39"/>
      <c r="TB186" s="39"/>
      <c r="TC186" s="39"/>
      <c r="TD186" s="39"/>
      <c r="TE186" s="39"/>
      <c r="TF186" s="39"/>
      <c r="TG186" s="39"/>
      <c r="TH186" s="39"/>
      <c r="TI186" s="39"/>
    </row>
    <row r="187" spans="1:529" s="23" customFormat="1" ht="43.5" customHeight="1" x14ac:dyDescent="0.25">
      <c r="A187" s="43" t="s">
        <v>248</v>
      </c>
      <c r="B187" s="44" t="str">
        <f>'дод 4'!A20</f>
        <v>0160</v>
      </c>
      <c r="C187" s="44" t="str">
        <f>'дод 4'!B20</f>
        <v>0111</v>
      </c>
      <c r="D18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87" s="69">
        <f>F187+I187</f>
        <v>4521518</v>
      </c>
      <c r="F187" s="69">
        <f>4985700+21800-233000-243482-9500</f>
        <v>4521518</v>
      </c>
      <c r="G187" s="69">
        <f>3907000-191000-199575-7800</f>
        <v>3508625</v>
      </c>
      <c r="H187" s="69">
        <v>52700</v>
      </c>
      <c r="I187" s="69"/>
      <c r="J187" s="69">
        <f>L187+O187</f>
        <v>0</v>
      </c>
      <c r="K187" s="69"/>
      <c r="L187" s="69"/>
      <c r="M187" s="69"/>
      <c r="N187" s="69"/>
      <c r="O187" s="69"/>
      <c r="P187" s="69">
        <f>E187+J187</f>
        <v>4521518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</row>
    <row r="188" spans="1:529" s="31" customFormat="1" ht="37.5" customHeight="1" x14ac:dyDescent="0.2">
      <c r="A188" s="76" t="s">
        <v>250</v>
      </c>
      <c r="B188" s="74"/>
      <c r="C188" s="74"/>
      <c r="D188" s="30" t="s">
        <v>52</v>
      </c>
      <c r="E188" s="66">
        <f>E189</f>
        <v>20352000</v>
      </c>
      <c r="F188" s="66">
        <f t="shared" ref="F188:J188" si="115">F189</f>
        <v>19734000</v>
      </c>
      <c r="G188" s="66">
        <f t="shared" si="115"/>
        <v>13897700</v>
      </c>
      <c r="H188" s="66">
        <f t="shared" si="115"/>
        <v>314600</v>
      </c>
      <c r="I188" s="66">
        <f t="shared" si="115"/>
        <v>618000</v>
      </c>
      <c r="J188" s="66">
        <f t="shared" si="115"/>
        <v>100000</v>
      </c>
      <c r="K188" s="66">
        <f t="shared" ref="K188" si="116">K189</f>
        <v>100000</v>
      </c>
      <c r="L188" s="66">
        <f t="shared" ref="L188" si="117">L189</f>
        <v>0</v>
      </c>
      <c r="M188" s="66">
        <f t="shared" ref="M188" si="118">M189</f>
        <v>0</v>
      </c>
      <c r="N188" s="66">
        <f t="shared" ref="N188" si="119">N189</f>
        <v>0</v>
      </c>
      <c r="O188" s="66">
        <f t="shared" ref="O188" si="120">O189</f>
        <v>100000</v>
      </c>
      <c r="P188" s="66">
        <f>P189</f>
        <v>20452000</v>
      </c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38"/>
      <c r="IR188" s="38"/>
      <c r="IS188" s="38"/>
      <c r="IT188" s="38"/>
      <c r="IU188" s="38"/>
      <c r="IV188" s="38"/>
      <c r="IW188" s="38"/>
      <c r="IX188" s="38"/>
      <c r="IY188" s="38"/>
      <c r="IZ188" s="38"/>
      <c r="JA188" s="38"/>
      <c r="JB188" s="38"/>
      <c r="JC188" s="38"/>
      <c r="JD188" s="38"/>
      <c r="JE188" s="38"/>
      <c r="JF188" s="38"/>
      <c r="JG188" s="38"/>
      <c r="JH188" s="38"/>
      <c r="JI188" s="38"/>
      <c r="JJ188" s="38"/>
      <c r="JK188" s="38"/>
      <c r="JL188" s="38"/>
      <c r="JM188" s="38"/>
      <c r="JN188" s="38"/>
      <c r="JO188" s="38"/>
      <c r="JP188" s="38"/>
      <c r="JQ188" s="38"/>
      <c r="JR188" s="38"/>
      <c r="JS188" s="38"/>
      <c r="JT188" s="38"/>
      <c r="JU188" s="38"/>
      <c r="JV188" s="38"/>
      <c r="JW188" s="38"/>
      <c r="JX188" s="38"/>
      <c r="JY188" s="38"/>
      <c r="JZ188" s="38"/>
      <c r="KA188" s="38"/>
      <c r="KB188" s="38"/>
      <c r="KC188" s="38"/>
      <c r="KD188" s="38"/>
      <c r="KE188" s="38"/>
      <c r="KF188" s="38"/>
      <c r="KG188" s="38"/>
      <c r="KH188" s="38"/>
      <c r="KI188" s="38"/>
      <c r="KJ188" s="38"/>
      <c r="KK188" s="38"/>
      <c r="KL188" s="38"/>
      <c r="KM188" s="38"/>
      <c r="KN188" s="38"/>
      <c r="KO188" s="38"/>
      <c r="KP188" s="38"/>
      <c r="KQ188" s="38"/>
      <c r="KR188" s="38"/>
      <c r="KS188" s="38"/>
      <c r="KT188" s="38"/>
      <c r="KU188" s="38"/>
      <c r="KV188" s="38"/>
      <c r="KW188" s="38"/>
      <c r="KX188" s="38"/>
      <c r="KY188" s="38"/>
      <c r="KZ188" s="38"/>
      <c r="LA188" s="38"/>
      <c r="LB188" s="38"/>
      <c r="LC188" s="38"/>
      <c r="LD188" s="38"/>
      <c r="LE188" s="38"/>
      <c r="LF188" s="38"/>
      <c r="LG188" s="38"/>
      <c r="LH188" s="38"/>
      <c r="LI188" s="38"/>
      <c r="LJ188" s="38"/>
      <c r="LK188" s="38"/>
      <c r="LL188" s="38"/>
      <c r="LM188" s="38"/>
      <c r="LN188" s="38"/>
      <c r="LO188" s="38"/>
      <c r="LP188" s="38"/>
      <c r="LQ188" s="38"/>
      <c r="LR188" s="38"/>
      <c r="LS188" s="38"/>
      <c r="LT188" s="38"/>
      <c r="LU188" s="38"/>
      <c r="LV188" s="38"/>
      <c r="LW188" s="38"/>
      <c r="LX188" s="38"/>
      <c r="LY188" s="38"/>
      <c r="LZ188" s="38"/>
      <c r="MA188" s="38"/>
      <c r="MB188" s="38"/>
      <c r="MC188" s="38"/>
      <c r="MD188" s="38"/>
      <c r="ME188" s="38"/>
      <c r="MF188" s="38"/>
      <c r="MG188" s="38"/>
      <c r="MH188" s="38"/>
      <c r="MI188" s="38"/>
      <c r="MJ188" s="38"/>
      <c r="MK188" s="38"/>
      <c r="ML188" s="38"/>
      <c r="MM188" s="38"/>
      <c r="MN188" s="38"/>
      <c r="MO188" s="38"/>
      <c r="MP188" s="38"/>
      <c r="MQ188" s="38"/>
      <c r="MR188" s="38"/>
      <c r="MS188" s="38"/>
      <c r="MT188" s="38"/>
      <c r="MU188" s="38"/>
      <c r="MV188" s="38"/>
      <c r="MW188" s="38"/>
      <c r="MX188" s="38"/>
      <c r="MY188" s="38"/>
      <c r="MZ188" s="38"/>
      <c r="NA188" s="38"/>
      <c r="NB188" s="38"/>
      <c r="NC188" s="38"/>
      <c r="ND188" s="38"/>
      <c r="NE188" s="38"/>
      <c r="NF188" s="38"/>
      <c r="NG188" s="38"/>
      <c r="NH188" s="3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38"/>
      <c r="OC188" s="38"/>
      <c r="OD188" s="38"/>
      <c r="OE188" s="38"/>
      <c r="OF188" s="38"/>
      <c r="OG188" s="38"/>
      <c r="OH188" s="38"/>
      <c r="OI188" s="38"/>
      <c r="OJ188" s="38"/>
      <c r="OK188" s="38"/>
      <c r="OL188" s="38"/>
      <c r="OM188" s="38"/>
      <c r="ON188" s="38"/>
      <c r="OO188" s="38"/>
      <c r="OP188" s="38"/>
      <c r="OQ188" s="38"/>
      <c r="OR188" s="38"/>
      <c r="OS188" s="38"/>
      <c r="OT188" s="38"/>
      <c r="OU188" s="38"/>
      <c r="OV188" s="38"/>
      <c r="OW188" s="38"/>
      <c r="OX188" s="38"/>
      <c r="OY188" s="38"/>
      <c r="OZ188" s="38"/>
      <c r="PA188" s="38"/>
      <c r="PB188" s="38"/>
      <c r="PC188" s="38"/>
      <c r="PD188" s="38"/>
      <c r="PE188" s="38"/>
      <c r="PF188" s="38"/>
      <c r="PG188" s="38"/>
      <c r="PH188" s="38"/>
      <c r="PI188" s="38"/>
      <c r="PJ188" s="38"/>
      <c r="PK188" s="38"/>
      <c r="PL188" s="38"/>
      <c r="PM188" s="38"/>
      <c r="PN188" s="38"/>
      <c r="PO188" s="38"/>
      <c r="PP188" s="38"/>
      <c r="PQ188" s="38"/>
      <c r="PR188" s="38"/>
      <c r="PS188" s="38"/>
      <c r="PT188" s="38"/>
      <c r="PU188" s="38"/>
      <c r="PV188" s="38"/>
      <c r="PW188" s="38"/>
      <c r="PX188" s="38"/>
      <c r="PY188" s="38"/>
      <c r="PZ188" s="38"/>
      <c r="QA188" s="38"/>
      <c r="QB188" s="38"/>
      <c r="QC188" s="38"/>
      <c r="QD188" s="38"/>
      <c r="QE188" s="38"/>
      <c r="QF188" s="38"/>
      <c r="QG188" s="38"/>
      <c r="QH188" s="38"/>
      <c r="QI188" s="38"/>
      <c r="QJ188" s="38"/>
      <c r="QK188" s="38"/>
      <c r="QL188" s="38"/>
      <c r="QM188" s="38"/>
      <c r="QN188" s="38"/>
      <c r="QO188" s="38"/>
      <c r="QP188" s="38"/>
      <c r="QQ188" s="38"/>
      <c r="QR188" s="38"/>
      <c r="QS188" s="38"/>
      <c r="QT188" s="38"/>
      <c r="QU188" s="38"/>
      <c r="QV188" s="38"/>
      <c r="QW188" s="38"/>
      <c r="QX188" s="38"/>
      <c r="QY188" s="38"/>
      <c r="QZ188" s="38"/>
      <c r="RA188" s="38"/>
      <c r="RB188" s="38"/>
      <c r="RC188" s="38"/>
      <c r="RD188" s="38"/>
      <c r="RE188" s="38"/>
      <c r="RF188" s="38"/>
      <c r="RG188" s="38"/>
      <c r="RH188" s="38"/>
      <c r="RI188" s="38"/>
      <c r="RJ188" s="38"/>
      <c r="RK188" s="38"/>
      <c r="RL188" s="38"/>
      <c r="RM188" s="38"/>
      <c r="RN188" s="38"/>
      <c r="RO188" s="38"/>
      <c r="RP188" s="38"/>
      <c r="RQ188" s="38"/>
      <c r="RR188" s="38"/>
      <c r="RS188" s="38"/>
      <c r="RT188" s="38"/>
      <c r="RU188" s="38"/>
      <c r="RV188" s="38"/>
      <c r="RW188" s="38"/>
      <c r="RX188" s="38"/>
      <c r="RY188" s="38"/>
      <c r="RZ188" s="38"/>
      <c r="SA188" s="38"/>
      <c r="SB188" s="38"/>
      <c r="SC188" s="38"/>
      <c r="SD188" s="38"/>
      <c r="SE188" s="38"/>
      <c r="SF188" s="38"/>
      <c r="SG188" s="38"/>
      <c r="SH188" s="38"/>
      <c r="SI188" s="38"/>
      <c r="SJ188" s="38"/>
      <c r="SK188" s="38"/>
      <c r="SL188" s="38"/>
      <c r="SM188" s="38"/>
      <c r="SN188" s="38"/>
      <c r="SO188" s="38"/>
      <c r="SP188" s="38"/>
      <c r="SQ188" s="38"/>
      <c r="SR188" s="38"/>
      <c r="SS188" s="38"/>
      <c r="ST188" s="38"/>
      <c r="SU188" s="38"/>
      <c r="SV188" s="38"/>
      <c r="SW188" s="38"/>
      <c r="SX188" s="38"/>
      <c r="SY188" s="38"/>
      <c r="SZ188" s="38"/>
      <c r="TA188" s="38"/>
      <c r="TB188" s="38"/>
      <c r="TC188" s="38"/>
      <c r="TD188" s="38"/>
      <c r="TE188" s="38"/>
      <c r="TF188" s="38"/>
      <c r="TG188" s="38"/>
      <c r="TH188" s="38"/>
      <c r="TI188" s="38"/>
    </row>
    <row r="189" spans="1:529" s="40" customFormat="1" ht="37.5" customHeight="1" x14ac:dyDescent="0.25">
      <c r="A189" s="77" t="s">
        <v>251</v>
      </c>
      <c r="B189" s="75"/>
      <c r="C189" s="75"/>
      <c r="D189" s="33" t="s">
        <v>52</v>
      </c>
      <c r="E189" s="68">
        <f>E190+E191++E192+E193+E194+E195</f>
        <v>20352000</v>
      </c>
      <c r="F189" s="68">
        <f t="shared" ref="F189:P189" si="121">F190+F191++F192+F193+F194+F195</f>
        <v>19734000</v>
      </c>
      <c r="G189" s="68">
        <f t="shared" si="121"/>
        <v>13897700</v>
      </c>
      <c r="H189" s="68">
        <f t="shared" si="121"/>
        <v>314600</v>
      </c>
      <c r="I189" s="68">
        <f t="shared" si="121"/>
        <v>618000</v>
      </c>
      <c r="J189" s="68">
        <f t="shared" si="121"/>
        <v>100000</v>
      </c>
      <c r="K189" s="68">
        <f>K190+K191++K192+K193+K194+K195</f>
        <v>100000</v>
      </c>
      <c r="L189" s="68">
        <f t="shared" si="121"/>
        <v>0</v>
      </c>
      <c r="M189" s="68">
        <f t="shared" si="121"/>
        <v>0</v>
      </c>
      <c r="N189" s="68">
        <f t="shared" si="121"/>
        <v>0</v>
      </c>
      <c r="O189" s="68">
        <f t="shared" si="121"/>
        <v>100000</v>
      </c>
      <c r="P189" s="68">
        <f t="shared" si="121"/>
        <v>20452000</v>
      </c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  <c r="IX189" s="39"/>
      <c r="IY189" s="39"/>
      <c r="IZ189" s="39"/>
      <c r="JA189" s="39"/>
      <c r="JB189" s="39"/>
      <c r="JC189" s="39"/>
      <c r="JD189" s="39"/>
      <c r="JE189" s="39"/>
      <c r="JF189" s="39"/>
      <c r="JG189" s="39"/>
      <c r="JH189" s="39"/>
      <c r="JI189" s="39"/>
      <c r="JJ189" s="39"/>
      <c r="JK189" s="39"/>
      <c r="JL189" s="39"/>
      <c r="JM189" s="39"/>
      <c r="JN189" s="39"/>
      <c r="JO189" s="39"/>
      <c r="JP189" s="39"/>
      <c r="JQ189" s="39"/>
      <c r="JR189" s="39"/>
      <c r="JS189" s="39"/>
      <c r="JT189" s="39"/>
      <c r="JU189" s="39"/>
      <c r="JV189" s="39"/>
      <c r="JW189" s="39"/>
      <c r="JX189" s="39"/>
      <c r="JY189" s="39"/>
      <c r="JZ189" s="39"/>
      <c r="KA189" s="39"/>
      <c r="KB189" s="39"/>
      <c r="KC189" s="39"/>
      <c r="KD189" s="39"/>
      <c r="KE189" s="39"/>
      <c r="KF189" s="39"/>
      <c r="KG189" s="39"/>
      <c r="KH189" s="39"/>
      <c r="KI189" s="39"/>
      <c r="KJ189" s="39"/>
      <c r="KK189" s="39"/>
      <c r="KL189" s="39"/>
      <c r="KM189" s="39"/>
      <c r="KN189" s="39"/>
      <c r="KO189" s="39"/>
      <c r="KP189" s="39"/>
      <c r="KQ189" s="39"/>
      <c r="KR189" s="39"/>
      <c r="KS189" s="39"/>
      <c r="KT189" s="39"/>
      <c r="KU189" s="39"/>
      <c r="KV189" s="39"/>
      <c r="KW189" s="39"/>
      <c r="KX189" s="39"/>
      <c r="KY189" s="39"/>
      <c r="KZ189" s="39"/>
      <c r="LA189" s="39"/>
      <c r="LB189" s="39"/>
      <c r="LC189" s="39"/>
      <c r="LD189" s="39"/>
      <c r="LE189" s="39"/>
      <c r="LF189" s="39"/>
      <c r="LG189" s="39"/>
      <c r="LH189" s="39"/>
      <c r="LI189" s="39"/>
      <c r="LJ189" s="39"/>
      <c r="LK189" s="39"/>
      <c r="LL189" s="39"/>
      <c r="LM189" s="39"/>
      <c r="LN189" s="39"/>
      <c r="LO189" s="39"/>
      <c r="LP189" s="39"/>
      <c r="LQ189" s="39"/>
      <c r="LR189" s="39"/>
      <c r="LS189" s="39"/>
      <c r="LT189" s="39"/>
      <c r="LU189" s="39"/>
      <c r="LV189" s="39"/>
      <c r="LW189" s="39"/>
      <c r="LX189" s="39"/>
      <c r="LY189" s="39"/>
      <c r="LZ189" s="39"/>
      <c r="MA189" s="39"/>
      <c r="MB189" s="39"/>
      <c r="MC189" s="39"/>
      <c r="MD189" s="39"/>
      <c r="ME189" s="39"/>
      <c r="MF189" s="39"/>
      <c r="MG189" s="39"/>
      <c r="MH189" s="39"/>
      <c r="MI189" s="39"/>
      <c r="MJ189" s="39"/>
      <c r="MK189" s="39"/>
      <c r="ML189" s="39"/>
      <c r="MM189" s="39"/>
      <c r="MN189" s="39"/>
      <c r="MO189" s="39"/>
      <c r="MP189" s="39"/>
      <c r="MQ189" s="39"/>
      <c r="MR189" s="39"/>
      <c r="MS189" s="39"/>
      <c r="MT189" s="39"/>
      <c r="MU189" s="39"/>
      <c r="MV189" s="39"/>
      <c r="MW189" s="39"/>
      <c r="MX189" s="39"/>
      <c r="MY189" s="39"/>
      <c r="MZ189" s="39"/>
      <c r="NA189" s="39"/>
      <c r="NB189" s="39"/>
      <c r="NC189" s="39"/>
      <c r="ND189" s="39"/>
      <c r="NE189" s="39"/>
      <c r="NF189" s="39"/>
      <c r="NG189" s="39"/>
      <c r="NH189" s="39"/>
      <c r="NI189" s="39"/>
      <c r="NJ189" s="39"/>
      <c r="NK189" s="39"/>
      <c r="NL189" s="39"/>
      <c r="NM189" s="39"/>
      <c r="NN189" s="39"/>
      <c r="NO189" s="39"/>
      <c r="NP189" s="39"/>
      <c r="NQ189" s="39"/>
      <c r="NR189" s="39"/>
      <c r="NS189" s="39"/>
      <c r="NT189" s="39"/>
      <c r="NU189" s="39"/>
      <c r="NV189" s="39"/>
      <c r="NW189" s="39"/>
      <c r="NX189" s="39"/>
      <c r="NY189" s="39"/>
      <c r="NZ189" s="39"/>
      <c r="OA189" s="39"/>
      <c r="OB189" s="39"/>
      <c r="OC189" s="39"/>
      <c r="OD189" s="39"/>
      <c r="OE189" s="39"/>
      <c r="OF189" s="39"/>
      <c r="OG189" s="39"/>
      <c r="OH189" s="39"/>
      <c r="OI189" s="39"/>
      <c r="OJ189" s="39"/>
      <c r="OK189" s="39"/>
      <c r="OL189" s="39"/>
      <c r="OM189" s="39"/>
      <c r="ON189" s="39"/>
      <c r="OO189" s="39"/>
      <c r="OP189" s="39"/>
      <c r="OQ189" s="39"/>
      <c r="OR189" s="39"/>
      <c r="OS189" s="39"/>
      <c r="OT189" s="39"/>
      <c r="OU189" s="39"/>
      <c r="OV189" s="39"/>
      <c r="OW189" s="39"/>
      <c r="OX189" s="39"/>
      <c r="OY189" s="39"/>
      <c r="OZ189" s="39"/>
      <c r="PA189" s="39"/>
      <c r="PB189" s="39"/>
      <c r="PC189" s="39"/>
      <c r="PD189" s="39"/>
      <c r="PE189" s="39"/>
      <c r="PF189" s="39"/>
      <c r="PG189" s="39"/>
      <c r="PH189" s="39"/>
      <c r="PI189" s="39"/>
      <c r="PJ189" s="39"/>
      <c r="PK189" s="39"/>
      <c r="PL189" s="39"/>
      <c r="PM189" s="39"/>
      <c r="PN189" s="39"/>
      <c r="PO189" s="39"/>
      <c r="PP189" s="39"/>
      <c r="PQ189" s="39"/>
      <c r="PR189" s="39"/>
      <c r="PS189" s="39"/>
      <c r="PT189" s="39"/>
      <c r="PU189" s="39"/>
      <c r="PV189" s="39"/>
      <c r="PW189" s="39"/>
      <c r="PX189" s="39"/>
      <c r="PY189" s="39"/>
      <c r="PZ189" s="39"/>
      <c r="QA189" s="39"/>
      <c r="QB189" s="39"/>
      <c r="QC189" s="39"/>
      <c r="QD189" s="39"/>
      <c r="QE189" s="39"/>
      <c r="QF189" s="39"/>
      <c r="QG189" s="39"/>
      <c r="QH189" s="39"/>
      <c r="QI189" s="39"/>
      <c r="QJ189" s="39"/>
      <c r="QK189" s="39"/>
      <c r="QL189" s="39"/>
      <c r="QM189" s="39"/>
      <c r="QN189" s="39"/>
      <c r="QO189" s="39"/>
      <c r="QP189" s="39"/>
      <c r="QQ189" s="39"/>
      <c r="QR189" s="39"/>
      <c r="QS189" s="39"/>
      <c r="QT189" s="39"/>
      <c r="QU189" s="39"/>
      <c r="QV189" s="39"/>
      <c r="QW189" s="39"/>
      <c r="QX189" s="39"/>
      <c r="QY189" s="39"/>
      <c r="QZ189" s="39"/>
      <c r="RA189" s="39"/>
      <c r="RB189" s="39"/>
      <c r="RC189" s="39"/>
      <c r="RD189" s="39"/>
      <c r="RE189" s="39"/>
      <c r="RF189" s="39"/>
      <c r="RG189" s="39"/>
      <c r="RH189" s="39"/>
      <c r="RI189" s="39"/>
      <c r="RJ189" s="39"/>
      <c r="RK189" s="39"/>
      <c r="RL189" s="39"/>
      <c r="RM189" s="39"/>
      <c r="RN189" s="39"/>
      <c r="RO189" s="39"/>
      <c r="RP189" s="39"/>
      <c r="RQ189" s="39"/>
      <c r="RR189" s="39"/>
      <c r="RS189" s="39"/>
      <c r="RT189" s="39"/>
      <c r="RU189" s="39"/>
      <c r="RV189" s="39"/>
      <c r="RW189" s="39"/>
      <c r="RX189" s="39"/>
      <c r="RY189" s="39"/>
      <c r="RZ189" s="39"/>
      <c r="SA189" s="39"/>
      <c r="SB189" s="39"/>
      <c r="SC189" s="39"/>
      <c r="SD189" s="39"/>
      <c r="SE189" s="39"/>
      <c r="SF189" s="39"/>
      <c r="SG189" s="39"/>
      <c r="SH189" s="39"/>
      <c r="SI189" s="39"/>
      <c r="SJ189" s="39"/>
      <c r="SK189" s="39"/>
      <c r="SL189" s="39"/>
      <c r="SM189" s="39"/>
      <c r="SN189" s="39"/>
      <c r="SO189" s="39"/>
      <c r="SP189" s="39"/>
      <c r="SQ189" s="39"/>
      <c r="SR189" s="39"/>
      <c r="SS189" s="39"/>
      <c r="ST189" s="39"/>
      <c r="SU189" s="39"/>
      <c r="SV189" s="39"/>
      <c r="SW189" s="39"/>
      <c r="SX189" s="39"/>
      <c r="SY189" s="39"/>
      <c r="SZ189" s="39"/>
      <c r="TA189" s="39"/>
      <c r="TB189" s="39"/>
      <c r="TC189" s="39"/>
      <c r="TD189" s="39"/>
      <c r="TE189" s="39"/>
      <c r="TF189" s="39"/>
      <c r="TG189" s="39"/>
      <c r="TH189" s="39"/>
      <c r="TI189" s="39"/>
    </row>
    <row r="190" spans="1:529" s="23" customFormat="1" ht="47.25" customHeight="1" x14ac:dyDescent="0.25">
      <c r="A190" s="43" t="s">
        <v>252</v>
      </c>
      <c r="B190" s="44" t="str">
        <f>'дод 4'!A20</f>
        <v>0160</v>
      </c>
      <c r="C190" s="44" t="str">
        <f>'дод 4'!B20</f>
        <v>0111</v>
      </c>
      <c r="D190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90" s="69">
        <f t="shared" ref="E190:E195" si="122">F190+I190</f>
        <v>17942000</v>
      </c>
      <c r="F190" s="69">
        <f>18803900+108500-929400-41000</f>
        <v>17942000</v>
      </c>
      <c r="G190" s="69">
        <f>14693100-761800-33600</f>
        <v>13897700</v>
      </c>
      <c r="H190" s="69">
        <v>314600</v>
      </c>
      <c r="I190" s="69"/>
      <c r="J190" s="69">
        <f>L190+O190</f>
        <v>25000</v>
      </c>
      <c r="K190" s="69">
        <v>25000</v>
      </c>
      <c r="L190" s="69"/>
      <c r="M190" s="69"/>
      <c r="N190" s="69"/>
      <c r="O190" s="69">
        <v>25000</v>
      </c>
      <c r="P190" s="69">
        <f t="shared" ref="P190:P195" si="123">E190+J190</f>
        <v>17967000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</row>
    <row r="191" spans="1:529" s="28" customFormat="1" ht="29.25" customHeight="1" x14ac:dyDescent="0.25">
      <c r="A191" s="43" t="s">
        <v>253</v>
      </c>
      <c r="B191" s="44" t="str">
        <f>'дод 4'!A101</f>
        <v>7130</v>
      </c>
      <c r="C191" s="44" t="str">
        <f>'дод 4'!B101</f>
        <v>0421</v>
      </c>
      <c r="D191" s="24" t="str">
        <f>'дод 4'!C101</f>
        <v>Здійснення заходів із землеустрою</v>
      </c>
      <c r="E191" s="69">
        <f t="shared" si="122"/>
        <v>700000</v>
      </c>
      <c r="F191" s="69">
        <v>700000</v>
      </c>
      <c r="G191" s="69"/>
      <c r="H191" s="69"/>
      <c r="I191" s="69"/>
      <c r="J191" s="69">
        <f t="shared" ref="J191:J195" si="124">L191+O191</f>
        <v>0</v>
      </c>
      <c r="K191" s="69"/>
      <c r="L191" s="69"/>
      <c r="M191" s="69"/>
      <c r="N191" s="69"/>
      <c r="O191" s="69"/>
      <c r="P191" s="69">
        <f t="shared" si="123"/>
        <v>700000</v>
      </c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/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/>
      <c r="HA191" s="37"/>
      <c r="HB191" s="37"/>
      <c r="HC191" s="37"/>
      <c r="HD191" s="37"/>
      <c r="HE191" s="37"/>
      <c r="HF191" s="37"/>
      <c r="HG191" s="37"/>
      <c r="HH191" s="37"/>
      <c r="HI191" s="37"/>
      <c r="HJ191" s="37"/>
      <c r="HK191" s="37"/>
      <c r="HL191" s="37"/>
      <c r="HM191" s="37"/>
      <c r="HN191" s="37"/>
      <c r="HO191" s="37"/>
      <c r="HP191" s="37"/>
      <c r="HQ191" s="37"/>
      <c r="HR191" s="37"/>
      <c r="HS191" s="37"/>
      <c r="HT191" s="37"/>
      <c r="HU191" s="37"/>
      <c r="HV191" s="37"/>
      <c r="HW191" s="37"/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/>
      <c r="II191" s="37"/>
      <c r="IJ191" s="37"/>
      <c r="IK191" s="37"/>
      <c r="IL191" s="37"/>
      <c r="IM191" s="37"/>
      <c r="IN191" s="37"/>
      <c r="IO191" s="37"/>
      <c r="IP191" s="37"/>
      <c r="IQ191" s="37"/>
      <c r="IR191" s="37"/>
      <c r="IS191" s="37"/>
      <c r="IT191" s="37"/>
      <c r="IU191" s="37"/>
      <c r="IV191" s="37"/>
      <c r="IW191" s="37"/>
      <c r="IX191" s="37"/>
      <c r="IY191" s="37"/>
      <c r="IZ191" s="37"/>
      <c r="JA191" s="37"/>
      <c r="JB191" s="37"/>
      <c r="JC191" s="37"/>
      <c r="JD191" s="37"/>
      <c r="JE191" s="37"/>
      <c r="JF191" s="37"/>
      <c r="JG191" s="37"/>
      <c r="JH191" s="37"/>
      <c r="JI191" s="37"/>
      <c r="JJ191" s="37"/>
      <c r="JK191" s="37"/>
      <c r="JL191" s="37"/>
      <c r="JM191" s="37"/>
      <c r="JN191" s="37"/>
      <c r="JO191" s="37"/>
      <c r="JP191" s="37"/>
      <c r="JQ191" s="37"/>
      <c r="JR191" s="37"/>
      <c r="JS191" s="37"/>
      <c r="JT191" s="37"/>
      <c r="JU191" s="37"/>
      <c r="JV191" s="37"/>
      <c r="JW191" s="37"/>
      <c r="JX191" s="37"/>
      <c r="JY191" s="37"/>
      <c r="JZ191" s="37"/>
      <c r="KA191" s="37"/>
      <c r="KB191" s="37"/>
      <c r="KC191" s="37"/>
      <c r="KD191" s="37"/>
      <c r="KE191" s="37"/>
      <c r="KF191" s="37"/>
      <c r="KG191" s="37"/>
      <c r="KH191" s="37"/>
      <c r="KI191" s="37"/>
      <c r="KJ191" s="37"/>
      <c r="KK191" s="37"/>
      <c r="KL191" s="37"/>
      <c r="KM191" s="37"/>
      <c r="KN191" s="37"/>
      <c r="KO191" s="37"/>
      <c r="KP191" s="37"/>
      <c r="KQ191" s="37"/>
      <c r="KR191" s="37"/>
      <c r="KS191" s="37"/>
      <c r="KT191" s="37"/>
      <c r="KU191" s="37"/>
      <c r="KV191" s="37"/>
      <c r="KW191" s="37"/>
      <c r="KX191" s="37"/>
      <c r="KY191" s="37"/>
      <c r="KZ191" s="37"/>
      <c r="LA191" s="37"/>
      <c r="LB191" s="37"/>
      <c r="LC191" s="37"/>
      <c r="LD191" s="37"/>
      <c r="LE191" s="37"/>
      <c r="LF191" s="37"/>
      <c r="LG191" s="37"/>
      <c r="LH191" s="37"/>
      <c r="LI191" s="37"/>
      <c r="LJ191" s="37"/>
      <c r="LK191" s="37"/>
      <c r="LL191" s="37"/>
      <c r="LM191" s="37"/>
      <c r="LN191" s="37"/>
      <c r="LO191" s="37"/>
      <c r="LP191" s="37"/>
      <c r="LQ191" s="37"/>
      <c r="LR191" s="37"/>
      <c r="LS191" s="37"/>
      <c r="LT191" s="37"/>
      <c r="LU191" s="37"/>
      <c r="LV191" s="37"/>
      <c r="LW191" s="37"/>
      <c r="LX191" s="37"/>
      <c r="LY191" s="37"/>
      <c r="LZ191" s="37"/>
      <c r="MA191" s="37"/>
      <c r="MB191" s="37"/>
      <c r="MC191" s="37"/>
      <c r="MD191" s="37"/>
      <c r="ME191" s="37"/>
      <c r="MF191" s="37"/>
      <c r="MG191" s="37"/>
      <c r="MH191" s="37"/>
      <c r="MI191" s="37"/>
      <c r="MJ191" s="37"/>
      <c r="MK191" s="37"/>
      <c r="ML191" s="37"/>
      <c r="MM191" s="37"/>
      <c r="MN191" s="37"/>
      <c r="MO191" s="37"/>
      <c r="MP191" s="37"/>
      <c r="MQ191" s="37"/>
      <c r="MR191" s="37"/>
      <c r="MS191" s="37"/>
      <c r="MT191" s="37"/>
      <c r="MU191" s="37"/>
      <c r="MV191" s="37"/>
      <c r="MW191" s="37"/>
      <c r="MX191" s="37"/>
      <c r="MY191" s="37"/>
      <c r="MZ191" s="37"/>
      <c r="NA191" s="37"/>
      <c r="NB191" s="37"/>
      <c r="NC191" s="37"/>
      <c r="ND191" s="37"/>
      <c r="NE191" s="37"/>
      <c r="NF191" s="37"/>
      <c r="NG191" s="37"/>
      <c r="NH191" s="37"/>
      <c r="NI191" s="37"/>
      <c r="NJ191" s="37"/>
      <c r="NK191" s="37"/>
      <c r="NL191" s="37"/>
      <c r="NM191" s="37"/>
      <c r="NN191" s="37"/>
      <c r="NO191" s="37"/>
      <c r="NP191" s="37"/>
      <c r="NQ191" s="37"/>
      <c r="NR191" s="37"/>
      <c r="NS191" s="37"/>
      <c r="NT191" s="37"/>
      <c r="NU191" s="37"/>
      <c r="NV191" s="37"/>
      <c r="NW191" s="37"/>
      <c r="NX191" s="37"/>
      <c r="NY191" s="37"/>
      <c r="NZ191" s="37"/>
      <c r="OA191" s="37"/>
      <c r="OB191" s="37"/>
      <c r="OC191" s="37"/>
      <c r="OD191" s="37"/>
      <c r="OE191" s="37"/>
      <c r="OF191" s="37"/>
      <c r="OG191" s="37"/>
      <c r="OH191" s="37"/>
      <c r="OI191" s="37"/>
      <c r="OJ191" s="37"/>
      <c r="OK191" s="37"/>
      <c r="OL191" s="37"/>
      <c r="OM191" s="37"/>
      <c r="ON191" s="37"/>
      <c r="OO191" s="37"/>
      <c r="OP191" s="37"/>
      <c r="OQ191" s="37"/>
      <c r="OR191" s="37"/>
      <c r="OS191" s="37"/>
      <c r="OT191" s="37"/>
      <c r="OU191" s="37"/>
      <c r="OV191" s="37"/>
      <c r="OW191" s="37"/>
      <c r="OX191" s="37"/>
      <c r="OY191" s="37"/>
      <c r="OZ191" s="37"/>
      <c r="PA191" s="37"/>
      <c r="PB191" s="37"/>
      <c r="PC191" s="37"/>
      <c r="PD191" s="37"/>
      <c r="PE191" s="37"/>
      <c r="PF191" s="37"/>
      <c r="PG191" s="37"/>
      <c r="PH191" s="37"/>
      <c r="PI191" s="37"/>
      <c r="PJ191" s="37"/>
      <c r="PK191" s="37"/>
      <c r="PL191" s="37"/>
      <c r="PM191" s="37"/>
      <c r="PN191" s="37"/>
      <c r="PO191" s="37"/>
      <c r="PP191" s="37"/>
      <c r="PQ191" s="37"/>
      <c r="PR191" s="37"/>
      <c r="PS191" s="37"/>
      <c r="PT191" s="37"/>
      <c r="PU191" s="37"/>
      <c r="PV191" s="37"/>
      <c r="PW191" s="37"/>
      <c r="PX191" s="37"/>
      <c r="PY191" s="37"/>
      <c r="PZ191" s="37"/>
      <c r="QA191" s="37"/>
      <c r="QB191" s="37"/>
      <c r="QC191" s="37"/>
      <c r="QD191" s="37"/>
      <c r="QE191" s="37"/>
      <c r="QF191" s="37"/>
      <c r="QG191" s="37"/>
      <c r="QH191" s="37"/>
      <c r="QI191" s="37"/>
      <c r="QJ191" s="37"/>
      <c r="QK191" s="37"/>
      <c r="QL191" s="37"/>
      <c r="QM191" s="37"/>
      <c r="QN191" s="37"/>
      <c r="QO191" s="37"/>
      <c r="QP191" s="37"/>
      <c r="QQ191" s="37"/>
      <c r="QR191" s="37"/>
      <c r="QS191" s="37"/>
      <c r="QT191" s="37"/>
      <c r="QU191" s="37"/>
      <c r="QV191" s="37"/>
      <c r="QW191" s="37"/>
      <c r="QX191" s="37"/>
      <c r="QY191" s="37"/>
      <c r="QZ191" s="37"/>
      <c r="RA191" s="37"/>
      <c r="RB191" s="37"/>
      <c r="RC191" s="37"/>
      <c r="RD191" s="37"/>
      <c r="RE191" s="37"/>
      <c r="RF191" s="37"/>
      <c r="RG191" s="37"/>
      <c r="RH191" s="37"/>
      <c r="RI191" s="37"/>
      <c r="RJ191" s="37"/>
      <c r="RK191" s="37"/>
      <c r="RL191" s="37"/>
      <c r="RM191" s="37"/>
      <c r="RN191" s="37"/>
      <c r="RO191" s="37"/>
      <c r="RP191" s="37"/>
      <c r="RQ191" s="37"/>
      <c r="RR191" s="37"/>
      <c r="RS191" s="37"/>
      <c r="RT191" s="37"/>
      <c r="RU191" s="37"/>
      <c r="RV191" s="37"/>
      <c r="RW191" s="37"/>
      <c r="RX191" s="37"/>
      <c r="RY191" s="37"/>
      <c r="RZ191" s="37"/>
      <c r="SA191" s="37"/>
      <c r="SB191" s="37"/>
      <c r="SC191" s="37"/>
      <c r="SD191" s="37"/>
      <c r="SE191" s="37"/>
      <c r="SF191" s="37"/>
      <c r="SG191" s="37"/>
      <c r="SH191" s="37"/>
      <c r="SI191" s="37"/>
      <c r="SJ191" s="37"/>
      <c r="SK191" s="37"/>
      <c r="SL191" s="37"/>
      <c r="SM191" s="37"/>
      <c r="SN191" s="37"/>
      <c r="SO191" s="37"/>
      <c r="SP191" s="37"/>
      <c r="SQ191" s="37"/>
      <c r="SR191" s="37"/>
      <c r="SS191" s="37"/>
      <c r="ST191" s="37"/>
      <c r="SU191" s="37"/>
      <c r="SV191" s="37"/>
      <c r="SW191" s="37"/>
      <c r="SX191" s="37"/>
      <c r="SY191" s="37"/>
      <c r="SZ191" s="37"/>
      <c r="TA191" s="37"/>
      <c r="TB191" s="37"/>
      <c r="TC191" s="37"/>
      <c r="TD191" s="37"/>
      <c r="TE191" s="37"/>
      <c r="TF191" s="37"/>
      <c r="TG191" s="37"/>
      <c r="TH191" s="37"/>
      <c r="TI191" s="37"/>
    </row>
    <row r="192" spans="1:529" s="23" customFormat="1" ht="27" customHeight="1" x14ac:dyDescent="0.25">
      <c r="A192" s="52" t="s">
        <v>254</v>
      </c>
      <c r="B192" s="45" t="str">
        <f>'дод 4'!A124</f>
        <v>7610</v>
      </c>
      <c r="C192" s="45" t="str">
        <f>'дод 4'!B124</f>
        <v>0411</v>
      </c>
      <c r="D192" s="22" t="str">
        <f>'дод 4'!C124</f>
        <v>Сприяння розвитку малого та середнього підприємництва</v>
      </c>
      <c r="E192" s="69">
        <f t="shared" si="122"/>
        <v>1020000</v>
      </c>
      <c r="F192" s="69">
        <f>220000+182000</f>
        <v>402000</v>
      </c>
      <c r="G192" s="69"/>
      <c r="H192" s="69"/>
      <c r="I192" s="69">
        <f>1000000-200000-182000</f>
        <v>618000</v>
      </c>
      <c r="J192" s="69">
        <f t="shared" si="124"/>
        <v>0</v>
      </c>
      <c r="K192" s="69"/>
      <c r="L192" s="69"/>
      <c r="M192" s="69"/>
      <c r="N192" s="69"/>
      <c r="O192" s="69"/>
      <c r="P192" s="69">
        <f t="shared" si="123"/>
        <v>1020000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23" customFormat="1" ht="37.5" customHeight="1" x14ac:dyDescent="0.25">
      <c r="A193" s="52" t="s">
        <v>309</v>
      </c>
      <c r="B193" s="45" t="str">
        <f>'дод 4'!A126</f>
        <v>7650</v>
      </c>
      <c r="C193" s="45" t="str">
        <f>'дод 4'!B126</f>
        <v>0490</v>
      </c>
      <c r="D193" s="22" t="str">
        <f>'дод 4'!C126</f>
        <v>Проведення експертної грошової оцінки земельної ділянки чи права на неї</v>
      </c>
      <c r="E193" s="69">
        <f t="shared" si="122"/>
        <v>0</v>
      </c>
      <c r="F193" s="69"/>
      <c r="G193" s="69"/>
      <c r="H193" s="69"/>
      <c r="I193" s="69"/>
      <c r="J193" s="69">
        <f t="shared" si="124"/>
        <v>30000</v>
      </c>
      <c r="K193" s="69">
        <v>30000</v>
      </c>
      <c r="L193" s="69"/>
      <c r="M193" s="69"/>
      <c r="N193" s="69"/>
      <c r="O193" s="69">
        <v>30000</v>
      </c>
      <c r="P193" s="69">
        <f t="shared" si="123"/>
        <v>30000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23" customFormat="1" ht="51.75" customHeight="1" x14ac:dyDescent="0.25">
      <c r="A194" s="52" t="s">
        <v>311</v>
      </c>
      <c r="B194" s="45" t="str">
        <f>'дод 4'!A127</f>
        <v>7660</v>
      </c>
      <c r="C194" s="45" t="str">
        <f>'дод 4'!B127</f>
        <v>0490</v>
      </c>
      <c r="D194" s="22" t="str">
        <f>'дод 4'!C127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4" s="69">
        <f t="shared" si="122"/>
        <v>0</v>
      </c>
      <c r="F194" s="69"/>
      <c r="G194" s="69"/>
      <c r="H194" s="69"/>
      <c r="I194" s="69"/>
      <c r="J194" s="69">
        <f t="shared" si="124"/>
        <v>45000</v>
      </c>
      <c r="K194" s="69">
        <v>45000</v>
      </c>
      <c r="L194" s="69"/>
      <c r="M194" s="69"/>
      <c r="N194" s="69"/>
      <c r="O194" s="69">
        <v>45000</v>
      </c>
      <c r="P194" s="69">
        <f t="shared" si="123"/>
        <v>45000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</row>
    <row r="195" spans="1:529" s="23" customFormat="1" ht="23.25" customHeight="1" x14ac:dyDescent="0.25">
      <c r="A195" s="52" t="s">
        <v>306</v>
      </c>
      <c r="B195" s="45" t="str">
        <f>'дод 4'!A131</f>
        <v>7693</v>
      </c>
      <c r="C195" s="45" t="str">
        <f>'дод 4'!B131</f>
        <v>0490</v>
      </c>
      <c r="D195" s="22" t="str">
        <f>'дод 4'!C131</f>
        <v>Інші заходи, пов'язані з економічною діяльністю</v>
      </c>
      <c r="E195" s="69">
        <f t="shared" si="122"/>
        <v>690000</v>
      </c>
      <c r="F195" s="69">
        <f>490000+200000</f>
        <v>690000</v>
      </c>
      <c r="G195" s="69"/>
      <c r="H195" s="69"/>
      <c r="I195" s="69"/>
      <c r="J195" s="69">
        <f t="shared" si="124"/>
        <v>0</v>
      </c>
      <c r="K195" s="69"/>
      <c r="L195" s="69"/>
      <c r="M195" s="69"/>
      <c r="N195" s="69"/>
      <c r="O195" s="69"/>
      <c r="P195" s="69">
        <f t="shared" si="123"/>
        <v>690000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</row>
    <row r="196" spans="1:529" s="31" customFormat="1" ht="36" customHeight="1" x14ac:dyDescent="0.2">
      <c r="A196" s="76" t="s">
        <v>255</v>
      </c>
      <c r="B196" s="74"/>
      <c r="C196" s="74"/>
      <c r="D196" s="30" t="s">
        <v>54</v>
      </c>
      <c r="E196" s="66">
        <f>E197</f>
        <v>132881737</v>
      </c>
      <c r="F196" s="66">
        <f t="shared" ref="F196:J196" si="125">F197</f>
        <v>127274665</v>
      </c>
      <c r="G196" s="66">
        <f t="shared" si="125"/>
        <v>13886000</v>
      </c>
      <c r="H196" s="66">
        <f t="shared" si="125"/>
        <v>244400</v>
      </c>
      <c r="I196" s="66">
        <f t="shared" si="125"/>
        <v>0</v>
      </c>
      <c r="J196" s="66">
        <f t="shared" si="125"/>
        <v>93500</v>
      </c>
      <c r="K196" s="66">
        <f t="shared" ref="K196" si="126">K197</f>
        <v>0</v>
      </c>
      <c r="L196" s="66">
        <f t="shared" ref="L196" si="127">L197</f>
        <v>93500</v>
      </c>
      <c r="M196" s="66">
        <f t="shared" ref="M196" si="128">M197</f>
        <v>0</v>
      </c>
      <c r="N196" s="66">
        <f t="shared" ref="N196" si="129">N197</f>
        <v>0</v>
      </c>
      <c r="O196" s="66">
        <f t="shared" ref="O196:P196" si="130">O197</f>
        <v>0</v>
      </c>
      <c r="P196" s="66">
        <f t="shared" si="130"/>
        <v>132975237</v>
      </c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8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  <c r="GB196" s="38"/>
      <c r="GC196" s="38"/>
      <c r="GD196" s="38"/>
      <c r="GE196" s="38"/>
      <c r="GF196" s="38"/>
      <c r="GG196" s="38"/>
      <c r="GH196" s="38"/>
      <c r="GI196" s="38"/>
      <c r="GJ196" s="38"/>
      <c r="GK196" s="38"/>
      <c r="GL196" s="38"/>
      <c r="GM196" s="38"/>
      <c r="GN196" s="38"/>
      <c r="GO196" s="38"/>
      <c r="GP196" s="38"/>
      <c r="GQ196" s="38"/>
      <c r="GR196" s="38"/>
      <c r="GS196" s="38"/>
      <c r="GT196" s="38"/>
      <c r="GU196" s="38"/>
      <c r="GV196" s="38"/>
      <c r="GW196" s="38"/>
      <c r="GX196" s="38"/>
      <c r="GY196" s="38"/>
      <c r="GZ196" s="38"/>
      <c r="HA196" s="38"/>
      <c r="HB196" s="38"/>
      <c r="HC196" s="38"/>
      <c r="HD196" s="38"/>
      <c r="HE196" s="38"/>
      <c r="HF196" s="38"/>
      <c r="HG196" s="38"/>
      <c r="HH196" s="38"/>
      <c r="HI196" s="38"/>
      <c r="HJ196" s="38"/>
      <c r="HK196" s="38"/>
      <c r="HL196" s="38"/>
      <c r="HM196" s="38"/>
      <c r="HN196" s="38"/>
      <c r="HO196" s="38"/>
      <c r="HP196" s="38"/>
      <c r="HQ196" s="38"/>
      <c r="HR196" s="38"/>
      <c r="HS196" s="38"/>
      <c r="HT196" s="38"/>
      <c r="HU196" s="38"/>
      <c r="HV196" s="38"/>
      <c r="HW196" s="38"/>
      <c r="HX196" s="38"/>
      <c r="HY196" s="38"/>
      <c r="HZ196" s="38"/>
      <c r="IA196" s="38"/>
      <c r="IB196" s="38"/>
      <c r="IC196" s="38"/>
      <c r="ID196" s="38"/>
      <c r="IE196" s="38"/>
      <c r="IF196" s="38"/>
      <c r="IG196" s="38"/>
      <c r="IH196" s="38"/>
      <c r="II196" s="38"/>
      <c r="IJ196" s="38"/>
      <c r="IK196" s="38"/>
      <c r="IL196" s="38"/>
      <c r="IM196" s="38"/>
      <c r="IN196" s="38"/>
      <c r="IO196" s="38"/>
      <c r="IP196" s="38"/>
      <c r="IQ196" s="38"/>
      <c r="IR196" s="38"/>
      <c r="IS196" s="38"/>
      <c r="IT196" s="38"/>
      <c r="IU196" s="38"/>
      <c r="IV196" s="38"/>
      <c r="IW196" s="38"/>
      <c r="IX196" s="38"/>
      <c r="IY196" s="38"/>
      <c r="IZ196" s="38"/>
      <c r="JA196" s="38"/>
      <c r="JB196" s="38"/>
      <c r="JC196" s="38"/>
      <c r="JD196" s="38"/>
      <c r="JE196" s="38"/>
      <c r="JF196" s="38"/>
      <c r="JG196" s="38"/>
      <c r="JH196" s="38"/>
      <c r="JI196" s="38"/>
      <c r="JJ196" s="38"/>
      <c r="JK196" s="38"/>
      <c r="JL196" s="38"/>
      <c r="JM196" s="38"/>
      <c r="JN196" s="38"/>
      <c r="JO196" s="38"/>
      <c r="JP196" s="38"/>
      <c r="JQ196" s="38"/>
      <c r="JR196" s="38"/>
      <c r="JS196" s="38"/>
      <c r="JT196" s="38"/>
      <c r="JU196" s="38"/>
      <c r="JV196" s="38"/>
      <c r="JW196" s="38"/>
      <c r="JX196" s="38"/>
      <c r="JY196" s="38"/>
      <c r="JZ196" s="38"/>
      <c r="KA196" s="38"/>
      <c r="KB196" s="38"/>
      <c r="KC196" s="38"/>
      <c r="KD196" s="38"/>
      <c r="KE196" s="38"/>
      <c r="KF196" s="38"/>
      <c r="KG196" s="38"/>
      <c r="KH196" s="38"/>
      <c r="KI196" s="38"/>
      <c r="KJ196" s="38"/>
      <c r="KK196" s="38"/>
      <c r="KL196" s="38"/>
      <c r="KM196" s="38"/>
      <c r="KN196" s="38"/>
      <c r="KO196" s="38"/>
      <c r="KP196" s="38"/>
      <c r="KQ196" s="38"/>
      <c r="KR196" s="38"/>
      <c r="KS196" s="38"/>
      <c r="KT196" s="38"/>
      <c r="KU196" s="38"/>
      <c r="KV196" s="38"/>
      <c r="KW196" s="38"/>
      <c r="KX196" s="38"/>
      <c r="KY196" s="38"/>
      <c r="KZ196" s="38"/>
      <c r="LA196" s="38"/>
      <c r="LB196" s="38"/>
      <c r="LC196" s="38"/>
      <c r="LD196" s="38"/>
      <c r="LE196" s="38"/>
      <c r="LF196" s="38"/>
      <c r="LG196" s="38"/>
      <c r="LH196" s="38"/>
      <c r="LI196" s="38"/>
      <c r="LJ196" s="38"/>
      <c r="LK196" s="38"/>
      <c r="LL196" s="38"/>
      <c r="LM196" s="38"/>
      <c r="LN196" s="38"/>
      <c r="LO196" s="38"/>
      <c r="LP196" s="38"/>
      <c r="LQ196" s="38"/>
      <c r="LR196" s="38"/>
      <c r="LS196" s="38"/>
      <c r="LT196" s="38"/>
      <c r="LU196" s="38"/>
      <c r="LV196" s="38"/>
      <c r="LW196" s="38"/>
      <c r="LX196" s="38"/>
      <c r="LY196" s="38"/>
      <c r="LZ196" s="38"/>
      <c r="MA196" s="38"/>
      <c r="MB196" s="38"/>
      <c r="MC196" s="38"/>
      <c r="MD196" s="38"/>
      <c r="ME196" s="38"/>
      <c r="MF196" s="38"/>
      <c r="MG196" s="38"/>
      <c r="MH196" s="38"/>
      <c r="MI196" s="38"/>
      <c r="MJ196" s="38"/>
      <c r="MK196" s="38"/>
      <c r="ML196" s="38"/>
      <c r="MM196" s="38"/>
      <c r="MN196" s="38"/>
      <c r="MO196" s="38"/>
      <c r="MP196" s="38"/>
      <c r="MQ196" s="38"/>
      <c r="MR196" s="38"/>
      <c r="MS196" s="38"/>
      <c r="MT196" s="38"/>
      <c r="MU196" s="38"/>
      <c r="MV196" s="38"/>
      <c r="MW196" s="38"/>
      <c r="MX196" s="38"/>
      <c r="MY196" s="38"/>
      <c r="MZ196" s="38"/>
      <c r="NA196" s="38"/>
      <c r="NB196" s="38"/>
      <c r="NC196" s="38"/>
      <c r="ND196" s="38"/>
      <c r="NE196" s="38"/>
      <c r="NF196" s="38"/>
      <c r="NG196" s="38"/>
      <c r="NH196" s="38"/>
      <c r="NI196" s="38"/>
      <c r="NJ196" s="38"/>
      <c r="NK196" s="38"/>
      <c r="NL196" s="38"/>
      <c r="NM196" s="38"/>
      <c r="NN196" s="38"/>
      <c r="NO196" s="38"/>
      <c r="NP196" s="38"/>
      <c r="NQ196" s="38"/>
      <c r="NR196" s="38"/>
      <c r="NS196" s="38"/>
      <c r="NT196" s="38"/>
      <c r="NU196" s="38"/>
      <c r="NV196" s="38"/>
      <c r="NW196" s="38"/>
      <c r="NX196" s="38"/>
      <c r="NY196" s="38"/>
      <c r="NZ196" s="38"/>
      <c r="OA196" s="38"/>
      <c r="OB196" s="38"/>
      <c r="OC196" s="38"/>
      <c r="OD196" s="38"/>
      <c r="OE196" s="38"/>
      <c r="OF196" s="38"/>
      <c r="OG196" s="38"/>
      <c r="OH196" s="38"/>
      <c r="OI196" s="38"/>
      <c r="OJ196" s="38"/>
      <c r="OK196" s="38"/>
      <c r="OL196" s="38"/>
      <c r="OM196" s="38"/>
      <c r="ON196" s="38"/>
      <c r="OO196" s="38"/>
      <c r="OP196" s="38"/>
      <c r="OQ196" s="38"/>
      <c r="OR196" s="38"/>
      <c r="OS196" s="38"/>
      <c r="OT196" s="38"/>
      <c r="OU196" s="38"/>
      <c r="OV196" s="38"/>
      <c r="OW196" s="38"/>
      <c r="OX196" s="38"/>
      <c r="OY196" s="38"/>
      <c r="OZ196" s="38"/>
      <c r="PA196" s="38"/>
      <c r="PB196" s="38"/>
      <c r="PC196" s="38"/>
      <c r="PD196" s="38"/>
      <c r="PE196" s="38"/>
      <c r="PF196" s="38"/>
      <c r="PG196" s="38"/>
      <c r="PH196" s="38"/>
      <c r="PI196" s="38"/>
      <c r="PJ196" s="38"/>
      <c r="PK196" s="38"/>
      <c r="PL196" s="38"/>
      <c r="PM196" s="38"/>
      <c r="PN196" s="38"/>
      <c r="PO196" s="38"/>
      <c r="PP196" s="38"/>
      <c r="PQ196" s="38"/>
      <c r="PR196" s="38"/>
      <c r="PS196" s="38"/>
      <c r="PT196" s="38"/>
      <c r="PU196" s="38"/>
      <c r="PV196" s="38"/>
      <c r="PW196" s="38"/>
      <c r="PX196" s="38"/>
      <c r="PY196" s="38"/>
      <c r="PZ196" s="38"/>
      <c r="QA196" s="38"/>
      <c r="QB196" s="38"/>
      <c r="QC196" s="38"/>
      <c r="QD196" s="38"/>
      <c r="QE196" s="38"/>
      <c r="QF196" s="38"/>
      <c r="QG196" s="38"/>
      <c r="QH196" s="38"/>
      <c r="QI196" s="38"/>
      <c r="QJ196" s="38"/>
      <c r="QK196" s="38"/>
      <c r="QL196" s="38"/>
      <c r="QM196" s="38"/>
      <c r="QN196" s="38"/>
      <c r="QO196" s="38"/>
      <c r="QP196" s="38"/>
      <c r="QQ196" s="38"/>
      <c r="QR196" s="38"/>
      <c r="QS196" s="38"/>
      <c r="QT196" s="38"/>
      <c r="QU196" s="38"/>
      <c r="QV196" s="38"/>
      <c r="QW196" s="38"/>
      <c r="QX196" s="38"/>
      <c r="QY196" s="38"/>
      <c r="QZ196" s="38"/>
      <c r="RA196" s="38"/>
      <c r="RB196" s="38"/>
      <c r="RC196" s="38"/>
      <c r="RD196" s="38"/>
      <c r="RE196" s="38"/>
      <c r="RF196" s="38"/>
      <c r="RG196" s="38"/>
      <c r="RH196" s="38"/>
      <c r="RI196" s="38"/>
      <c r="RJ196" s="38"/>
      <c r="RK196" s="38"/>
      <c r="RL196" s="38"/>
      <c r="RM196" s="38"/>
      <c r="RN196" s="38"/>
      <c r="RO196" s="38"/>
      <c r="RP196" s="38"/>
      <c r="RQ196" s="38"/>
      <c r="RR196" s="38"/>
      <c r="RS196" s="38"/>
      <c r="RT196" s="38"/>
      <c r="RU196" s="38"/>
      <c r="RV196" s="38"/>
      <c r="RW196" s="38"/>
      <c r="RX196" s="38"/>
      <c r="RY196" s="38"/>
      <c r="RZ196" s="38"/>
      <c r="SA196" s="38"/>
      <c r="SB196" s="38"/>
      <c r="SC196" s="38"/>
      <c r="SD196" s="38"/>
      <c r="SE196" s="38"/>
      <c r="SF196" s="38"/>
      <c r="SG196" s="38"/>
      <c r="SH196" s="38"/>
      <c r="SI196" s="38"/>
      <c r="SJ196" s="38"/>
      <c r="SK196" s="38"/>
      <c r="SL196" s="38"/>
      <c r="SM196" s="38"/>
      <c r="SN196" s="38"/>
      <c r="SO196" s="38"/>
      <c r="SP196" s="38"/>
      <c r="SQ196" s="38"/>
      <c r="SR196" s="38"/>
      <c r="SS196" s="38"/>
      <c r="ST196" s="38"/>
      <c r="SU196" s="38"/>
      <c r="SV196" s="38"/>
      <c r="SW196" s="38"/>
      <c r="SX196" s="38"/>
      <c r="SY196" s="38"/>
      <c r="SZ196" s="38"/>
      <c r="TA196" s="38"/>
      <c r="TB196" s="38"/>
      <c r="TC196" s="38"/>
      <c r="TD196" s="38"/>
      <c r="TE196" s="38"/>
      <c r="TF196" s="38"/>
      <c r="TG196" s="38"/>
      <c r="TH196" s="38"/>
      <c r="TI196" s="38"/>
    </row>
    <row r="197" spans="1:529" s="40" customFormat="1" ht="36" customHeight="1" x14ac:dyDescent="0.25">
      <c r="A197" s="77" t="s">
        <v>256</v>
      </c>
      <c r="B197" s="75"/>
      <c r="C197" s="75"/>
      <c r="D197" s="33" t="s">
        <v>54</v>
      </c>
      <c r="E197" s="68">
        <f>SUM(E198+E199+E200+E202+E203+E204+E205+E201)</f>
        <v>132881737</v>
      </c>
      <c r="F197" s="68">
        <f t="shared" ref="F197:P197" si="131">SUM(F198+F199+F200+F202+F203+F204+F205+F201)</f>
        <v>127274665</v>
      </c>
      <c r="G197" s="68">
        <f t="shared" si="131"/>
        <v>13886000</v>
      </c>
      <c r="H197" s="68">
        <f t="shared" si="131"/>
        <v>244400</v>
      </c>
      <c r="I197" s="68">
        <f t="shared" si="131"/>
        <v>0</v>
      </c>
      <c r="J197" s="68">
        <f t="shared" si="131"/>
        <v>93500</v>
      </c>
      <c r="K197" s="68">
        <f t="shared" si="131"/>
        <v>0</v>
      </c>
      <c r="L197" s="68">
        <f t="shared" si="131"/>
        <v>93500</v>
      </c>
      <c r="M197" s="68">
        <f t="shared" si="131"/>
        <v>0</v>
      </c>
      <c r="N197" s="68">
        <f t="shared" si="131"/>
        <v>0</v>
      </c>
      <c r="O197" s="68">
        <f t="shared" si="131"/>
        <v>0</v>
      </c>
      <c r="P197" s="68">
        <f t="shared" si="131"/>
        <v>132975237</v>
      </c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  <c r="JF197" s="39"/>
      <c r="JG197" s="39"/>
      <c r="JH197" s="39"/>
      <c r="JI197" s="39"/>
      <c r="JJ197" s="39"/>
      <c r="JK197" s="39"/>
      <c r="JL197" s="39"/>
      <c r="JM197" s="39"/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39"/>
      <c r="KH197" s="39"/>
      <c r="KI197" s="39"/>
      <c r="KJ197" s="39"/>
      <c r="KK197" s="39"/>
      <c r="KL197" s="39"/>
      <c r="KM197" s="39"/>
      <c r="KN197" s="39"/>
      <c r="KO197" s="39"/>
      <c r="KP197" s="39"/>
      <c r="KQ197" s="39"/>
      <c r="KR197" s="39"/>
      <c r="KS197" s="39"/>
      <c r="KT197" s="39"/>
      <c r="KU197" s="39"/>
      <c r="KV197" s="39"/>
      <c r="KW197" s="39"/>
      <c r="KX197" s="39"/>
      <c r="KY197" s="39"/>
      <c r="KZ197" s="39"/>
      <c r="LA197" s="39"/>
      <c r="LB197" s="39"/>
      <c r="LC197" s="39"/>
      <c r="LD197" s="39"/>
      <c r="LE197" s="39"/>
      <c r="LF197" s="39"/>
      <c r="LG197" s="39"/>
      <c r="LH197" s="39"/>
      <c r="LI197" s="39"/>
      <c r="LJ197" s="39"/>
      <c r="LK197" s="39"/>
      <c r="LL197" s="39"/>
      <c r="LM197" s="39"/>
      <c r="LN197" s="39"/>
      <c r="LO197" s="39"/>
      <c r="LP197" s="39"/>
      <c r="LQ197" s="39"/>
      <c r="LR197" s="39"/>
      <c r="LS197" s="39"/>
      <c r="LT197" s="39"/>
      <c r="LU197" s="39"/>
      <c r="LV197" s="39"/>
      <c r="LW197" s="39"/>
      <c r="LX197" s="39"/>
      <c r="LY197" s="39"/>
      <c r="LZ197" s="39"/>
      <c r="MA197" s="39"/>
      <c r="MB197" s="39"/>
      <c r="MC197" s="39"/>
      <c r="MD197" s="39"/>
      <c r="ME197" s="39"/>
      <c r="MF197" s="39"/>
      <c r="MG197" s="39"/>
      <c r="MH197" s="39"/>
      <c r="MI197" s="39"/>
      <c r="MJ197" s="39"/>
      <c r="MK197" s="39"/>
      <c r="ML197" s="39"/>
      <c r="MM197" s="39"/>
      <c r="MN197" s="39"/>
      <c r="MO197" s="39"/>
      <c r="MP197" s="39"/>
      <c r="MQ197" s="39"/>
      <c r="MR197" s="39"/>
      <c r="MS197" s="39"/>
      <c r="MT197" s="39"/>
      <c r="MU197" s="39"/>
      <c r="MV197" s="39"/>
      <c r="MW197" s="39"/>
      <c r="MX197" s="39"/>
      <c r="MY197" s="39"/>
      <c r="MZ197" s="39"/>
      <c r="NA197" s="39"/>
      <c r="NB197" s="39"/>
      <c r="NC197" s="39"/>
      <c r="ND197" s="39"/>
      <c r="NE197" s="39"/>
      <c r="NF197" s="39"/>
      <c r="NG197" s="39"/>
      <c r="NH197" s="39"/>
      <c r="NI197" s="39"/>
      <c r="NJ197" s="39"/>
      <c r="NK197" s="39"/>
      <c r="NL197" s="39"/>
      <c r="NM197" s="39"/>
      <c r="NN197" s="39"/>
      <c r="NO197" s="39"/>
      <c r="NP197" s="39"/>
      <c r="NQ197" s="39"/>
      <c r="NR197" s="39"/>
      <c r="NS197" s="39"/>
      <c r="NT197" s="39"/>
      <c r="NU197" s="39"/>
      <c r="NV197" s="39"/>
      <c r="NW197" s="39"/>
      <c r="NX197" s="39"/>
      <c r="NY197" s="39"/>
      <c r="NZ197" s="39"/>
      <c r="OA197" s="39"/>
      <c r="OB197" s="39"/>
      <c r="OC197" s="39"/>
      <c r="OD197" s="39"/>
      <c r="OE197" s="39"/>
      <c r="OF197" s="39"/>
      <c r="OG197" s="39"/>
      <c r="OH197" s="39"/>
      <c r="OI197" s="39"/>
      <c r="OJ197" s="39"/>
      <c r="OK197" s="39"/>
      <c r="OL197" s="39"/>
      <c r="OM197" s="39"/>
      <c r="ON197" s="39"/>
      <c r="OO197" s="39"/>
      <c r="OP197" s="39"/>
      <c r="OQ197" s="39"/>
      <c r="OR197" s="39"/>
      <c r="OS197" s="39"/>
      <c r="OT197" s="39"/>
      <c r="OU197" s="39"/>
      <c r="OV197" s="39"/>
      <c r="OW197" s="39"/>
      <c r="OX197" s="39"/>
      <c r="OY197" s="39"/>
      <c r="OZ197" s="39"/>
      <c r="PA197" s="39"/>
      <c r="PB197" s="39"/>
      <c r="PC197" s="39"/>
      <c r="PD197" s="39"/>
      <c r="PE197" s="39"/>
      <c r="PF197" s="39"/>
      <c r="PG197" s="39"/>
      <c r="PH197" s="39"/>
      <c r="PI197" s="39"/>
      <c r="PJ197" s="39"/>
      <c r="PK197" s="39"/>
      <c r="PL197" s="39"/>
      <c r="PM197" s="39"/>
      <c r="PN197" s="39"/>
      <c r="PO197" s="39"/>
      <c r="PP197" s="39"/>
      <c r="PQ197" s="39"/>
      <c r="PR197" s="39"/>
      <c r="PS197" s="39"/>
      <c r="PT197" s="39"/>
      <c r="PU197" s="39"/>
      <c r="PV197" s="39"/>
      <c r="PW197" s="39"/>
      <c r="PX197" s="39"/>
      <c r="PY197" s="39"/>
      <c r="PZ197" s="39"/>
      <c r="QA197" s="39"/>
      <c r="QB197" s="39"/>
      <c r="QC197" s="39"/>
      <c r="QD197" s="39"/>
      <c r="QE197" s="39"/>
      <c r="QF197" s="39"/>
      <c r="QG197" s="39"/>
      <c r="QH197" s="39"/>
      <c r="QI197" s="39"/>
      <c r="QJ197" s="39"/>
      <c r="QK197" s="39"/>
      <c r="QL197" s="39"/>
      <c r="QM197" s="39"/>
      <c r="QN197" s="39"/>
      <c r="QO197" s="39"/>
      <c r="QP197" s="39"/>
      <c r="QQ197" s="39"/>
      <c r="QR197" s="39"/>
      <c r="QS197" s="39"/>
      <c r="QT197" s="39"/>
      <c r="QU197" s="39"/>
      <c r="QV197" s="39"/>
      <c r="QW197" s="39"/>
      <c r="QX197" s="39"/>
      <c r="QY197" s="39"/>
      <c r="QZ197" s="39"/>
      <c r="RA197" s="39"/>
      <c r="RB197" s="39"/>
      <c r="RC197" s="39"/>
      <c r="RD197" s="39"/>
      <c r="RE197" s="39"/>
      <c r="RF197" s="39"/>
      <c r="RG197" s="39"/>
      <c r="RH197" s="39"/>
      <c r="RI197" s="39"/>
      <c r="RJ197" s="39"/>
      <c r="RK197" s="39"/>
      <c r="RL197" s="39"/>
      <c r="RM197" s="39"/>
      <c r="RN197" s="39"/>
      <c r="RO197" s="39"/>
      <c r="RP197" s="39"/>
      <c r="RQ197" s="39"/>
      <c r="RR197" s="39"/>
      <c r="RS197" s="39"/>
      <c r="RT197" s="39"/>
      <c r="RU197" s="39"/>
      <c r="RV197" s="39"/>
      <c r="RW197" s="39"/>
      <c r="RX197" s="39"/>
      <c r="RY197" s="39"/>
      <c r="RZ197" s="39"/>
      <c r="SA197" s="39"/>
      <c r="SB197" s="39"/>
      <c r="SC197" s="39"/>
      <c r="SD197" s="39"/>
      <c r="SE197" s="39"/>
      <c r="SF197" s="39"/>
      <c r="SG197" s="39"/>
      <c r="SH197" s="39"/>
      <c r="SI197" s="39"/>
      <c r="SJ197" s="39"/>
      <c r="SK197" s="39"/>
      <c r="SL197" s="39"/>
      <c r="SM197" s="39"/>
      <c r="SN197" s="39"/>
      <c r="SO197" s="39"/>
      <c r="SP197" s="39"/>
      <c r="SQ197" s="39"/>
      <c r="SR197" s="39"/>
      <c r="SS197" s="39"/>
      <c r="ST197" s="39"/>
      <c r="SU197" s="39"/>
      <c r="SV197" s="39"/>
      <c r="SW197" s="39"/>
      <c r="SX197" s="39"/>
      <c r="SY197" s="39"/>
      <c r="SZ197" s="39"/>
      <c r="TA197" s="39"/>
      <c r="TB197" s="39"/>
      <c r="TC197" s="39"/>
      <c r="TD197" s="39"/>
      <c r="TE197" s="39"/>
      <c r="TF197" s="39"/>
      <c r="TG197" s="39"/>
      <c r="TH197" s="39"/>
      <c r="TI197" s="39"/>
    </row>
    <row r="198" spans="1:529" s="23" customFormat="1" ht="42" customHeight="1" x14ac:dyDescent="0.25">
      <c r="A198" s="43" t="s">
        <v>257</v>
      </c>
      <c r="B198" s="44" t="str">
        <f>'дод 4'!A20</f>
        <v>0160</v>
      </c>
      <c r="C198" s="44" t="str">
        <f>'дод 4'!B20</f>
        <v>0111</v>
      </c>
      <c r="D198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98" s="69">
        <f t="shared" ref="E198:E203" si="132">F198+I198</f>
        <v>17812800</v>
      </c>
      <c r="F198" s="69">
        <f>18669000+46200-857400-45000</f>
        <v>17812800</v>
      </c>
      <c r="G198" s="69">
        <f>14625700-702800-36900</f>
        <v>13886000</v>
      </c>
      <c r="H198" s="69">
        <v>244400</v>
      </c>
      <c r="I198" s="69"/>
      <c r="J198" s="69">
        <f>L198+O198</f>
        <v>0</v>
      </c>
      <c r="K198" s="69"/>
      <c r="L198" s="69"/>
      <c r="M198" s="69"/>
      <c r="N198" s="69"/>
      <c r="O198" s="69"/>
      <c r="P198" s="69">
        <f t="shared" ref="P198:P205" si="133">E198+J198</f>
        <v>17812800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23" customFormat="1" ht="18.75" customHeight="1" x14ac:dyDescent="0.25">
      <c r="A199" s="43" t="s">
        <v>300</v>
      </c>
      <c r="B199" s="44" t="str">
        <f>'дод 4'!A125</f>
        <v>7640</v>
      </c>
      <c r="C199" s="44" t="str">
        <f>'дод 4'!B125</f>
        <v>0470</v>
      </c>
      <c r="D199" s="24" t="str">
        <f>'дод 4'!C125</f>
        <v>Заходи з енергозбереження</v>
      </c>
      <c r="E199" s="69">
        <f t="shared" si="132"/>
        <v>345000</v>
      </c>
      <c r="F199" s="69">
        <v>345000</v>
      </c>
      <c r="G199" s="69"/>
      <c r="H199" s="69"/>
      <c r="I199" s="69"/>
      <c r="J199" s="69">
        <f t="shared" ref="J199:J205" si="134">L199+O199</f>
        <v>0</v>
      </c>
      <c r="K199" s="69"/>
      <c r="L199" s="69"/>
      <c r="M199" s="69"/>
      <c r="N199" s="69"/>
      <c r="O199" s="69"/>
      <c r="P199" s="69">
        <f t="shared" si="133"/>
        <v>345000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24" customHeight="1" x14ac:dyDescent="0.25">
      <c r="A200" s="43" t="s">
        <v>387</v>
      </c>
      <c r="B200" s="44" t="str">
        <f>'дод 4'!A131</f>
        <v>7693</v>
      </c>
      <c r="C200" s="44" t="str">
        <f>'дод 4'!B131</f>
        <v>0490</v>
      </c>
      <c r="D200" s="24" t="str">
        <f>'дод 4'!C131</f>
        <v>Інші заходи, пов'язані з економічною діяльністю</v>
      </c>
      <c r="E200" s="69">
        <f t="shared" si="132"/>
        <v>213200</v>
      </c>
      <c r="F200" s="69">
        <v>213200</v>
      </c>
      <c r="G200" s="69"/>
      <c r="H200" s="69"/>
      <c r="I200" s="69"/>
      <c r="J200" s="69">
        <f t="shared" si="134"/>
        <v>0</v>
      </c>
      <c r="K200" s="69"/>
      <c r="L200" s="69"/>
      <c r="M200" s="69"/>
      <c r="N200" s="69"/>
      <c r="O200" s="69"/>
      <c r="P200" s="69">
        <f t="shared" si="133"/>
        <v>213200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33.75" customHeight="1" x14ac:dyDescent="0.25">
      <c r="A201" s="43">
        <v>3718330</v>
      </c>
      <c r="B201" s="44">
        <f>'дод 4'!A141</f>
        <v>8330</v>
      </c>
      <c r="C201" s="44">
        <f>'дод 4'!B141</f>
        <v>540</v>
      </c>
      <c r="D201" s="24" t="str">
        <f>'дод 4'!C141</f>
        <v xml:space="preserve">Інша діяльність у сфері екології та охорони природних ресурсів </v>
      </c>
      <c r="E201" s="69">
        <f t="shared" si="132"/>
        <v>75000</v>
      </c>
      <c r="F201" s="69">
        <v>75000</v>
      </c>
      <c r="G201" s="69"/>
      <c r="H201" s="69"/>
      <c r="I201" s="69"/>
      <c r="J201" s="69">
        <f t="shared" si="134"/>
        <v>0</v>
      </c>
      <c r="K201" s="69"/>
      <c r="L201" s="69"/>
      <c r="M201" s="69"/>
      <c r="N201" s="69"/>
      <c r="O201" s="69"/>
      <c r="P201" s="69">
        <f t="shared" si="133"/>
        <v>75000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26.25" customHeight="1" x14ac:dyDescent="0.25">
      <c r="A202" s="43" t="s">
        <v>258</v>
      </c>
      <c r="B202" s="44" t="str">
        <f>'дод 4'!A142</f>
        <v>8340</v>
      </c>
      <c r="C202" s="43" t="str">
        <f>'дод 4'!B142</f>
        <v>0540</v>
      </c>
      <c r="D202" s="24" t="str">
        <f>'дод 4'!C142</f>
        <v>Природоохоронні заходи за рахунок цільових фондів</v>
      </c>
      <c r="E202" s="69">
        <f t="shared" si="132"/>
        <v>0</v>
      </c>
      <c r="F202" s="69"/>
      <c r="G202" s="69"/>
      <c r="H202" s="69"/>
      <c r="I202" s="69"/>
      <c r="J202" s="69">
        <f t="shared" si="134"/>
        <v>93500</v>
      </c>
      <c r="K202" s="69"/>
      <c r="L202" s="69">
        <f>45000+48500</f>
        <v>93500</v>
      </c>
      <c r="M202" s="69"/>
      <c r="N202" s="69"/>
      <c r="O202" s="69"/>
      <c r="P202" s="69">
        <f t="shared" si="133"/>
        <v>93500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27" customHeight="1" x14ac:dyDescent="0.25">
      <c r="A203" s="43" t="s">
        <v>259</v>
      </c>
      <c r="B203" s="44" t="str">
        <f>'дод 4'!A145</f>
        <v>8600</v>
      </c>
      <c r="C203" s="44" t="str">
        <f>'дод 4'!B145</f>
        <v>0170</v>
      </c>
      <c r="D203" s="24" t="str">
        <f>'дод 4'!C145</f>
        <v>Обслуговування місцевого боргу</v>
      </c>
      <c r="E203" s="69">
        <f t="shared" si="132"/>
        <v>712065</v>
      </c>
      <c r="F203" s="69">
        <f>28187+238378+445500</f>
        <v>712065</v>
      </c>
      <c r="G203" s="69"/>
      <c r="H203" s="69"/>
      <c r="I203" s="69"/>
      <c r="J203" s="69">
        <f t="shared" si="134"/>
        <v>0</v>
      </c>
      <c r="K203" s="69"/>
      <c r="L203" s="69"/>
      <c r="M203" s="69"/>
      <c r="N203" s="69"/>
      <c r="O203" s="69"/>
      <c r="P203" s="69">
        <f t="shared" si="133"/>
        <v>712065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23" customFormat="1" ht="21" customHeight="1" x14ac:dyDescent="0.25">
      <c r="A204" s="43" t="s">
        <v>273</v>
      </c>
      <c r="B204" s="44" t="str">
        <f>'дод 4'!A146</f>
        <v>8700</v>
      </c>
      <c r="C204" s="44" t="str">
        <f>'дод 4'!B146</f>
        <v>0133</v>
      </c>
      <c r="D204" s="24" t="str">
        <f>'дод 4'!C146</f>
        <v>Резервний фонд</v>
      </c>
      <c r="E204" s="69">
        <f>20000000+40000+102390-13000000-1535318</f>
        <v>5607072</v>
      </c>
      <c r="F204" s="69"/>
      <c r="G204" s="69"/>
      <c r="H204" s="69"/>
      <c r="I204" s="69"/>
      <c r="J204" s="69">
        <f t="shared" si="134"/>
        <v>0</v>
      </c>
      <c r="K204" s="69"/>
      <c r="L204" s="69"/>
      <c r="M204" s="69"/>
      <c r="N204" s="69"/>
      <c r="O204" s="69"/>
      <c r="P204" s="69">
        <f t="shared" si="133"/>
        <v>5607072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  <c r="MA204" s="26"/>
      <c r="MB204" s="26"/>
      <c r="MC204" s="26"/>
      <c r="MD204" s="26"/>
      <c r="ME204" s="26"/>
      <c r="MF204" s="26"/>
      <c r="MG204" s="26"/>
      <c r="MH204" s="26"/>
      <c r="MI204" s="26"/>
      <c r="MJ204" s="26"/>
      <c r="MK204" s="26"/>
      <c r="ML204" s="26"/>
      <c r="MM204" s="26"/>
      <c r="MN204" s="26"/>
      <c r="MO204" s="26"/>
      <c r="MP204" s="26"/>
      <c r="MQ204" s="26"/>
      <c r="MR204" s="26"/>
      <c r="MS204" s="26"/>
      <c r="MT204" s="26"/>
      <c r="MU204" s="26"/>
      <c r="MV204" s="26"/>
      <c r="MW204" s="26"/>
      <c r="MX204" s="26"/>
      <c r="MY204" s="26"/>
      <c r="MZ204" s="26"/>
      <c r="NA204" s="26"/>
      <c r="NB204" s="26"/>
      <c r="NC204" s="26"/>
      <c r="ND204" s="26"/>
      <c r="NE204" s="26"/>
      <c r="NF204" s="26"/>
      <c r="NG204" s="26"/>
      <c r="NH204" s="26"/>
      <c r="NI204" s="26"/>
      <c r="NJ204" s="26"/>
      <c r="NK204" s="26"/>
      <c r="NL204" s="26"/>
      <c r="NM204" s="26"/>
      <c r="NN204" s="26"/>
      <c r="NO204" s="26"/>
      <c r="NP204" s="26"/>
      <c r="NQ204" s="26"/>
      <c r="NR204" s="26"/>
      <c r="NS204" s="26"/>
      <c r="NT204" s="26"/>
      <c r="NU204" s="26"/>
      <c r="NV204" s="26"/>
      <c r="NW204" s="26"/>
      <c r="NX204" s="26"/>
      <c r="NY204" s="26"/>
      <c r="NZ204" s="26"/>
      <c r="OA204" s="26"/>
      <c r="OB204" s="26"/>
      <c r="OC204" s="26"/>
      <c r="OD204" s="26"/>
      <c r="OE204" s="26"/>
      <c r="OF204" s="26"/>
      <c r="OG204" s="26"/>
      <c r="OH204" s="26"/>
      <c r="OI204" s="26"/>
      <c r="OJ204" s="26"/>
      <c r="OK204" s="26"/>
      <c r="OL204" s="26"/>
      <c r="OM204" s="26"/>
      <c r="ON204" s="26"/>
      <c r="OO204" s="26"/>
      <c r="OP204" s="26"/>
      <c r="OQ204" s="26"/>
      <c r="OR204" s="26"/>
      <c r="OS204" s="26"/>
      <c r="OT204" s="26"/>
      <c r="OU204" s="26"/>
      <c r="OV204" s="26"/>
      <c r="OW204" s="26"/>
      <c r="OX204" s="26"/>
      <c r="OY204" s="26"/>
      <c r="OZ204" s="26"/>
      <c r="PA204" s="26"/>
      <c r="PB204" s="26"/>
      <c r="PC204" s="26"/>
      <c r="PD204" s="26"/>
      <c r="PE204" s="26"/>
      <c r="PF204" s="26"/>
      <c r="PG204" s="26"/>
      <c r="PH204" s="26"/>
      <c r="PI204" s="26"/>
      <c r="PJ204" s="26"/>
      <c r="PK204" s="26"/>
      <c r="PL204" s="26"/>
      <c r="PM204" s="26"/>
      <c r="PN204" s="26"/>
      <c r="PO204" s="26"/>
      <c r="PP204" s="26"/>
      <c r="PQ204" s="26"/>
      <c r="PR204" s="26"/>
      <c r="PS204" s="26"/>
      <c r="PT204" s="26"/>
      <c r="PU204" s="26"/>
      <c r="PV204" s="26"/>
      <c r="PW204" s="26"/>
      <c r="PX204" s="26"/>
      <c r="PY204" s="26"/>
      <c r="PZ204" s="26"/>
      <c r="QA204" s="26"/>
      <c r="QB204" s="26"/>
      <c r="QC204" s="26"/>
      <c r="QD204" s="26"/>
      <c r="QE204" s="26"/>
      <c r="QF204" s="26"/>
      <c r="QG204" s="26"/>
      <c r="QH204" s="26"/>
      <c r="QI204" s="26"/>
      <c r="QJ204" s="26"/>
      <c r="QK204" s="26"/>
      <c r="QL204" s="26"/>
      <c r="QM204" s="26"/>
      <c r="QN204" s="26"/>
      <c r="QO204" s="26"/>
      <c r="QP204" s="26"/>
      <c r="QQ204" s="26"/>
      <c r="QR204" s="26"/>
      <c r="QS204" s="26"/>
      <c r="QT204" s="26"/>
      <c r="QU204" s="26"/>
      <c r="QV204" s="26"/>
      <c r="QW204" s="26"/>
      <c r="QX204" s="26"/>
      <c r="QY204" s="26"/>
      <c r="QZ204" s="26"/>
      <c r="RA204" s="26"/>
      <c r="RB204" s="26"/>
      <c r="RC204" s="26"/>
      <c r="RD204" s="26"/>
      <c r="RE204" s="26"/>
      <c r="RF204" s="26"/>
      <c r="RG204" s="26"/>
      <c r="RH204" s="26"/>
      <c r="RI204" s="26"/>
      <c r="RJ204" s="26"/>
      <c r="RK204" s="26"/>
      <c r="RL204" s="26"/>
      <c r="RM204" s="26"/>
      <c r="RN204" s="26"/>
      <c r="RO204" s="26"/>
      <c r="RP204" s="26"/>
      <c r="RQ204" s="26"/>
      <c r="RR204" s="26"/>
      <c r="RS204" s="26"/>
      <c r="RT204" s="26"/>
      <c r="RU204" s="26"/>
      <c r="RV204" s="26"/>
      <c r="RW204" s="26"/>
      <c r="RX204" s="26"/>
      <c r="RY204" s="26"/>
      <c r="RZ204" s="26"/>
      <c r="SA204" s="26"/>
      <c r="SB204" s="26"/>
      <c r="SC204" s="26"/>
      <c r="SD204" s="26"/>
      <c r="SE204" s="26"/>
      <c r="SF204" s="26"/>
      <c r="SG204" s="26"/>
      <c r="SH204" s="26"/>
      <c r="SI204" s="26"/>
      <c r="SJ204" s="26"/>
      <c r="SK204" s="26"/>
      <c r="SL204" s="26"/>
      <c r="SM204" s="26"/>
      <c r="SN204" s="26"/>
      <c r="SO204" s="26"/>
      <c r="SP204" s="26"/>
      <c r="SQ204" s="26"/>
      <c r="SR204" s="26"/>
      <c r="SS204" s="26"/>
      <c r="ST204" s="26"/>
      <c r="SU204" s="26"/>
      <c r="SV204" s="26"/>
      <c r="SW204" s="26"/>
      <c r="SX204" s="26"/>
      <c r="SY204" s="26"/>
      <c r="SZ204" s="26"/>
      <c r="TA204" s="26"/>
      <c r="TB204" s="26"/>
      <c r="TC204" s="26"/>
      <c r="TD204" s="26"/>
      <c r="TE204" s="26"/>
      <c r="TF204" s="26"/>
      <c r="TG204" s="26"/>
      <c r="TH204" s="26"/>
      <c r="TI204" s="26"/>
    </row>
    <row r="205" spans="1:529" s="23" customFormat="1" ht="22.5" customHeight="1" x14ac:dyDescent="0.25">
      <c r="A205" s="43" t="s">
        <v>274</v>
      </c>
      <c r="B205" s="44" t="str">
        <f>'дод 4'!A149</f>
        <v>9110</v>
      </c>
      <c r="C205" s="44" t="str">
        <f>'дод 4'!B149</f>
        <v>0180</v>
      </c>
      <c r="D205" s="24" t="str">
        <f>'дод 4'!C149</f>
        <v>Реверсна дотація</v>
      </c>
      <c r="E205" s="69">
        <f>F205+I205</f>
        <v>108116600</v>
      </c>
      <c r="F205" s="69">
        <v>108116600</v>
      </c>
      <c r="G205" s="69"/>
      <c r="H205" s="69"/>
      <c r="I205" s="69"/>
      <c r="J205" s="69">
        <f t="shared" si="134"/>
        <v>0</v>
      </c>
      <c r="K205" s="69"/>
      <c r="L205" s="69"/>
      <c r="M205" s="69"/>
      <c r="N205" s="69"/>
      <c r="O205" s="69"/>
      <c r="P205" s="69">
        <f t="shared" si="133"/>
        <v>108116600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</row>
    <row r="206" spans="1:529" s="31" customFormat="1" ht="24.75" customHeight="1" x14ac:dyDescent="0.2">
      <c r="A206" s="90"/>
      <c r="B206" s="74"/>
      <c r="C206" s="79"/>
      <c r="D206" s="30" t="s">
        <v>27</v>
      </c>
      <c r="E206" s="66">
        <f t="shared" ref="E206:P206" si="135">E18+E52+E79+E98+E120+E125+E135+E163+E166+E180+E185+E188+E196</f>
        <v>2076398964.5900002</v>
      </c>
      <c r="F206" s="66">
        <f t="shared" si="135"/>
        <v>2007780454.5900002</v>
      </c>
      <c r="G206" s="66">
        <f t="shared" si="135"/>
        <v>908559932</v>
      </c>
      <c r="H206" s="66">
        <f t="shared" si="135"/>
        <v>119078887</v>
      </c>
      <c r="I206" s="66">
        <f t="shared" si="135"/>
        <v>63011438</v>
      </c>
      <c r="J206" s="66">
        <f t="shared" si="135"/>
        <v>607265101.1099999</v>
      </c>
      <c r="K206" s="66">
        <f t="shared" si="135"/>
        <v>446613854.47000003</v>
      </c>
      <c r="L206" s="66">
        <f t="shared" si="135"/>
        <v>144233011.00999999</v>
      </c>
      <c r="M206" s="66">
        <f t="shared" si="135"/>
        <v>9012497</v>
      </c>
      <c r="N206" s="66">
        <f t="shared" si="135"/>
        <v>3810541</v>
      </c>
      <c r="O206" s="66">
        <f t="shared" si="135"/>
        <v>463032090.10000002</v>
      </c>
      <c r="P206" s="66">
        <f t="shared" si="135"/>
        <v>2683664065.6999998</v>
      </c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  <c r="GB206" s="38"/>
      <c r="GC206" s="38"/>
      <c r="GD206" s="38"/>
      <c r="GE206" s="38"/>
      <c r="GF206" s="38"/>
      <c r="GG206" s="38"/>
      <c r="GH206" s="38"/>
      <c r="GI206" s="38"/>
      <c r="GJ206" s="38"/>
      <c r="GK206" s="38"/>
      <c r="GL206" s="38"/>
      <c r="GM206" s="38"/>
      <c r="GN206" s="38"/>
      <c r="GO206" s="38"/>
      <c r="GP206" s="38"/>
      <c r="GQ206" s="38"/>
      <c r="GR206" s="38"/>
      <c r="GS206" s="38"/>
      <c r="GT206" s="38"/>
      <c r="GU206" s="38"/>
      <c r="GV206" s="38"/>
      <c r="GW206" s="38"/>
      <c r="GX206" s="38"/>
      <c r="GY206" s="38"/>
      <c r="GZ206" s="38"/>
      <c r="HA206" s="38"/>
      <c r="HB206" s="38"/>
      <c r="HC206" s="38"/>
      <c r="HD206" s="38"/>
      <c r="HE206" s="38"/>
      <c r="HF206" s="38"/>
      <c r="HG206" s="38"/>
      <c r="HH206" s="38"/>
      <c r="HI206" s="38"/>
      <c r="HJ206" s="38"/>
      <c r="HK206" s="38"/>
      <c r="HL206" s="38"/>
      <c r="HM206" s="38"/>
      <c r="HN206" s="38"/>
      <c r="HO206" s="38"/>
      <c r="HP206" s="38"/>
      <c r="HQ206" s="38"/>
      <c r="HR206" s="38"/>
      <c r="HS206" s="38"/>
      <c r="HT206" s="38"/>
      <c r="HU206" s="38"/>
      <c r="HV206" s="38"/>
      <c r="HW206" s="38"/>
      <c r="HX206" s="38"/>
      <c r="HY206" s="38"/>
      <c r="HZ206" s="38"/>
      <c r="IA206" s="38"/>
      <c r="IB206" s="38"/>
      <c r="IC206" s="38"/>
      <c r="ID206" s="38"/>
      <c r="IE206" s="38"/>
      <c r="IF206" s="38"/>
      <c r="IG206" s="38"/>
      <c r="IH206" s="38"/>
      <c r="II206" s="38"/>
      <c r="IJ206" s="38"/>
      <c r="IK206" s="38"/>
      <c r="IL206" s="38"/>
      <c r="IM206" s="38"/>
      <c r="IN206" s="38"/>
      <c r="IO206" s="38"/>
      <c r="IP206" s="38"/>
      <c r="IQ206" s="38"/>
      <c r="IR206" s="38"/>
      <c r="IS206" s="38"/>
      <c r="IT206" s="38"/>
      <c r="IU206" s="38"/>
      <c r="IV206" s="38"/>
      <c r="IW206" s="38"/>
      <c r="IX206" s="38"/>
      <c r="IY206" s="38"/>
      <c r="IZ206" s="38"/>
      <c r="JA206" s="38"/>
      <c r="JB206" s="38"/>
      <c r="JC206" s="38"/>
      <c r="JD206" s="38"/>
      <c r="JE206" s="38"/>
      <c r="JF206" s="38"/>
      <c r="JG206" s="38"/>
      <c r="JH206" s="38"/>
      <c r="JI206" s="38"/>
      <c r="JJ206" s="38"/>
      <c r="JK206" s="38"/>
      <c r="JL206" s="38"/>
      <c r="JM206" s="38"/>
      <c r="JN206" s="38"/>
      <c r="JO206" s="38"/>
      <c r="JP206" s="38"/>
      <c r="JQ206" s="38"/>
      <c r="JR206" s="38"/>
      <c r="JS206" s="38"/>
      <c r="JT206" s="38"/>
      <c r="JU206" s="38"/>
      <c r="JV206" s="38"/>
      <c r="JW206" s="38"/>
      <c r="JX206" s="38"/>
      <c r="JY206" s="38"/>
      <c r="JZ206" s="38"/>
      <c r="KA206" s="38"/>
      <c r="KB206" s="38"/>
      <c r="KC206" s="38"/>
      <c r="KD206" s="38"/>
      <c r="KE206" s="38"/>
      <c r="KF206" s="38"/>
      <c r="KG206" s="38"/>
      <c r="KH206" s="38"/>
      <c r="KI206" s="38"/>
      <c r="KJ206" s="38"/>
      <c r="KK206" s="38"/>
      <c r="KL206" s="38"/>
      <c r="KM206" s="38"/>
      <c r="KN206" s="38"/>
      <c r="KO206" s="38"/>
      <c r="KP206" s="38"/>
      <c r="KQ206" s="38"/>
      <c r="KR206" s="38"/>
      <c r="KS206" s="38"/>
      <c r="KT206" s="38"/>
      <c r="KU206" s="38"/>
      <c r="KV206" s="38"/>
      <c r="KW206" s="38"/>
      <c r="KX206" s="38"/>
      <c r="KY206" s="38"/>
      <c r="KZ206" s="38"/>
      <c r="LA206" s="38"/>
      <c r="LB206" s="38"/>
      <c r="LC206" s="38"/>
      <c r="LD206" s="38"/>
      <c r="LE206" s="38"/>
      <c r="LF206" s="38"/>
      <c r="LG206" s="38"/>
      <c r="LH206" s="38"/>
      <c r="LI206" s="38"/>
      <c r="LJ206" s="38"/>
      <c r="LK206" s="38"/>
      <c r="LL206" s="38"/>
      <c r="LM206" s="38"/>
      <c r="LN206" s="38"/>
      <c r="LO206" s="38"/>
      <c r="LP206" s="38"/>
      <c r="LQ206" s="38"/>
      <c r="LR206" s="38"/>
      <c r="LS206" s="38"/>
      <c r="LT206" s="38"/>
      <c r="LU206" s="38"/>
      <c r="LV206" s="38"/>
      <c r="LW206" s="38"/>
      <c r="LX206" s="38"/>
      <c r="LY206" s="38"/>
      <c r="LZ206" s="38"/>
      <c r="MA206" s="38"/>
      <c r="MB206" s="38"/>
      <c r="MC206" s="38"/>
      <c r="MD206" s="38"/>
      <c r="ME206" s="38"/>
      <c r="MF206" s="38"/>
      <c r="MG206" s="38"/>
      <c r="MH206" s="38"/>
      <c r="MI206" s="38"/>
      <c r="MJ206" s="38"/>
      <c r="MK206" s="38"/>
      <c r="ML206" s="38"/>
      <c r="MM206" s="38"/>
      <c r="MN206" s="38"/>
      <c r="MO206" s="38"/>
      <c r="MP206" s="38"/>
      <c r="MQ206" s="38"/>
      <c r="MR206" s="38"/>
      <c r="MS206" s="38"/>
      <c r="MT206" s="38"/>
      <c r="MU206" s="38"/>
      <c r="MV206" s="38"/>
      <c r="MW206" s="38"/>
      <c r="MX206" s="38"/>
      <c r="MY206" s="38"/>
      <c r="MZ206" s="38"/>
      <c r="NA206" s="38"/>
      <c r="NB206" s="38"/>
      <c r="NC206" s="38"/>
      <c r="ND206" s="38"/>
      <c r="NE206" s="38"/>
      <c r="NF206" s="38"/>
      <c r="NG206" s="38"/>
      <c r="NH206" s="38"/>
      <c r="NI206" s="38"/>
      <c r="NJ206" s="38"/>
      <c r="NK206" s="38"/>
      <c r="NL206" s="38"/>
      <c r="NM206" s="38"/>
      <c r="NN206" s="38"/>
      <c r="NO206" s="38"/>
      <c r="NP206" s="38"/>
      <c r="NQ206" s="38"/>
      <c r="NR206" s="38"/>
      <c r="NS206" s="38"/>
      <c r="NT206" s="38"/>
      <c r="NU206" s="38"/>
      <c r="NV206" s="38"/>
      <c r="NW206" s="38"/>
      <c r="NX206" s="38"/>
      <c r="NY206" s="38"/>
      <c r="NZ206" s="38"/>
      <c r="OA206" s="38"/>
      <c r="OB206" s="38"/>
      <c r="OC206" s="38"/>
      <c r="OD206" s="38"/>
      <c r="OE206" s="38"/>
      <c r="OF206" s="38"/>
      <c r="OG206" s="38"/>
      <c r="OH206" s="38"/>
      <c r="OI206" s="38"/>
      <c r="OJ206" s="38"/>
      <c r="OK206" s="38"/>
      <c r="OL206" s="38"/>
      <c r="OM206" s="38"/>
      <c r="ON206" s="38"/>
      <c r="OO206" s="38"/>
      <c r="OP206" s="38"/>
      <c r="OQ206" s="38"/>
      <c r="OR206" s="38"/>
      <c r="OS206" s="38"/>
      <c r="OT206" s="38"/>
      <c r="OU206" s="38"/>
      <c r="OV206" s="38"/>
      <c r="OW206" s="38"/>
      <c r="OX206" s="38"/>
      <c r="OY206" s="38"/>
      <c r="OZ206" s="38"/>
      <c r="PA206" s="38"/>
      <c r="PB206" s="38"/>
      <c r="PC206" s="38"/>
      <c r="PD206" s="38"/>
      <c r="PE206" s="38"/>
      <c r="PF206" s="38"/>
      <c r="PG206" s="38"/>
      <c r="PH206" s="38"/>
      <c r="PI206" s="38"/>
      <c r="PJ206" s="38"/>
      <c r="PK206" s="38"/>
      <c r="PL206" s="38"/>
      <c r="PM206" s="38"/>
      <c r="PN206" s="38"/>
      <c r="PO206" s="38"/>
      <c r="PP206" s="38"/>
      <c r="PQ206" s="38"/>
      <c r="PR206" s="38"/>
      <c r="PS206" s="38"/>
      <c r="PT206" s="38"/>
      <c r="PU206" s="38"/>
      <c r="PV206" s="38"/>
      <c r="PW206" s="38"/>
      <c r="PX206" s="38"/>
      <c r="PY206" s="38"/>
      <c r="PZ206" s="38"/>
      <c r="QA206" s="38"/>
      <c r="QB206" s="38"/>
      <c r="QC206" s="38"/>
      <c r="QD206" s="38"/>
      <c r="QE206" s="38"/>
      <c r="QF206" s="38"/>
      <c r="QG206" s="38"/>
      <c r="QH206" s="38"/>
      <c r="QI206" s="38"/>
      <c r="QJ206" s="38"/>
      <c r="QK206" s="38"/>
      <c r="QL206" s="38"/>
      <c r="QM206" s="38"/>
      <c r="QN206" s="38"/>
      <c r="QO206" s="38"/>
      <c r="QP206" s="38"/>
      <c r="QQ206" s="38"/>
      <c r="QR206" s="38"/>
      <c r="QS206" s="38"/>
      <c r="QT206" s="38"/>
      <c r="QU206" s="38"/>
      <c r="QV206" s="38"/>
      <c r="QW206" s="38"/>
      <c r="QX206" s="38"/>
      <c r="QY206" s="38"/>
      <c r="QZ206" s="38"/>
      <c r="RA206" s="38"/>
      <c r="RB206" s="38"/>
      <c r="RC206" s="38"/>
      <c r="RD206" s="38"/>
      <c r="RE206" s="38"/>
      <c r="RF206" s="38"/>
      <c r="RG206" s="38"/>
      <c r="RH206" s="38"/>
      <c r="RI206" s="38"/>
      <c r="RJ206" s="38"/>
      <c r="RK206" s="38"/>
      <c r="RL206" s="38"/>
      <c r="RM206" s="38"/>
      <c r="RN206" s="38"/>
      <c r="RO206" s="38"/>
      <c r="RP206" s="38"/>
      <c r="RQ206" s="38"/>
      <c r="RR206" s="38"/>
      <c r="RS206" s="38"/>
      <c r="RT206" s="38"/>
      <c r="RU206" s="38"/>
      <c r="RV206" s="38"/>
      <c r="RW206" s="38"/>
      <c r="RX206" s="38"/>
      <c r="RY206" s="38"/>
      <c r="RZ206" s="38"/>
      <c r="SA206" s="38"/>
      <c r="SB206" s="38"/>
      <c r="SC206" s="38"/>
      <c r="SD206" s="38"/>
      <c r="SE206" s="38"/>
      <c r="SF206" s="38"/>
      <c r="SG206" s="38"/>
      <c r="SH206" s="38"/>
      <c r="SI206" s="38"/>
      <c r="SJ206" s="38"/>
      <c r="SK206" s="38"/>
      <c r="SL206" s="38"/>
      <c r="SM206" s="38"/>
      <c r="SN206" s="38"/>
      <c r="SO206" s="38"/>
      <c r="SP206" s="38"/>
      <c r="SQ206" s="38"/>
      <c r="SR206" s="38"/>
      <c r="SS206" s="38"/>
      <c r="ST206" s="38"/>
      <c r="SU206" s="38"/>
      <c r="SV206" s="38"/>
      <c r="SW206" s="38"/>
      <c r="SX206" s="38"/>
      <c r="SY206" s="38"/>
      <c r="SZ206" s="38"/>
      <c r="TA206" s="38"/>
      <c r="TB206" s="38"/>
      <c r="TC206" s="38"/>
      <c r="TD206" s="38"/>
      <c r="TE206" s="38"/>
      <c r="TF206" s="38"/>
      <c r="TG206" s="38"/>
      <c r="TH206" s="38"/>
      <c r="TI206" s="38"/>
    </row>
    <row r="207" spans="1:529" s="31" customFormat="1" ht="20.25" customHeight="1" x14ac:dyDescent="0.2">
      <c r="A207" s="90"/>
      <c r="B207" s="74"/>
      <c r="C207" s="79"/>
      <c r="D207" s="30" t="s">
        <v>308</v>
      </c>
      <c r="E207" s="66">
        <f>E54+E81+E137</f>
        <v>443759326</v>
      </c>
      <c r="F207" s="66">
        <f t="shared" ref="F207:P207" si="136">F54+F81+F137</f>
        <v>443759326</v>
      </c>
      <c r="G207" s="66">
        <f t="shared" si="136"/>
        <v>307191100</v>
      </c>
      <c r="H207" s="66">
        <f t="shared" si="136"/>
        <v>0</v>
      </c>
      <c r="I207" s="66">
        <f t="shared" si="136"/>
        <v>0</v>
      </c>
      <c r="J207" s="66">
        <f t="shared" si="136"/>
        <v>82674037.929999992</v>
      </c>
      <c r="K207" s="66">
        <f t="shared" si="136"/>
        <v>2674037.9300000002</v>
      </c>
      <c r="L207" s="66">
        <f t="shared" si="136"/>
        <v>80000000</v>
      </c>
      <c r="M207" s="66">
        <f t="shared" si="136"/>
        <v>0</v>
      </c>
      <c r="N207" s="66">
        <f t="shared" si="136"/>
        <v>0</v>
      </c>
      <c r="O207" s="66">
        <f t="shared" si="136"/>
        <v>2674037.9300000002</v>
      </c>
      <c r="P207" s="66">
        <f t="shared" si="136"/>
        <v>526433363.93000001</v>
      </c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8"/>
      <c r="GE207" s="38"/>
      <c r="GF207" s="38"/>
      <c r="GG207" s="38"/>
      <c r="GH207" s="38"/>
      <c r="GI207" s="38"/>
      <c r="GJ207" s="38"/>
      <c r="GK207" s="38"/>
      <c r="GL207" s="38"/>
      <c r="GM207" s="38"/>
      <c r="GN207" s="38"/>
      <c r="GO207" s="38"/>
      <c r="GP207" s="38"/>
      <c r="GQ207" s="38"/>
      <c r="GR207" s="38"/>
      <c r="GS207" s="38"/>
      <c r="GT207" s="38"/>
      <c r="GU207" s="38"/>
      <c r="GV207" s="38"/>
      <c r="GW207" s="38"/>
      <c r="GX207" s="38"/>
      <c r="GY207" s="38"/>
      <c r="GZ207" s="38"/>
      <c r="HA207" s="38"/>
      <c r="HB207" s="38"/>
      <c r="HC207" s="38"/>
      <c r="HD207" s="38"/>
      <c r="HE207" s="38"/>
      <c r="HF207" s="38"/>
      <c r="HG207" s="38"/>
      <c r="HH207" s="38"/>
      <c r="HI207" s="38"/>
      <c r="HJ207" s="38"/>
      <c r="HK207" s="38"/>
      <c r="HL207" s="38"/>
      <c r="HM207" s="38"/>
      <c r="HN207" s="38"/>
      <c r="HO207" s="38"/>
      <c r="HP207" s="38"/>
      <c r="HQ207" s="38"/>
      <c r="HR207" s="38"/>
      <c r="HS207" s="38"/>
      <c r="HT207" s="38"/>
      <c r="HU207" s="38"/>
      <c r="HV207" s="38"/>
      <c r="HW207" s="38"/>
      <c r="HX207" s="38"/>
      <c r="HY207" s="38"/>
      <c r="HZ207" s="38"/>
      <c r="IA207" s="38"/>
      <c r="IB207" s="38"/>
      <c r="IC207" s="38"/>
      <c r="ID207" s="38"/>
      <c r="IE207" s="38"/>
      <c r="IF207" s="38"/>
      <c r="IG207" s="38"/>
      <c r="IH207" s="38"/>
      <c r="II207" s="38"/>
      <c r="IJ207" s="38"/>
      <c r="IK207" s="38"/>
      <c r="IL207" s="38"/>
      <c r="IM207" s="38"/>
      <c r="IN207" s="38"/>
      <c r="IO207" s="38"/>
      <c r="IP207" s="38"/>
      <c r="IQ207" s="38"/>
      <c r="IR207" s="38"/>
      <c r="IS207" s="38"/>
      <c r="IT207" s="38"/>
      <c r="IU207" s="38"/>
      <c r="IV207" s="38"/>
      <c r="IW207" s="38"/>
      <c r="IX207" s="38"/>
      <c r="IY207" s="38"/>
      <c r="IZ207" s="38"/>
      <c r="JA207" s="38"/>
      <c r="JB207" s="38"/>
      <c r="JC207" s="38"/>
      <c r="JD207" s="38"/>
      <c r="JE207" s="38"/>
      <c r="JF207" s="38"/>
      <c r="JG207" s="38"/>
      <c r="JH207" s="38"/>
      <c r="JI207" s="38"/>
      <c r="JJ207" s="38"/>
      <c r="JK207" s="38"/>
      <c r="JL207" s="38"/>
      <c r="JM207" s="38"/>
      <c r="JN207" s="38"/>
      <c r="JO207" s="38"/>
      <c r="JP207" s="38"/>
      <c r="JQ207" s="38"/>
      <c r="JR207" s="38"/>
      <c r="JS207" s="38"/>
      <c r="JT207" s="38"/>
      <c r="JU207" s="38"/>
      <c r="JV207" s="38"/>
      <c r="JW207" s="38"/>
      <c r="JX207" s="38"/>
      <c r="JY207" s="38"/>
      <c r="JZ207" s="38"/>
      <c r="KA207" s="38"/>
      <c r="KB207" s="38"/>
      <c r="KC207" s="38"/>
      <c r="KD207" s="38"/>
      <c r="KE207" s="38"/>
      <c r="KF207" s="38"/>
      <c r="KG207" s="38"/>
      <c r="KH207" s="38"/>
      <c r="KI207" s="38"/>
      <c r="KJ207" s="38"/>
      <c r="KK207" s="38"/>
      <c r="KL207" s="38"/>
      <c r="KM207" s="38"/>
      <c r="KN207" s="38"/>
      <c r="KO207" s="38"/>
      <c r="KP207" s="38"/>
      <c r="KQ207" s="38"/>
      <c r="KR207" s="38"/>
      <c r="KS207" s="38"/>
      <c r="KT207" s="38"/>
      <c r="KU207" s="38"/>
      <c r="KV207" s="38"/>
      <c r="KW207" s="38"/>
      <c r="KX207" s="38"/>
      <c r="KY207" s="38"/>
      <c r="KZ207" s="38"/>
      <c r="LA207" s="38"/>
      <c r="LB207" s="38"/>
      <c r="LC207" s="38"/>
      <c r="LD207" s="38"/>
      <c r="LE207" s="38"/>
      <c r="LF207" s="38"/>
      <c r="LG207" s="38"/>
      <c r="LH207" s="38"/>
      <c r="LI207" s="38"/>
      <c r="LJ207" s="38"/>
      <c r="LK207" s="38"/>
      <c r="LL207" s="38"/>
      <c r="LM207" s="38"/>
      <c r="LN207" s="38"/>
      <c r="LO207" s="38"/>
      <c r="LP207" s="38"/>
      <c r="LQ207" s="38"/>
      <c r="LR207" s="38"/>
      <c r="LS207" s="38"/>
      <c r="LT207" s="38"/>
      <c r="LU207" s="38"/>
      <c r="LV207" s="38"/>
      <c r="LW207" s="38"/>
      <c r="LX207" s="38"/>
      <c r="LY207" s="38"/>
      <c r="LZ207" s="38"/>
      <c r="MA207" s="38"/>
      <c r="MB207" s="38"/>
      <c r="MC207" s="38"/>
      <c r="MD207" s="38"/>
      <c r="ME207" s="38"/>
      <c r="MF207" s="38"/>
      <c r="MG207" s="38"/>
      <c r="MH207" s="38"/>
      <c r="MI207" s="38"/>
      <c r="MJ207" s="38"/>
      <c r="MK207" s="38"/>
      <c r="ML207" s="38"/>
      <c r="MM207" s="38"/>
      <c r="MN207" s="38"/>
      <c r="MO207" s="38"/>
      <c r="MP207" s="38"/>
      <c r="MQ207" s="38"/>
      <c r="MR207" s="38"/>
      <c r="MS207" s="38"/>
      <c r="MT207" s="38"/>
      <c r="MU207" s="38"/>
      <c r="MV207" s="38"/>
      <c r="MW207" s="38"/>
      <c r="MX207" s="38"/>
      <c r="MY207" s="38"/>
      <c r="MZ207" s="38"/>
      <c r="NA207" s="38"/>
      <c r="NB207" s="38"/>
      <c r="NC207" s="38"/>
      <c r="ND207" s="38"/>
      <c r="NE207" s="38"/>
      <c r="NF207" s="38"/>
      <c r="NG207" s="38"/>
      <c r="NH207" s="38"/>
      <c r="NI207" s="38"/>
      <c r="NJ207" s="38"/>
      <c r="NK207" s="38"/>
      <c r="NL207" s="38"/>
      <c r="NM207" s="38"/>
      <c r="NN207" s="38"/>
      <c r="NO207" s="38"/>
      <c r="NP207" s="38"/>
      <c r="NQ207" s="38"/>
      <c r="NR207" s="38"/>
      <c r="NS207" s="38"/>
      <c r="NT207" s="38"/>
      <c r="NU207" s="38"/>
      <c r="NV207" s="38"/>
      <c r="NW207" s="38"/>
      <c r="NX207" s="38"/>
      <c r="NY207" s="38"/>
      <c r="NZ207" s="38"/>
      <c r="OA207" s="38"/>
      <c r="OB207" s="38"/>
      <c r="OC207" s="38"/>
      <c r="OD207" s="38"/>
      <c r="OE207" s="38"/>
      <c r="OF207" s="38"/>
      <c r="OG207" s="38"/>
      <c r="OH207" s="38"/>
      <c r="OI207" s="38"/>
      <c r="OJ207" s="38"/>
      <c r="OK207" s="38"/>
      <c r="OL207" s="38"/>
      <c r="OM207" s="38"/>
      <c r="ON207" s="38"/>
      <c r="OO207" s="38"/>
      <c r="OP207" s="38"/>
      <c r="OQ207" s="38"/>
      <c r="OR207" s="38"/>
      <c r="OS207" s="38"/>
      <c r="OT207" s="38"/>
      <c r="OU207" s="38"/>
      <c r="OV207" s="38"/>
      <c r="OW207" s="38"/>
      <c r="OX207" s="38"/>
      <c r="OY207" s="38"/>
      <c r="OZ207" s="38"/>
      <c r="PA207" s="38"/>
      <c r="PB207" s="38"/>
      <c r="PC207" s="38"/>
      <c r="PD207" s="38"/>
      <c r="PE207" s="38"/>
      <c r="PF207" s="38"/>
      <c r="PG207" s="38"/>
      <c r="PH207" s="38"/>
      <c r="PI207" s="38"/>
      <c r="PJ207" s="38"/>
      <c r="PK207" s="38"/>
      <c r="PL207" s="38"/>
      <c r="PM207" s="38"/>
      <c r="PN207" s="38"/>
      <c r="PO207" s="38"/>
      <c r="PP207" s="38"/>
      <c r="PQ207" s="38"/>
      <c r="PR207" s="38"/>
      <c r="PS207" s="38"/>
      <c r="PT207" s="38"/>
      <c r="PU207" s="38"/>
      <c r="PV207" s="38"/>
      <c r="PW207" s="38"/>
      <c r="PX207" s="38"/>
      <c r="PY207" s="38"/>
      <c r="PZ207" s="38"/>
      <c r="QA207" s="38"/>
      <c r="QB207" s="38"/>
      <c r="QC207" s="38"/>
      <c r="QD207" s="38"/>
      <c r="QE207" s="38"/>
      <c r="QF207" s="38"/>
      <c r="QG207" s="38"/>
      <c r="QH207" s="38"/>
      <c r="QI207" s="38"/>
      <c r="QJ207" s="38"/>
      <c r="QK207" s="38"/>
      <c r="QL207" s="38"/>
      <c r="QM207" s="38"/>
      <c r="QN207" s="38"/>
      <c r="QO207" s="38"/>
      <c r="QP207" s="38"/>
      <c r="QQ207" s="38"/>
      <c r="QR207" s="38"/>
      <c r="QS207" s="38"/>
      <c r="QT207" s="38"/>
      <c r="QU207" s="38"/>
      <c r="QV207" s="38"/>
      <c r="QW207" s="38"/>
      <c r="QX207" s="38"/>
      <c r="QY207" s="38"/>
      <c r="QZ207" s="38"/>
      <c r="RA207" s="38"/>
      <c r="RB207" s="38"/>
      <c r="RC207" s="38"/>
      <c r="RD207" s="38"/>
      <c r="RE207" s="38"/>
      <c r="RF207" s="38"/>
      <c r="RG207" s="38"/>
      <c r="RH207" s="38"/>
      <c r="RI207" s="38"/>
      <c r="RJ207" s="38"/>
      <c r="RK207" s="38"/>
      <c r="RL207" s="38"/>
      <c r="RM207" s="38"/>
      <c r="RN207" s="38"/>
      <c r="RO207" s="38"/>
      <c r="RP207" s="38"/>
      <c r="RQ207" s="38"/>
      <c r="RR207" s="38"/>
      <c r="RS207" s="38"/>
      <c r="RT207" s="38"/>
      <c r="RU207" s="38"/>
      <c r="RV207" s="38"/>
      <c r="RW207" s="38"/>
      <c r="RX207" s="38"/>
      <c r="RY207" s="38"/>
      <c r="RZ207" s="38"/>
      <c r="SA207" s="38"/>
      <c r="SB207" s="38"/>
      <c r="SC207" s="38"/>
      <c r="SD207" s="38"/>
      <c r="SE207" s="38"/>
      <c r="SF207" s="38"/>
      <c r="SG207" s="38"/>
      <c r="SH207" s="38"/>
      <c r="SI207" s="38"/>
      <c r="SJ207" s="38"/>
      <c r="SK207" s="38"/>
      <c r="SL207" s="38"/>
      <c r="SM207" s="38"/>
      <c r="SN207" s="38"/>
      <c r="SO207" s="38"/>
      <c r="SP207" s="38"/>
      <c r="SQ207" s="38"/>
      <c r="SR207" s="38"/>
      <c r="SS207" s="38"/>
      <c r="ST207" s="38"/>
      <c r="SU207" s="38"/>
      <c r="SV207" s="38"/>
      <c r="SW207" s="38"/>
      <c r="SX207" s="38"/>
      <c r="SY207" s="38"/>
      <c r="SZ207" s="38"/>
      <c r="TA207" s="38"/>
      <c r="TB207" s="38"/>
      <c r="TC207" s="38"/>
      <c r="TD207" s="38"/>
      <c r="TE207" s="38"/>
      <c r="TF207" s="38"/>
      <c r="TG207" s="38"/>
      <c r="TH207" s="38"/>
      <c r="TI207" s="38"/>
    </row>
    <row r="208" spans="1:529" s="34" customFormat="1" x14ac:dyDescent="0.25">
      <c r="A208" s="91"/>
      <c r="B208" s="80"/>
      <c r="C208" s="80"/>
      <c r="D208" s="41"/>
      <c r="E208" s="59">
        <f>E206-'дод 4'!D153</f>
        <v>0</v>
      </c>
      <c r="F208" s="59">
        <f>F206-'дод 4'!E153</f>
        <v>0</v>
      </c>
      <c r="G208" s="59">
        <f>G206-'дод 4'!F153</f>
        <v>0</v>
      </c>
      <c r="H208" s="59">
        <f>H206-'дод 4'!G153</f>
        <v>0</v>
      </c>
      <c r="I208" s="59">
        <f>I206-'дод 4'!H153</f>
        <v>0</v>
      </c>
      <c r="J208" s="59">
        <f>J206-'дод 4'!I153</f>
        <v>0</v>
      </c>
      <c r="K208" s="59">
        <f>K206-'дод 4'!J153</f>
        <v>0</v>
      </c>
      <c r="L208" s="59">
        <f>L206-'дод 4'!K153</f>
        <v>0</v>
      </c>
      <c r="M208" s="59">
        <f>M206-'дод 4'!L153</f>
        <v>0</v>
      </c>
      <c r="N208" s="59">
        <f>N206-'дод 4'!M153</f>
        <v>0</v>
      </c>
      <c r="O208" s="59">
        <f>O206-'дод 4'!N153</f>
        <v>0</v>
      </c>
      <c r="P208" s="59">
        <f>P206-'дод 4'!O153</f>
        <v>0</v>
      </c>
    </row>
    <row r="209" spans="1:24" s="34" customFormat="1" ht="35.25" customHeight="1" x14ac:dyDescent="0.25">
      <c r="A209" s="91"/>
      <c r="B209" s="80"/>
      <c r="C209" s="80"/>
      <c r="D209" s="41"/>
      <c r="E209" s="59">
        <f>E207-'дод 4'!D154</f>
        <v>0</v>
      </c>
      <c r="F209" s="59">
        <f>F207-'дод 4'!E154</f>
        <v>0</v>
      </c>
      <c r="G209" s="59">
        <f>G207-'дод 4'!F154</f>
        <v>0</v>
      </c>
      <c r="H209" s="59">
        <f>H207-'дод 4'!G154</f>
        <v>0</v>
      </c>
      <c r="I209" s="59">
        <f>I207-'дод 4'!H154</f>
        <v>0</v>
      </c>
      <c r="J209" s="59">
        <f>J207-'дод 4'!I154</f>
        <v>0</v>
      </c>
      <c r="K209" s="59">
        <f>K207-'дод 4'!J154</f>
        <v>0</v>
      </c>
      <c r="L209" s="59">
        <f>L207-'дод 4'!K154</f>
        <v>0</v>
      </c>
      <c r="M209" s="59">
        <f>M207-'дод 4'!L154</f>
        <v>0</v>
      </c>
      <c r="N209" s="59">
        <f>N207-'дод 4'!M154</f>
        <v>0</v>
      </c>
      <c r="O209" s="59">
        <f>O207-'дод 4'!N154</f>
        <v>0</v>
      </c>
      <c r="P209" s="59">
        <f>P207-'дод 4'!O154</f>
        <v>0</v>
      </c>
    </row>
    <row r="210" spans="1:24" s="34" customFormat="1" x14ac:dyDescent="0.25">
      <c r="A210" s="91"/>
      <c r="B210" s="80"/>
      <c r="C210" s="80"/>
      <c r="D210" s="41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1:24" s="34" customFormat="1" x14ac:dyDescent="0.25">
      <c r="A211" s="91"/>
      <c r="B211" s="80"/>
      <c r="C211" s="80"/>
      <c r="D211" s="41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1:24" s="34" customFormat="1" ht="31.5" x14ac:dyDescent="0.45">
      <c r="A212" s="138" t="s">
        <v>457</v>
      </c>
      <c r="B212" s="138"/>
      <c r="C212" s="138"/>
      <c r="D212" s="138"/>
      <c r="E212" s="138"/>
      <c r="F212" s="138"/>
      <c r="G212" s="138"/>
      <c r="H212" s="138"/>
      <c r="I212" s="139"/>
      <c r="J212" s="139"/>
      <c r="K212" s="139"/>
      <c r="L212" s="140"/>
      <c r="M212" s="140"/>
      <c r="N212" s="154" t="s">
        <v>458</v>
      </c>
      <c r="O212" s="154"/>
      <c r="P212" s="154"/>
    </row>
    <row r="213" spans="1:24" s="34" customFormat="1" ht="35.25" customHeight="1" x14ac:dyDescent="0.5">
      <c r="A213" s="141"/>
      <c r="B213" s="141"/>
      <c r="C213" s="141"/>
      <c r="D213" s="142"/>
      <c r="E213" s="143"/>
      <c r="F213" s="143"/>
      <c r="G213" s="143"/>
      <c r="H213" s="143"/>
      <c r="I213" s="143"/>
      <c r="J213" s="143"/>
      <c r="K213" s="144"/>
      <c r="L213" s="143"/>
      <c r="M213" s="143"/>
      <c r="Q213" s="93"/>
      <c r="R213" s="93"/>
      <c r="S213" s="93"/>
      <c r="T213" s="93"/>
      <c r="U213" s="93"/>
    </row>
    <row r="214" spans="1:24" s="111" customFormat="1" ht="26.25" x14ac:dyDescent="0.4">
      <c r="A214" s="145" t="s">
        <v>459</v>
      </c>
      <c r="B214" s="112"/>
      <c r="C214" s="112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1:24" s="128" customFormat="1" ht="35.25" x14ac:dyDescent="0.5">
      <c r="A215" s="145" t="s">
        <v>460</v>
      </c>
      <c r="B215" s="112"/>
      <c r="C215" s="112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29"/>
      <c r="R215" s="129"/>
      <c r="S215" s="129"/>
      <c r="T215" s="129"/>
      <c r="U215" s="129"/>
      <c r="V215" s="129"/>
      <c r="W215" s="130"/>
      <c r="X215" s="131"/>
    </row>
    <row r="216" spans="1:24" s="104" customFormat="1" ht="14.25" x14ac:dyDescent="0.2">
      <c r="A216" s="100"/>
      <c r="B216" s="101"/>
      <c r="C216" s="101"/>
      <c r="D216" s="10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1:24" s="104" customFormat="1" ht="14.25" x14ac:dyDescent="0.2">
      <c r="A217" s="100"/>
      <c r="B217" s="101"/>
      <c r="C217" s="101"/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1:24" s="34" customFormat="1" x14ac:dyDescent="0.25">
      <c r="A218" s="91"/>
      <c r="B218" s="108"/>
      <c r="C218" s="108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</row>
    <row r="219" spans="1:24" s="34" customFormat="1" x14ac:dyDescent="0.25">
      <c r="A219" s="91"/>
      <c r="B219" s="108"/>
      <c r="C219" s="108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</row>
    <row r="220" spans="1:24" s="34" customFormat="1" x14ac:dyDescent="0.25">
      <c r="A220" s="91"/>
      <c r="B220" s="108"/>
      <c r="C220" s="108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</row>
    <row r="221" spans="1:24" s="34" customFormat="1" x14ac:dyDescent="0.25">
      <c r="A221" s="91"/>
      <c r="B221" s="108"/>
      <c r="C221" s="108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</row>
    <row r="222" spans="1:24" s="34" customFormat="1" x14ac:dyDescent="0.25">
      <c r="A222" s="91"/>
      <c r="B222" s="108"/>
      <c r="C222" s="108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</row>
    <row r="223" spans="1:24" s="34" customFormat="1" x14ac:dyDescent="0.25">
      <c r="A223" s="91"/>
      <c r="B223" s="80"/>
      <c r="C223" s="80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</row>
    <row r="224" spans="1:24" s="34" customFormat="1" x14ac:dyDescent="0.25">
      <c r="A224" s="91"/>
      <c r="B224" s="80"/>
      <c r="C224" s="80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</row>
    <row r="225" spans="1:16" s="34" customFormat="1" x14ac:dyDescent="0.25">
      <c r="A225" s="91"/>
      <c r="B225" s="80"/>
      <c r="C225" s="80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</row>
    <row r="226" spans="1:16" s="34" customFormat="1" x14ac:dyDescent="0.25">
      <c r="A226" s="91"/>
      <c r="B226" s="80"/>
      <c r="C226" s="80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</row>
    <row r="227" spans="1:16" s="34" customFormat="1" x14ac:dyDescent="0.25">
      <c r="A227" s="91"/>
      <c r="B227" s="80"/>
      <c r="C227" s="80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</row>
    <row r="228" spans="1:16" s="34" customFormat="1" x14ac:dyDescent="0.25">
      <c r="A228" s="91"/>
      <c r="B228" s="80"/>
      <c r="C228" s="80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</row>
    <row r="229" spans="1:16" s="34" customFormat="1" x14ac:dyDescent="0.25">
      <c r="A229" s="91"/>
      <c r="B229" s="80"/>
      <c r="C229" s="80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</row>
    <row r="230" spans="1:16" s="34" customFormat="1" x14ac:dyDescent="0.25">
      <c r="A230" s="91"/>
      <c r="B230" s="80"/>
      <c r="C230" s="80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</row>
    <row r="231" spans="1:16" s="34" customFormat="1" x14ac:dyDescent="0.25">
      <c r="A231" s="91"/>
      <c r="B231" s="80"/>
      <c r="C231" s="80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</row>
    <row r="232" spans="1:16" s="34" customFormat="1" x14ac:dyDescent="0.25">
      <c r="A232" s="91"/>
      <c r="B232" s="80"/>
      <c r="C232" s="80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</row>
    <row r="233" spans="1:16" s="34" customFormat="1" x14ac:dyDescent="0.25">
      <c r="A233" s="91"/>
      <c r="B233" s="80"/>
      <c r="C233" s="80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</row>
    <row r="234" spans="1:16" s="34" customFormat="1" x14ac:dyDescent="0.25">
      <c r="A234" s="91"/>
      <c r="B234" s="80"/>
      <c r="C234" s="80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</row>
    <row r="235" spans="1:16" s="34" customFormat="1" x14ac:dyDescent="0.25">
      <c r="A235" s="91"/>
      <c r="B235" s="80"/>
      <c r="C235" s="80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</row>
    <row r="236" spans="1:16" s="34" customFormat="1" x14ac:dyDescent="0.25">
      <c r="A236" s="91"/>
      <c r="B236" s="80"/>
      <c r="C236" s="80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</row>
    <row r="237" spans="1:16" s="34" customFormat="1" x14ac:dyDescent="0.25">
      <c r="A237" s="91"/>
      <c r="B237" s="80"/>
      <c r="C237" s="80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</row>
    <row r="238" spans="1:16" s="34" customFormat="1" x14ac:dyDescent="0.25">
      <c r="A238" s="91"/>
      <c r="B238" s="80"/>
      <c r="C238" s="80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</row>
    <row r="239" spans="1:16" s="34" customFormat="1" x14ac:dyDescent="0.25">
      <c r="A239" s="91"/>
      <c r="B239" s="80"/>
      <c r="C239" s="80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</row>
    <row r="240" spans="1:16" s="34" customFormat="1" x14ac:dyDescent="0.25">
      <c r="A240" s="91"/>
      <c r="B240" s="80"/>
      <c r="C240" s="80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</row>
    <row r="241" spans="1:16" s="34" customFormat="1" x14ac:dyDescent="0.25">
      <c r="A241" s="91"/>
      <c r="B241" s="80"/>
      <c r="C241" s="80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</row>
    <row r="242" spans="1:16" s="34" customFormat="1" x14ac:dyDescent="0.25">
      <c r="A242" s="91"/>
      <c r="B242" s="80"/>
      <c r="C242" s="80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</row>
    <row r="243" spans="1:16" s="34" customFormat="1" x14ac:dyDescent="0.25">
      <c r="A243" s="91"/>
      <c r="B243" s="80"/>
      <c r="C243" s="80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</row>
    <row r="244" spans="1:16" s="34" customFormat="1" x14ac:dyDescent="0.25">
      <c r="A244" s="91"/>
      <c r="B244" s="80"/>
      <c r="C244" s="80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</row>
    <row r="245" spans="1:16" s="34" customFormat="1" x14ac:dyDescent="0.25">
      <c r="A245" s="91"/>
      <c r="B245" s="80"/>
      <c r="C245" s="80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</row>
    <row r="246" spans="1:16" s="34" customFormat="1" x14ac:dyDescent="0.25">
      <c r="A246" s="91"/>
      <c r="B246" s="80"/>
      <c r="C246" s="80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</row>
    <row r="247" spans="1:16" s="34" customFormat="1" x14ac:dyDescent="0.25">
      <c r="A247" s="91"/>
      <c r="B247" s="80"/>
      <c r="C247" s="80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</row>
    <row r="248" spans="1:16" s="34" customFormat="1" x14ac:dyDescent="0.25">
      <c r="A248" s="91"/>
      <c r="B248" s="80"/>
      <c r="C248" s="80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</row>
    <row r="249" spans="1:16" s="34" customFormat="1" x14ac:dyDescent="0.25">
      <c r="A249" s="91"/>
      <c r="B249" s="80"/>
      <c r="C249" s="80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</row>
    <row r="250" spans="1:16" s="34" customFormat="1" x14ac:dyDescent="0.25">
      <c r="A250" s="91"/>
      <c r="B250" s="80"/>
      <c r="C250" s="80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</row>
    <row r="251" spans="1:16" s="34" customFormat="1" x14ac:dyDescent="0.25">
      <c r="A251" s="91"/>
      <c r="B251" s="80"/>
      <c r="C251" s="80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</row>
    <row r="252" spans="1:16" s="34" customFormat="1" x14ac:dyDescent="0.25">
      <c r="A252" s="91"/>
      <c r="B252" s="80"/>
      <c r="C252" s="80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</row>
    <row r="253" spans="1:16" s="34" customFormat="1" x14ac:dyDescent="0.25">
      <c r="A253" s="91"/>
      <c r="B253" s="80"/>
      <c r="C253" s="80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</row>
    <row r="254" spans="1:16" s="34" customFormat="1" x14ac:dyDescent="0.25">
      <c r="A254" s="91"/>
      <c r="B254" s="80"/>
      <c r="C254" s="80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</row>
    <row r="255" spans="1:16" s="34" customFormat="1" x14ac:dyDescent="0.25">
      <c r="A255" s="91"/>
      <c r="B255" s="80"/>
      <c r="C255" s="80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</row>
    <row r="256" spans="1:16" s="34" customFormat="1" x14ac:dyDescent="0.25">
      <c r="A256" s="91"/>
      <c r="B256" s="80"/>
      <c r="C256" s="80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</row>
    <row r="257" spans="1:16" s="34" customFormat="1" x14ac:dyDescent="0.25">
      <c r="A257" s="91"/>
      <c r="B257" s="80"/>
      <c r="C257" s="80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</row>
    <row r="258" spans="1:16" s="34" customFormat="1" x14ac:dyDescent="0.25">
      <c r="A258" s="91"/>
      <c r="B258" s="80"/>
      <c r="C258" s="80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</row>
    <row r="259" spans="1:16" s="34" customFormat="1" x14ac:dyDescent="0.25">
      <c r="A259" s="91"/>
      <c r="B259" s="80"/>
      <c r="C259" s="80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</row>
    <row r="260" spans="1:16" s="34" customFormat="1" x14ac:dyDescent="0.25">
      <c r="A260" s="91"/>
      <c r="B260" s="80"/>
      <c r="C260" s="80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</row>
    <row r="261" spans="1:16" s="34" customFormat="1" x14ac:dyDescent="0.25">
      <c r="A261" s="91"/>
      <c r="B261" s="80"/>
      <c r="C261" s="80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</row>
    <row r="262" spans="1:16" s="34" customFormat="1" x14ac:dyDescent="0.25">
      <c r="A262" s="91"/>
      <c r="B262" s="80"/>
      <c r="C262" s="80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</row>
    <row r="263" spans="1:16" s="34" customFormat="1" x14ac:dyDescent="0.25">
      <c r="A263" s="91"/>
      <c r="B263" s="80"/>
      <c r="C263" s="80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</row>
    <row r="264" spans="1:16" s="34" customFormat="1" x14ac:dyDescent="0.25">
      <c r="A264" s="91"/>
      <c r="B264" s="80"/>
      <c r="C264" s="80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</row>
    <row r="265" spans="1:16" s="34" customFormat="1" x14ac:dyDescent="0.25">
      <c r="A265" s="91"/>
      <c r="B265" s="80"/>
      <c r="C265" s="80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</row>
    <row r="266" spans="1:16" s="34" customFormat="1" x14ac:dyDescent="0.25">
      <c r="A266" s="91"/>
      <c r="B266" s="80"/>
      <c r="C266" s="80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</row>
    <row r="267" spans="1:16" s="34" customFormat="1" x14ac:dyDescent="0.25">
      <c r="A267" s="91"/>
      <c r="B267" s="80"/>
      <c r="C267" s="80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</row>
    <row r="268" spans="1:16" s="34" customFormat="1" x14ac:dyDescent="0.25">
      <c r="A268" s="91"/>
      <c r="B268" s="80"/>
      <c r="C268" s="80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</row>
    <row r="269" spans="1:16" s="34" customFormat="1" x14ac:dyDescent="0.25">
      <c r="A269" s="91"/>
      <c r="B269" s="80"/>
      <c r="C269" s="80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</row>
    <row r="270" spans="1:16" s="34" customFormat="1" x14ac:dyDescent="0.25">
      <c r="A270" s="91"/>
      <c r="B270" s="80"/>
      <c r="C270" s="80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</row>
    <row r="271" spans="1:16" s="34" customFormat="1" x14ac:dyDescent="0.25">
      <c r="A271" s="91"/>
      <c r="B271" s="80"/>
      <c r="C271" s="80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</row>
    <row r="272" spans="1:16" s="34" customFormat="1" x14ac:dyDescent="0.25">
      <c r="A272" s="91"/>
      <c r="B272" s="80"/>
      <c r="C272" s="80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</row>
    <row r="273" spans="1:16" s="34" customFormat="1" x14ac:dyDescent="0.25">
      <c r="A273" s="91"/>
      <c r="B273" s="80"/>
      <c r="C273" s="80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</row>
    <row r="274" spans="1:16" s="34" customFormat="1" x14ac:dyDescent="0.25">
      <c r="A274" s="91"/>
      <c r="B274" s="80"/>
      <c r="C274" s="80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</row>
    <row r="275" spans="1:16" s="34" customFormat="1" x14ac:dyDescent="0.25">
      <c r="A275" s="91"/>
      <c r="B275" s="80"/>
      <c r="C275" s="80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s="34" customFormat="1" x14ac:dyDescent="0.25">
      <c r="A276" s="91"/>
      <c r="B276" s="80"/>
      <c r="C276" s="80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</row>
    <row r="277" spans="1:16" s="34" customFormat="1" x14ac:dyDescent="0.25">
      <c r="A277" s="91"/>
      <c r="B277" s="80"/>
      <c r="C277" s="80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</row>
    <row r="278" spans="1:16" s="34" customFormat="1" x14ac:dyDescent="0.25">
      <c r="A278" s="91"/>
      <c r="B278" s="80"/>
      <c r="C278" s="80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</row>
    <row r="279" spans="1:16" s="34" customFormat="1" x14ac:dyDescent="0.25">
      <c r="A279" s="91"/>
      <c r="B279" s="80"/>
      <c r="C279" s="80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</row>
    <row r="280" spans="1:16" s="34" customFormat="1" x14ac:dyDescent="0.25">
      <c r="A280" s="91"/>
      <c r="B280" s="80"/>
      <c r="C280" s="80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</row>
    <row r="281" spans="1:16" s="34" customFormat="1" x14ac:dyDescent="0.25">
      <c r="A281" s="91"/>
      <c r="B281" s="80"/>
      <c r="C281" s="80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</row>
    <row r="282" spans="1:16" s="34" customFormat="1" x14ac:dyDescent="0.25">
      <c r="A282" s="91"/>
      <c r="B282" s="80"/>
      <c r="C282" s="80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</row>
    <row r="283" spans="1:16" s="34" customFormat="1" x14ac:dyDescent="0.25">
      <c r="A283" s="91"/>
      <c r="B283" s="80"/>
      <c r="C283" s="80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</row>
    <row r="284" spans="1:16" s="34" customFormat="1" x14ac:dyDescent="0.25">
      <c r="A284" s="91"/>
      <c r="B284" s="80"/>
      <c r="C284" s="80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</row>
    <row r="285" spans="1:16" s="34" customFormat="1" x14ac:dyDescent="0.25">
      <c r="A285" s="91"/>
      <c r="B285" s="80"/>
      <c r="C285" s="80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</row>
    <row r="286" spans="1:16" s="34" customFormat="1" x14ac:dyDescent="0.25">
      <c r="A286" s="91"/>
      <c r="B286" s="80"/>
      <c r="C286" s="80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</row>
    <row r="287" spans="1:16" s="34" customFormat="1" x14ac:dyDescent="0.25">
      <c r="A287" s="91"/>
      <c r="B287" s="80"/>
      <c r="C287" s="80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</row>
    <row r="288" spans="1:16" s="34" customFormat="1" x14ac:dyDescent="0.25">
      <c r="A288" s="91"/>
      <c r="B288" s="80"/>
      <c r="C288" s="80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</row>
    <row r="289" spans="1:16" s="34" customFormat="1" x14ac:dyDescent="0.25">
      <c r="A289" s="91"/>
      <c r="B289" s="80"/>
      <c r="C289" s="80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</row>
    <row r="290" spans="1:16" s="34" customFormat="1" x14ac:dyDescent="0.25">
      <c r="A290" s="91"/>
      <c r="B290" s="80"/>
      <c r="C290" s="80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</row>
    <row r="291" spans="1:16" s="34" customFormat="1" x14ac:dyDescent="0.25">
      <c r="A291" s="91"/>
      <c r="B291" s="80"/>
      <c r="C291" s="80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</row>
    <row r="292" spans="1:16" s="34" customFormat="1" x14ac:dyDescent="0.25">
      <c r="A292" s="91"/>
      <c r="B292" s="80"/>
      <c r="C292" s="80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</row>
    <row r="293" spans="1:16" s="34" customFormat="1" x14ac:dyDescent="0.25">
      <c r="A293" s="91"/>
      <c r="B293" s="80"/>
      <c r="C293" s="80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</row>
    <row r="294" spans="1:16" s="34" customFormat="1" x14ac:dyDescent="0.25">
      <c r="A294" s="91"/>
      <c r="B294" s="80"/>
      <c r="C294" s="80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</row>
    <row r="295" spans="1:16" s="34" customFormat="1" x14ac:dyDescent="0.25">
      <c r="A295" s="91"/>
      <c r="B295" s="80"/>
      <c r="C295" s="80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</row>
    <row r="296" spans="1:16" s="34" customFormat="1" x14ac:dyDescent="0.25">
      <c r="A296" s="91"/>
      <c r="B296" s="80"/>
      <c r="C296" s="80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</row>
    <row r="297" spans="1:16" s="34" customFormat="1" x14ac:dyDescent="0.25">
      <c r="A297" s="91"/>
      <c r="B297" s="80"/>
      <c r="C297" s="80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</row>
    <row r="298" spans="1:16" s="34" customFormat="1" x14ac:dyDescent="0.25">
      <c r="A298" s="91"/>
      <c r="B298" s="80"/>
      <c r="C298" s="80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</row>
    <row r="299" spans="1:16" s="34" customFormat="1" x14ac:dyDescent="0.25">
      <c r="A299" s="91"/>
      <c r="B299" s="80"/>
      <c r="C299" s="80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</row>
    <row r="300" spans="1:16" s="34" customFormat="1" x14ac:dyDescent="0.25">
      <c r="A300" s="91"/>
      <c r="B300" s="80"/>
      <c r="C300" s="80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</row>
    <row r="301" spans="1:16" s="34" customFormat="1" x14ac:dyDescent="0.25">
      <c r="A301" s="91"/>
      <c r="B301" s="80"/>
      <c r="C301" s="80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</row>
    <row r="302" spans="1:16" s="34" customFormat="1" x14ac:dyDescent="0.25">
      <c r="A302" s="91"/>
      <c r="B302" s="80"/>
      <c r="C302" s="80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</row>
    <row r="303" spans="1:16" s="34" customFormat="1" x14ac:dyDescent="0.25">
      <c r="A303" s="91"/>
      <c r="B303" s="80"/>
      <c r="C303" s="80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</row>
    <row r="304" spans="1:16" s="34" customFormat="1" x14ac:dyDescent="0.25">
      <c r="A304" s="91"/>
      <c r="B304" s="80"/>
      <c r="C304" s="80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</row>
    <row r="305" spans="1:16" s="34" customFormat="1" x14ac:dyDescent="0.25">
      <c r="A305" s="91"/>
      <c r="B305" s="80"/>
      <c r="C305" s="80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</row>
    <row r="306" spans="1:16" s="34" customFormat="1" x14ac:dyDescent="0.25">
      <c r="A306" s="91"/>
      <c r="B306" s="80"/>
      <c r="C306" s="80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</row>
    <row r="307" spans="1:16" s="34" customFormat="1" x14ac:dyDescent="0.25">
      <c r="A307" s="91"/>
      <c r="B307" s="80"/>
      <c r="C307" s="80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</row>
    <row r="308" spans="1:16" s="34" customFormat="1" x14ac:dyDescent="0.25">
      <c r="A308" s="91"/>
      <c r="B308" s="80"/>
      <c r="C308" s="80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</row>
    <row r="309" spans="1:16" s="34" customFormat="1" x14ac:dyDescent="0.25">
      <c r="A309" s="91"/>
      <c r="B309" s="80"/>
      <c r="C309" s="80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</row>
    <row r="310" spans="1:16" s="34" customFormat="1" x14ac:dyDescent="0.25">
      <c r="A310" s="91"/>
      <c r="B310" s="80"/>
      <c r="C310" s="80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</row>
    <row r="311" spans="1:16" s="34" customFormat="1" x14ac:dyDescent="0.25">
      <c r="A311" s="91"/>
      <c r="B311" s="80"/>
      <c r="C311" s="80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</row>
    <row r="312" spans="1:16" s="34" customFormat="1" x14ac:dyDescent="0.25">
      <c r="A312" s="91"/>
      <c r="B312" s="80"/>
      <c r="C312" s="80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</row>
    <row r="313" spans="1:16" s="34" customFormat="1" x14ac:dyDescent="0.25">
      <c r="A313" s="91"/>
      <c r="B313" s="80"/>
      <c r="C313" s="80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</row>
    <row r="314" spans="1:16" s="34" customFormat="1" x14ac:dyDescent="0.25">
      <c r="A314" s="91"/>
      <c r="B314" s="80"/>
      <c r="C314" s="80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</row>
    <row r="315" spans="1:16" s="34" customFormat="1" x14ac:dyDescent="0.25">
      <c r="A315" s="91"/>
      <c r="B315" s="80"/>
      <c r="C315" s="80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</row>
    <row r="316" spans="1:16" s="34" customFormat="1" x14ac:dyDescent="0.25">
      <c r="A316" s="91"/>
      <c r="B316" s="80"/>
      <c r="C316" s="80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</row>
    <row r="317" spans="1:16" s="34" customFormat="1" x14ac:dyDescent="0.25">
      <c r="A317" s="91"/>
      <c r="B317" s="80"/>
      <c r="C317" s="80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</row>
    <row r="318" spans="1:16" s="34" customFormat="1" x14ac:dyDescent="0.25">
      <c r="A318" s="91"/>
      <c r="B318" s="80"/>
      <c r="C318" s="80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</row>
    <row r="319" spans="1:16" s="34" customFormat="1" x14ac:dyDescent="0.25">
      <c r="A319" s="91"/>
      <c r="B319" s="80"/>
      <c r="C319" s="80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</row>
    <row r="320" spans="1:16" s="34" customFormat="1" x14ac:dyDescent="0.25">
      <c r="A320" s="91"/>
      <c r="B320" s="80"/>
      <c r="C320" s="80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</row>
    <row r="321" spans="1:16" s="34" customFormat="1" x14ac:dyDescent="0.25">
      <c r="A321" s="91"/>
      <c r="B321" s="80"/>
      <c r="C321" s="80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</row>
    <row r="322" spans="1:16" s="34" customFormat="1" x14ac:dyDescent="0.25">
      <c r="A322" s="91"/>
      <c r="B322" s="80"/>
      <c r="C322" s="80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</row>
    <row r="323" spans="1:16" s="34" customFormat="1" x14ac:dyDescent="0.25">
      <c r="A323" s="91"/>
      <c r="B323" s="80"/>
      <c r="C323" s="80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</row>
    <row r="324" spans="1:16" s="34" customFormat="1" x14ac:dyDescent="0.25">
      <c r="A324" s="91"/>
      <c r="B324" s="80"/>
      <c r="C324" s="80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</row>
    <row r="325" spans="1:16" s="34" customFormat="1" x14ac:dyDescent="0.25">
      <c r="A325" s="91"/>
      <c r="B325" s="80"/>
      <c r="C325" s="80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</row>
    <row r="326" spans="1:16" s="34" customFormat="1" x14ac:dyDescent="0.25">
      <c r="A326" s="91"/>
      <c r="B326" s="80"/>
      <c r="C326" s="80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</row>
    <row r="327" spans="1:16" s="34" customFormat="1" x14ac:dyDescent="0.25">
      <c r="A327" s="91"/>
      <c r="B327" s="80"/>
      <c r="C327" s="80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</row>
    <row r="328" spans="1:16" s="34" customFormat="1" x14ac:dyDescent="0.25">
      <c r="A328" s="91"/>
      <c r="B328" s="80"/>
      <c r="C328" s="80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</row>
    <row r="329" spans="1:16" s="34" customFormat="1" x14ac:dyDescent="0.25">
      <c r="A329" s="91"/>
      <c r="B329" s="80"/>
      <c r="C329" s="80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</row>
    <row r="330" spans="1:16" s="34" customFormat="1" x14ac:dyDescent="0.25">
      <c r="A330" s="91"/>
      <c r="B330" s="80"/>
      <c r="C330" s="80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</row>
    <row r="331" spans="1:16" s="34" customFormat="1" x14ac:dyDescent="0.25">
      <c r="A331" s="91"/>
      <c r="B331" s="80"/>
      <c r="C331" s="80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</row>
    <row r="332" spans="1:16" s="34" customFormat="1" x14ac:dyDescent="0.25">
      <c r="A332" s="91"/>
      <c r="B332" s="80"/>
      <c r="C332" s="80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</row>
    <row r="333" spans="1:16" s="34" customFormat="1" x14ac:dyDescent="0.25">
      <c r="A333" s="91"/>
      <c r="B333" s="80"/>
      <c r="C333" s="80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</row>
    <row r="334" spans="1:16" s="34" customFormat="1" x14ac:dyDescent="0.25">
      <c r="A334" s="91"/>
      <c r="B334" s="80"/>
      <c r="C334" s="80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</row>
    <row r="335" spans="1:16" s="34" customFormat="1" x14ac:dyDescent="0.25">
      <c r="A335" s="91"/>
      <c r="B335" s="80"/>
      <c r="C335" s="80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</row>
    <row r="336" spans="1:16" s="34" customFormat="1" x14ac:dyDescent="0.25">
      <c r="A336" s="91"/>
      <c r="B336" s="80"/>
      <c r="C336" s="80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</row>
    <row r="337" spans="1:16" s="34" customFormat="1" x14ac:dyDescent="0.25">
      <c r="A337" s="91"/>
      <c r="B337" s="80"/>
      <c r="C337" s="80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</row>
    <row r="338" spans="1:16" s="34" customFormat="1" x14ac:dyDescent="0.25">
      <c r="A338" s="91"/>
      <c r="B338" s="80"/>
      <c r="C338" s="80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</row>
    <row r="339" spans="1:16" s="34" customFormat="1" x14ac:dyDescent="0.25">
      <c r="A339" s="91"/>
      <c r="B339" s="80"/>
      <c r="C339" s="80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</row>
    <row r="340" spans="1:16" s="34" customFormat="1" x14ac:dyDescent="0.25">
      <c r="A340" s="91"/>
      <c r="B340" s="80"/>
      <c r="C340" s="80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</row>
    <row r="341" spans="1:16" s="34" customFormat="1" x14ac:dyDescent="0.25">
      <c r="A341" s="91"/>
      <c r="B341" s="80"/>
      <c r="C341" s="80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</row>
    <row r="342" spans="1:16" s="34" customFormat="1" x14ac:dyDescent="0.25">
      <c r="A342" s="91"/>
      <c r="B342" s="80"/>
      <c r="C342" s="80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</row>
    <row r="343" spans="1:16" s="34" customFormat="1" x14ac:dyDescent="0.25">
      <c r="A343" s="91"/>
      <c r="B343" s="80"/>
      <c r="C343" s="80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</row>
    <row r="344" spans="1:16" s="34" customFormat="1" x14ac:dyDescent="0.25">
      <c r="A344" s="91"/>
      <c r="B344" s="80"/>
      <c r="C344" s="80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</row>
    <row r="345" spans="1:16" s="34" customFormat="1" x14ac:dyDescent="0.25">
      <c r="A345" s="91"/>
      <c r="B345" s="80"/>
      <c r="C345" s="80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</row>
    <row r="346" spans="1:16" s="34" customFormat="1" x14ac:dyDescent="0.25">
      <c r="A346" s="91"/>
      <c r="B346" s="80"/>
      <c r="C346" s="80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1:16" s="34" customFormat="1" x14ac:dyDescent="0.25">
      <c r="A347" s="91"/>
      <c r="B347" s="80"/>
      <c r="C347" s="80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</row>
    <row r="348" spans="1:16" s="34" customFormat="1" x14ac:dyDescent="0.25">
      <c r="A348" s="91"/>
      <c r="B348" s="80"/>
      <c r="C348" s="80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</row>
    <row r="349" spans="1:16" s="34" customFormat="1" x14ac:dyDescent="0.25">
      <c r="A349" s="91"/>
      <c r="B349" s="80"/>
      <c r="C349" s="80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</row>
    <row r="350" spans="1:16" s="34" customFormat="1" x14ac:dyDescent="0.25">
      <c r="A350" s="91"/>
      <c r="B350" s="80"/>
      <c r="C350" s="80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</row>
    <row r="351" spans="1:16" s="34" customFormat="1" x14ac:dyDescent="0.25">
      <c r="A351" s="91"/>
      <c r="B351" s="80"/>
      <c r="C351" s="80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</row>
    <row r="352" spans="1:16" s="34" customFormat="1" x14ac:dyDescent="0.25">
      <c r="A352" s="91"/>
      <c r="B352" s="80"/>
      <c r="C352" s="80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</row>
    <row r="353" spans="1:16" s="34" customFormat="1" x14ac:dyDescent="0.25">
      <c r="A353" s="91"/>
      <c r="B353" s="80"/>
      <c r="C353" s="80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</row>
    <row r="354" spans="1:16" s="34" customFormat="1" x14ac:dyDescent="0.25">
      <c r="A354" s="91"/>
      <c r="B354" s="80"/>
      <c r="C354" s="80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</row>
    <row r="355" spans="1:16" s="34" customFormat="1" x14ac:dyDescent="0.25">
      <c r="A355" s="91"/>
      <c r="B355" s="80"/>
      <c r="C355" s="80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</row>
    <row r="356" spans="1:16" s="34" customFormat="1" x14ac:dyDescent="0.25">
      <c r="A356" s="91"/>
      <c r="B356" s="80"/>
      <c r="C356" s="80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</row>
    <row r="357" spans="1:16" s="34" customFormat="1" x14ac:dyDescent="0.25">
      <c r="A357" s="91"/>
      <c r="B357" s="80"/>
      <c r="C357" s="80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</row>
    <row r="358" spans="1:16" s="34" customFormat="1" x14ac:dyDescent="0.25">
      <c r="A358" s="91"/>
      <c r="B358" s="80"/>
      <c r="C358" s="80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</row>
    <row r="359" spans="1:16" s="34" customFormat="1" x14ac:dyDescent="0.25">
      <c r="A359" s="91"/>
      <c r="B359" s="80"/>
      <c r="C359" s="80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</row>
    <row r="360" spans="1:16" s="34" customFormat="1" x14ac:dyDescent="0.25">
      <c r="A360" s="91"/>
      <c r="B360" s="80"/>
      <c r="C360" s="80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</row>
    <row r="361" spans="1:16" s="34" customFormat="1" x14ac:dyDescent="0.25">
      <c r="A361" s="91"/>
      <c r="B361" s="80"/>
      <c r="C361" s="80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</row>
    <row r="362" spans="1:16" s="34" customFormat="1" x14ac:dyDescent="0.25">
      <c r="A362" s="91"/>
      <c r="B362" s="80"/>
      <c r="C362" s="80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</row>
    <row r="363" spans="1:16" s="34" customFormat="1" x14ac:dyDescent="0.25">
      <c r="A363" s="91"/>
      <c r="B363" s="80"/>
      <c r="C363" s="80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</row>
    <row r="364" spans="1:16" s="34" customFormat="1" x14ac:dyDescent="0.25">
      <c r="A364" s="91"/>
      <c r="B364" s="80"/>
      <c r="C364" s="80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</row>
    <row r="365" spans="1:16" s="34" customFormat="1" x14ac:dyDescent="0.25">
      <c r="A365" s="91"/>
      <c r="B365" s="80"/>
      <c r="C365" s="80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</row>
    <row r="366" spans="1:16" s="34" customFormat="1" x14ac:dyDescent="0.25">
      <c r="A366" s="91"/>
      <c r="B366" s="80"/>
      <c r="C366" s="80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</row>
    <row r="367" spans="1:16" s="34" customFormat="1" x14ac:dyDescent="0.25">
      <c r="A367" s="91"/>
      <c r="B367" s="80"/>
      <c r="C367" s="80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</row>
    <row r="368" spans="1:16" s="34" customFormat="1" x14ac:dyDescent="0.25">
      <c r="A368" s="91"/>
      <c r="B368" s="80"/>
      <c r="C368" s="80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</row>
    <row r="369" spans="1:16" s="34" customFormat="1" x14ac:dyDescent="0.25">
      <c r="A369" s="91"/>
      <c r="B369" s="80"/>
      <c r="C369" s="80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</row>
    <row r="370" spans="1:16" s="34" customFormat="1" x14ac:dyDescent="0.25">
      <c r="A370" s="91"/>
      <c r="B370" s="80"/>
      <c r="C370" s="80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</row>
    <row r="371" spans="1:16" s="34" customFormat="1" x14ac:dyDescent="0.25">
      <c r="A371" s="91"/>
      <c r="B371" s="80"/>
      <c r="C371" s="80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</row>
    <row r="372" spans="1:16" s="34" customFormat="1" x14ac:dyDescent="0.25">
      <c r="A372" s="91"/>
      <c r="B372" s="80"/>
      <c r="C372" s="80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</row>
    <row r="373" spans="1:16" s="34" customFormat="1" x14ac:dyDescent="0.25">
      <c r="A373" s="91"/>
      <c r="B373" s="80"/>
      <c r="C373" s="80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</row>
    <row r="374" spans="1:16" s="34" customFormat="1" x14ac:dyDescent="0.25">
      <c r="A374" s="91"/>
      <c r="B374" s="80"/>
      <c r="C374" s="80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</row>
    <row r="375" spans="1:16" s="34" customFormat="1" x14ac:dyDescent="0.25">
      <c r="A375" s="91"/>
      <c r="B375" s="80"/>
      <c r="C375" s="80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</row>
    <row r="376" spans="1:16" s="34" customFormat="1" x14ac:dyDescent="0.25">
      <c r="A376" s="91"/>
      <c r="B376" s="80"/>
      <c r="C376" s="80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</row>
    <row r="377" spans="1:16" s="34" customFormat="1" x14ac:dyDescent="0.25">
      <c r="A377" s="91"/>
      <c r="B377" s="80"/>
      <c r="C377" s="80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</row>
    <row r="378" spans="1:16" s="34" customFormat="1" x14ac:dyDescent="0.25">
      <c r="A378" s="91"/>
      <c r="B378" s="80"/>
      <c r="C378" s="80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</row>
    <row r="379" spans="1:16" s="34" customFormat="1" x14ac:dyDescent="0.25">
      <c r="A379" s="91"/>
      <c r="B379" s="80"/>
      <c r="C379" s="80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</row>
    <row r="380" spans="1:16" s="34" customFormat="1" x14ac:dyDescent="0.25">
      <c r="A380" s="91"/>
      <c r="B380" s="80"/>
      <c r="C380" s="80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</row>
    <row r="381" spans="1:16" s="34" customFormat="1" x14ac:dyDescent="0.25">
      <c r="A381" s="91"/>
      <c r="B381" s="80"/>
      <c r="C381" s="80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</row>
    <row r="382" spans="1:16" s="34" customFormat="1" x14ac:dyDescent="0.25">
      <c r="A382" s="91"/>
      <c r="B382" s="80"/>
      <c r="C382" s="80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</row>
    <row r="383" spans="1:16" s="34" customFormat="1" x14ac:dyDescent="0.25">
      <c r="A383" s="91"/>
      <c r="B383" s="80"/>
      <c r="C383" s="80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</row>
    <row r="384" spans="1:16" s="34" customFormat="1" x14ac:dyDescent="0.25">
      <c r="A384" s="91"/>
      <c r="B384" s="80"/>
      <c r="C384" s="80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</row>
    <row r="385" spans="1:16" s="34" customFormat="1" x14ac:dyDescent="0.25">
      <c r="A385" s="91"/>
      <c r="B385" s="80"/>
      <c r="C385" s="80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</row>
    <row r="386" spans="1:16" s="34" customFormat="1" x14ac:dyDescent="0.25">
      <c r="A386" s="91"/>
      <c r="B386" s="80"/>
      <c r="C386" s="80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</row>
    <row r="387" spans="1:16" s="34" customFormat="1" x14ac:dyDescent="0.25">
      <c r="A387" s="91"/>
      <c r="B387" s="80"/>
      <c r="C387" s="80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</row>
    <row r="388" spans="1:16" s="34" customFormat="1" x14ac:dyDescent="0.25">
      <c r="A388" s="91"/>
      <c r="B388" s="80"/>
      <c r="C388" s="80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</row>
    <row r="389" spans="1:16" s="34" customFormat="1" x14ac:dyDescent="0.25">
      <c r="A389" s="91"/>
      <c r="B389" s="80"/>
      <c r="C389" s="80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</row>
    <row r="390" spans="1:16" s="34" customFormat="1" x14ac:dyDescent="0.25">
      <c r="A390" s="91"/>
      <c r="B390" s="80"/>
      <c r="C390" s="80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</row>
    <row r="391" spans="1:16" s="34" customFormat="1" x14ac:dyDescent="0.25">
      <c r="A391" s="91"/>
      <c r="B391" s="80"/>
      <c r="C391" s="80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</row>
    <row r="392" spans="1:16" s="34" customFormat="1" x14ac:dyDescent="0.25">
      <c r="A392" s="91"/>
      <c r="B392" s="80"/>
      <c r="C392" s="80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</row>
    <row r="393" spans="1:16" s="34" customFormat="1" x14ac:dyDescent="0.25">
      <c r="A393" s="91"/>
      <c r="B393" s="80"/>
      <c r="C393" s="80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</row>
    <row r="394" spans="1:16" s="34" customFormat="1" x14ac:dyDescent="0.25">
      <c r="A394" s="91"/>
      <c r="B394" s="80"/>
      <c r="C394" s="80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</row>
    <row r="395" spans="1:16" s="34" customFormat="1" x14ac:dyDescent="0.25">
      <c r="A395" s="91"/>
      <c r="B395" s="80"/>
      <c r="C395" s="80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</row>
    <row r="396" spans="1:16" s="34" customFormat="1" x14ac:dyDescent="0.25">
      <c r="A396" s="91"/>
      <c r="B396" s="80"/>
      <c r="C396" s="80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</row>
    <row r="397" spans="1:16" s="34" customFormat="1" x14ac:dyDescent="0.25">
      <c r="A397" s="91"/>
      <c r="B397" s="80"/>
      <c r="C397" s="80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</row>
    <row r="398" spans="1:16" s="34" customFormat="1" x14ac:dyDescent="0.25">
      <c r="A398" s="91"/>
      <c r="B398" s="80"/>
      <c r="C398" s="80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</row>
    <row r="399" spans="1:16" s="34" customFormat="1" x14ac:dyDescent="0.25">
      <c r="A399" s="91"/>
      <c r="B399" s="80"/>
      <c r="C399" s="80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</row>
    <row r="400" spans="1:16" s="34" customFormat="1" x14ac:dyDescent="0.25">
      <c r="A400" s="91"/>
      <c r="B400" s="80"/>
      <c r="C400" s="80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</row>
    <row r="401" spans="1:16" s="34" customFormat="1" x14ac:dyDescent="0.25">
      <c r="A401" s="91"/>
      <c r="B401" s="80"/>
      <c r="C401" s="80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</row>
    <row r="402" spans="1:16" s="34" customFormat="1" x14ac:dyDescent="0.25">
      <c r="A402" s="91"/>
      <c r="B402" s="80"/>
      <c r="C402" s="80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</row>
    <row r="403" spans="1:16" s="34" customFormat="1" x14ac:dyDescent="0.25">
      <c r="A403" s="91"/>
      <c r="B403" s="80"/>
      <c r="C403" s="80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</row>
    <row r="404" spans="1:16" s="34" customFormat="1" x14ac:dyDescent="0.25">
      <c r="A404" s="91"/>
      <c r="B404" s="80"/>
      <c r="C404" s="80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</row>
    <row r="405" spans="1:16" s="34" customFormat="1" x14ac:dyDescent="0.25">
      <c r="A405" s="91"/>
      <c r="B405" s="80"/>
      <c r="C405" s="80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</row>
    <row r="406" spans="1:16" s="34" customFormat="1" x14ac:dyDescent="0.25">
      <c r="A406" s="91"/>
      <c r="B406" s="80"/>
      <c r="C406" s="80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</row>
    <row r="407" spans="1:16" s="34" customFormat="1" x14ac:dyDescent="0.25">
      <c r="A407" s="91"/>
      <c r="B407" s="80"/>
      <c r="C407" s="80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</row>
    <row r="408" spans="1:16" s="34" customFormat="1" x14ac:dyDescent="0.25">
      <c r="A408" s="91"/>
      <c r="B408" s="80"/>
      <c r="C408" s="80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</row>
    <row r="409" spans="1:16" s="34" customFormat="1" x14ac:dyDescent="0.25">
      <c r="A409" s="91"/>
      <c r="B409" s="80"/>
      <c r="C409" s="80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</row>
    <row r="410" spans="1:16" s="34" customFormat="1" x14ac:dyDescent="0.25">
      <c r="A410" s="91"/>
      <c r="B410" s="80"/>
      <c r="C410" s="80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</row>
    <row r="411" spans="1:16" s="34" customFormat="1" x14ac:dyDescent="0.25">
      <c r="A411" s="91"/>
      <c r="B411" s="80"/>
      <c r="C411" s="80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</row>
    <row r="412" spans="1:16" s="34" customFormat="1" x14ac:dyDescent="0.25">
      <c r="A412" s="91"/>
      <c r="B412" s="80"/>
      <c r="C412" s="80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</row>
    <row r="413" spans="1:16" s="34" customFormat="1" x14ac:dyDescent="0.25">
      <c r="A413" s="91"/>
      <c r="B413" s="80"/>
      <c r="C413" s="80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</row>
    <row r="414" spans="1:16" s="34" customFormat="1" x14ac:dyDescent="0.25">
      <c r="A414" s="91"/>
      <c r="B414" s="80"/>
      <c r="C414" s="80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</row>
    <row r="415" spans="1:16" s="34" customFormat="1" x14ac:dyDescent="0.25">
      <c r="A415" s="91"/>
      <c r="B415" s="80"/>
      <c r="C415" s="80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</row>
    <row r="416" spans="1:16" s="34" customFormat="1" x14ac:dyDescent="0.25">
      <c r="A416" s="91"/>
      <c r="B416" s="80"/>
      <c r="C416" s="80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</row>
    <row r="417" spans="1:16" s="34" customFormat="1" x14ac:dyDescent="0.25">
      <c r="A417" s="91"/>
      <c r="B417" s="80"/>
      <c r="C417" s="80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</row>
    <row r="418" spans="1:16" s="34" customFormat="1" x14ac:dyDescent="0.25">
      <c r="A418" s="91"/>
      <c r="B418" s="80"/>
      <c r="C418" s="80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</row>
    <row r="419" spans="1:16" s="34" customFormat="1" x14ac:dyDescent="0.25">
      <c r="A419" s="91"/>
      <c r="B419" s="80"/>
      <c r="C419" s="80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</row>
    <row r="420" spans="1:16" s="34" customFormat="1" x14ac:dyDescent="0.25">
      <c r="A420" s="91"/>
      <c r="B420" s="80"/>
      <c r="C420" s="80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</row>
    <row r="421" spans="1:16" s="34" customFormat="1" x14ac:dyDescent="0.25">
      <c r="A421" s="91"/>
      <c r="B421" s="80"/>
      <c r="C421" s="80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</row>
    <row r="422" spans="1:16" s="34" customFormat="1" x14ac:dyDescent="0.25">
      <c r="A422" s="91"/>
      <c r="B422" s="80"/>
      <c r="C422" s="80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</row>
    <row r="423" spans="1:16" s="34" customFormat="1" x14ac:dyDescent="0.25">
      <c r="A423" s="91"/>
      <c r="B423" s="80"/>
      <c r="C423" s="80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</row>
    <row r="424" spans="1:16" s="34" customFormat="1" x14ac:dyDescent="0.25">
      <c r="A424" s="91"/>
      <c r="B424" s="80"/>
      <c r="C424" s="80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</row>
    <row r="425" spans="1:16" s="34" customFormat="1" x14ac:dyDescent="0.25">
      <c r="A425" s="91"/>
      <c r="B425" s="80"/>
      <c r="C425" s="80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</row>
    <row r="426" spans="1:16" s="34" customFormat="1" x14ac:dyDescent="0.25">
      <c r="A426" s="91"/>
      <c r="B426" s="80"/>
      <c r="C426" s="80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</row>
    <row r="427" spans="1:16" s="34" customFormat="1" x14ac:dyDescent="0.25">
      <c r="A427" s="91"/>
      <c r="B427" s="80"/>
      <c r="C427" s="80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</row>
    <row r="428" spans="1:16" s="34" customFormat="1" x14ac:dyDescent="0.25">
      <c r="A428" s="91"/>
      <c r="B428" s="80"/>
      <c r="C428" s="80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</row>
    <row r="429" spans="1:16" s="34" customFormat="1" x14ac:dyDescent="0.25">
      <c r="A429" s="91"/>
      <c r="B429" s="80"/>
      <c r="C429" s="80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</row>
    <row r="430" spans="1:16" s="34" customFormat="1" x14ac:dyDescent="0.25">
      <c r="A430" s="91"/>
      <c r="B430" s="80"/>
      <c r="C430" s="80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</row>
    <row r="431" spans="1:16" s="34" customFormat="1" x14ac:dyDescent="0.25">
      <c r="A431" s="91"/>
      <c r="B431" s="80"/>
      <c r="C431" s="80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</row>
    <row r="432" spans="1:16" s="34" customFormat="1" x14ac:dyDescent="0.25">
      <c r="A432" s="91"/>
      <c r="B432" s="80"/>
      <c r="C432" s="80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</row>
    <row r="433" spans="1:16" s="34" customFormat="1" x14ac:dyDescent="0.25">
      <c r="A433" s="91"/>
      <c r="B433" s="80"/>
      <c r="C433" s="80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</row>
    <row r="434" spans="1:16" s="34" customFormat="1" x14ac:dyDescent="0.25">
      <c r="A434" s="91"/>
      <c r="B434" s="80"/>
      <c r="C434" s="80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</row>
    <row r="435" spans="1:16" s="34" customFormat="1" x14ac:dyDescent="0.25">
      <c r="A435" s="91"/>
      <c r="B435" s="80"/>
      <c r="C435" s="80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</row>
    <row r="436" spans="1:16" s="34" customFormat="1" x14ac:dyDescent="0.25">
      <c r="A436" s="91"/>
      <c r="B436" s="80"/>
      <c r="C436" s="80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</row>
    <row r="437" spans="1:16" s="34" customFormat="1" x14ac:dyDescent="0.25">
      <c r="A437" s="91"/>
      <c r="B437" s="80"/>
      <c r="C437" s="80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</row>
    <row r="438" spans="1:16" s="34" customFormat="1" x14ac:dyDescent="0.25">
      <c r="A438" s="91"/>
      <c r="B438" s="80"/>
      <c r="C438" s="80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</row>
    <row r="439" spans="1:16" s="34" customFormat="1" x14ac:dyDescent="0.25">
      <c r="A439" s="91"/>
      <c r="B439" s="80"/>
      <c r="C439" s="80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</row>
    <row r="440" spans="1:16" s="34" customFormat="1" x14ac:dyDescent="0.25">
      <c r="A440" s="91"/>
      <c r="B440" s="80"/>
      <c r="C440" s="80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</row>
    <row r="441" spans="1:16" s="34" customFormat="1" x14ac:dyDescent="0.25">
      <c r="A441" s="91"/>
      <c r="B441" s="80"/>
      <c r="C441" s="80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</row>
    <row r="442" spans="1:16" s="34" customFormat="1" x14ac:dyDescent="0.25">
      <c r="A442" s="91"/>
      <c r="B442" s="80"/>
      <c r="C442" s="80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</row>
    <row r="443" spans="1:16" s="34" customFormat="1" x14ac:dyDescent="0.25">
      <c r="A443" s="91"/>
      <c r="B443" s="80"/>
      <c r="C443" s="80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</row>
    <row r="444" spans="1:16" s="34" customFormat="1" x14ac:dyDescent="0.25">
      <c r="A444" s="91"/>
      <c r="B444" s="80"/>
      <c r="C444" s="80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</row>
    <row r="445" spans="1:16" s="34" customFormat="1" x14ac:dyDescent="0.25">
      <c r="A445" s="91"/>
      <c r="B445" s="80"/>
      <c r="C445" s="80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</row>
    <row r="446" spans="1:16" s="34" customFormat="1" x14ac:dyDescent="0.25">
      <c r="A446" s="91"/>
      <c r="B446" s="80"/>
      <c r="C446" s="80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</row>
    <row r="447" spans="1:16" s="34" customFormat="1" x14ac:dyDescent="0.25">
      <c r="A447" s="91"/>
      <c r="B447" s="80"/>
      <c r="C447" s="80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</row>
    <row r="448" spans="1:16" s="34" customFormat="1" x14ac:dyDescent="0.25">
      <c r="A448" s="91"/>
      <c r="B448" s="80"/>
      <c r="C448" s="80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</row>
    <row r="449" spans="1:16" s="34" customFormat="1" x14ac:dyDescent="0.25">
      <c r="A449" s="91"/>
      <c r="B449" s="80"/>
      <c r="C449" s="80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</row>
    <row r="450" spans="1:16" s="34" customFormat="1" x14ac:dyDescent="0.25">
      <c r="A450" s="91"/>
      <c r="B450" s="80"/>
      <c r="C450" s="80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</row>
    <row r="451" spans="1:16" s="34" customFormat="1" x14ac:dyDescent="0.25">
      <c r="A451" s="91"/>
      <c r="B451" s="80"/>
      <c r="C451" s="80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</row>
    <row r="452" spans="1:16" s="34" customFormat="1" x14ac:dyDescent="0.25">
      <c r="A452" s="91"/>
      <c r="B452" s="80"/>
      <c r="C452" s="80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</row>
    <row r="453" spans="1:16" s="34" customFormat="1" x14ac:dyDescent="0.25">
      <c r="A453" s="91"/>
      <c r="B453" s="80"/>
      <c r="C453" s="80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</row>
    <row r="454" spans="1:16" s="34" customFormat="1" x14ac:dyDescent="0.25">
      <c r="A454" s="91"/>
      <c r="B454" s="80"/>
      <c r="C454" s="80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</row>
    <row r="455" spans="1:16" s="34" customFormat="1" x14ac:dyDescent="0.25">
      <c r="A455" s="91"/>
      <c r="B455" s="80"/>
      <c r="C455" s="80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</row>
    <row r="456" spans="1:16" s="34" customFormat="1" x14ac:dyDescent="0.25">
      <c r="A456" s="91"/>
      <c r="B456" s="80"/>
      <c r="C456" s="80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</row>
    <row r="457" spans="1:16" s="34" customFormat="1" x14ac:dyDescent="0.25">
      <c r="A457" s="91"/>
      <c r="B457" s="80"/>
      <c r="C457" s="80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</row>
    <row r="458" spans="1:16" s="34" customFormat="1" x14ac:dyDescent="0.25">
      <c r="A458" s="91"/>
      <c r="B458" s="80"/>
      <c r="C458" s="80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</row>
    <row r="459" spans="1:16" s="34" customFormat="1" x14ac:dyDescent="0.25">
      <c r="A459" s="91"/>
      <c r="B459" s="80"/>
      <c r="C459" s="80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</row>
    <row r="460" spans="1:16" s="34" customFormat="1" x14ac:dyDescent="0.25">
      <c r="A460" s="91"/>
      <c r="B460" s="80"/>
      <c r="C460" s="80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</row>
    <row r="461" spans="1:16" s="34" customFormat="1" x14ac:dyDescent="0.25">
      <c r="A461" s="91"/>
      <c r="B461" s="80"/>
      <c r="C461" s="80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</row>
    <row r="462" spans="1:16" s="34" customFormat="1" x14ac:dyDescent="0.25">
      <c r="A462" s="91"/>
      <c r="B462" s="80"/>
      <c r="C462" s="80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</row>
    <row r="463" spans="1:16" s="34" customFormat="1" x14ac:dyDescent="0.25">
      <c r="A463" s="91"/>
      <c r="B463" s="80"/>
      <c r="C463" s="80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</row>
    <row r="464" spans="1:16" s="34" customFormat="1" x14ac:dyDescent="0.25">
      <c r="A464" s="91"/>
      <c r="B464" s="80"/>
      <c r="C464" s="80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</row>
    <row r="465" spans="1:16" s="34" customFormat="1" x14ac:dyDescent="0.25">
      <c r="A465" s="91"/>
      <c r="B465" s="80"/>
      <c r="C465" s="80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</row>
    <row r="466" spans="1:16" s="34" customFormat="1" x14ac:dyDescent="0.25">
      <c r="A466" s="91"/>
      <c r="B466" s="80"/>
      <c r="C466" s="80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</row>
    <row r="467" spans="1:16" s="34" customFormat="1" x14ac:dyDescent="0.25">
      <c r="A467" s="91"/>
      <c r="B467" s="80"/>
      <c r="C467" s="80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</row>
    <row r="468" spans="1:16" s="34" customFormat="1" x14ac:dyDescent="0.25">
      <c r="A468" s="91"/>
      <c r="B468" s="80"/>
      <c r="C468" s="80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</row>
    <row r="469" spans="1:16" s="34" customFormat="1" x14ac:dyDescent="0.25">
      <c r="A469" s="91"/>
      <c r="B469" s="80"/>
      <c r="C469" s="80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</row>
    <row r="470" spans="1:16" s="34" customFormat="1" x14ac:dyDescent="0.25">
      <c r="A470" s="91"/>
      <c r="B470" s="80"/>
      <c r="C470" s="80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</row>
    <row r="471" spans="1:16" s="34" customFormat="1" x14ac:dyDescent="0.25">
      <c r="A471" s="91"/>
      <c r="B471" s="80"/>
      <c r="C471" s="80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</row>
    <row r="472" spans="1:16" s="34" customFormat="1" x14ac:dyDescent="0.25">
      <c r="A472" s="91"/>
      <c r="B472" s="80"/>
      <c r="C472" s="80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</row>
    <row r="473" spans="1:16" s="34" customFormat="1" x14ac:dyDescent="0.25">
      <c r="A473" s="91"/>
      <c r="B473" s="80"/>
      <c r="C473" s="80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</row>
    <row r="474" spans="1:16" s="34" customFormat="1" x14ac:dyDescent="0.25">
      <c r="A474" s="91"/>
      <c r="B474" s="80"/>
      <c r="C474" s="80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</row>
    <row r="475" spans="1:16" s="34" customFormat="1" x14ac:dyDescent="0.25">
      <c r="A475" s="91"/>
      <c r="B475" s="80"/>
      <c r="C475" s="80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</row>
    <row r="476" spans="1:16" s="34" customFormat="1" x14ac:dyDescent="0.25">
      <c r="A476" s="91"/>
      <c r="B476" s="80"/>
      <c r="C476" s="80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</row>
    <row r="477" spans="1:16" s="34" customFormat="1" x14ac:dyDescent="0.25">
      <c r="A477" s="91"/>
      <c r="B477" s="80"/>
      <c r="C477" s="80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</row>
    <row r="478" spans="1:16" s="34" customFormat="1" x14ac:dyDescent="0.25">
      <c r="A478" s="91"/>
      <c r="B478" s="80"/>
      <c r="C478" s="80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</row>
    <row r="479" spans="1:16" s="34" customFormat="1" x14ac:dyDescent="0.25">
      <c r="A479" s="91"/>
      <c r="B479" s="80"/>
      <c r="C479" s="80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</row>
    <row r="480" spans="1:16" s="34" customFormat="1" x14ac:dyDescent="0.25">
      <c r="A480" s="91"/>
      <c r="B480" s="80"/>
      <c r="C480" s="80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</row>
    <row r="481" spans="1:16" s="34" customFormat="1" x14ac:dyDescent="0.25">
      <c r="A481" s="91"/>
      <c r="B481" s="80"/>
      <c r="C481" s="80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</row>
    <row r="482" spans="1:16" s="34" customFormat="1" x14ac:dyDescent="0.25">
      <c r="A482" s="91"/>
      <c r="B482" s="80"/>
      <c r="C482" s="80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</row>
    <row r="483" spans="1:16" s="34" customFormat="1" x14ac:dyDescent="0.25">
      <c r="A483" s="91"/>
      <c r="B483" s="80"/>
      <c r="C483" s="80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</row>
    <row r="484" spans="1:16" s="34" customFormat="1" x14ac:dyDescent="0.25">
      <c r="A484" s="91"/>
      <c r="B484" s="80"/>
      <c r="C484" s="80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</row>
    <row r="485" spans="1:16" s="34" customFormat="1" x14ac:dyDescent="0.25">
      <c r="A485" s="91"/>
      <c r="B485" s="80"/>
      <c r="C485" s="80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</row>
    <row r="486" spans="1:16" s="34" customFormat="1" x14ac:dyDescent="0.25">
      <c r="A486" s="91"/>
      <c r="B486" s="80"/>
      <c r="C486" s="80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</row>
    <row r="487" spans="1:16" s="34" customFormat="1" x14ac:dyDescent="0.25">
      <c r="A487" s="91"/>
      <c r="B487" s="80"/>
      <c r="C487" s="80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</row>
    <row r="488" spans="1:16" s="34" customFormat="1" x14ac:dyDescent="0.25">
      <c r="A488" s="91"/>
      <c r="B488" s="80"/>
      <c r="C488" s="80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</row>
    <row r="489" spans="1:16" s="34" customFormat="1" x14ac:dyDescent="0.25">
      <c r="A489" s="91"/>
      <c r="B489" s="80"/>
      <c r="C489" s="80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</row>
    <row r="490" spans="1:16" s="34" customFormat="1" x14ac:dyDescent="0.25">
      <c r="A490" s="91"/>
      <c r="B490" s="80"/>
      <c r="C490" s="80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</row>
    <row r="491" spans="1:16" s="34" customFormat="1" x14ac:dyDescent="0.25">
      <c r="A491" s="91"/>
      <c r="B491" s="80"/>
      <c r="C491" s="80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</row>
    <row r="492" spans="1:16" s="34" customFormat="1" x14ac:dyDescent="0.25">
      <c r="A492" s="91"/>
      <c r="B492" s="80"/>
      <c r="C492" s="80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</row>
    <row r="493" spans="1:16" s="34" customFormat="1" x14ac:dyDescent="0.25">
      <c r="A493" s="91"/>
      <c r="B493" s="80"/>
      <c r="C493" s="80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</row>
    <row r="494" spans="1:16" s="34" customFormat="1" x14ac:dyDescent="0.25">
      <c r="A494" s="91"/>
      <c r="B494" s="80"/>
      <c r="C494" s="80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</row>
    <row r="495" spans="1:16" s="34" customFormat="1" x14ac:dyDescent="0.25">
      <c r="A495" s="91"/>
      <c r="B495" s="80"/>
      <c r="C495" s="80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</row>
    <row r="496" spans="1:16" s="34" customFormat="1" x14ac:dyDescent="0.25">
      <c r="A496" s="91"/>
      <c r="B496" s="80"/>
      <c r="C496" s="80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</row>
    <row r="497" spans="1:16" s="34" customFormat="1" x14ac:dyDescent="0.25">
      <c r="A497" s="91"/>
      <c r="B497" s="80"/>
      <c r="C497" s="80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</row>
    <row r="498" spans="1:16" s="34" customFormat="1" x14ac:dyDescent="0.25">
      <c r="A498" s="91"/>
      <c r="B498" s="80"/>
      <c r="C498" s="80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</row>
    <row r="499" spans="1:16" s="34" customFormat="1" x14ac:dyDescent="0.25">
      <c r="A499" s="91"/>
      <c r="B499" s="80"/>
      <c r="C499" s="80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</row>
    <row r="500" spans="1:16" s="34" customFormat="1" x14ac:dyDescent="0.25">
      <c r="A500" s="91"/>
      <c r="B500" s="80"/>
      <c r="C500" s="80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</row>
    <row r="501" spans="1:16" s="34" customFormat="1" x14ac:dyDescent="0.25">
      <c r="A501" s="91"/>
      <c r="B501" s="80"/>
      <c r="C501" s="80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</row>
    <row r="502" spans="1:16" s="34" customFormat="1" x14ac:dyDescent="0.25">
      <c r="A502" s="91"/>
      <c r="B502" s="80"/>
      <c r="C502" s="80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</row>
    <row r="503" spans="1:16" s="34" customFormat="1" x14ac:dyDescent="0.25">
      <c r="A503" s="91"/>
      <c r="B503" s="80"/>
      <c r="C503" s="80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</row>
    <row r="504" spans="1:16" s="34" customFormat="1" x14ac:dyDescent="0.25">
      <c r="A504" s="91"/>
      <c r="B504" s="80"/>
      <c r="C504" s="80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</row>
    <row r="505" spans="1:16" s="34" customFormat="1" x14ac:dyDescent="0.25">
      <c r="A505" s="91"/>
      <c r="B505" s="80"/>
      <c r="C505" s="80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</row>
    <row r="506" spans="1:16" s="34" customFormat="1" x14ac:dyDescent="0.25">
      <c r="A506" s="91"/>
      <c r="B506" s="80"/>
      <c r="C506" s="80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</row>
    <row r="507" spans="1:16" s="34" customFormat="1" x14ac:dyDescent="0.25">
      <c r="A507" s="91"/>
      <c r="B507" s="80"/>
      <c r="C507" s="80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</row>
    <row r="508" spans="1:16" s="34" customFormat="1" x14ac:dyDescent="0.25">
      <c r="A508" s="91"/>
      <c r="B508" s="80"/>
      <c r="C508" s="80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</row>
    <row r="509" spans="1:16" s="34" customFormat="1" x14ac:dyDescent="0.25">
      <c r="A509" s="91"/>
      <c r="B509" s="80"/>
      <c r="C509" s="80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</row>
    <row r="510" spans="1:16" s="34" customFormat="1" x14ac:dyDescent="0.25">
      <c r="A510" s="91"/>
      <c r="B510" s="80"/>
      <c r="C510" s="80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</row>
    <row r="511" spans="1:16" s="34" customFormat="1" x14ac:dyDescent="0.25">
      <c r="A511" s="91"/>
      <c r="B511" s="80"/>
      <c r="C511" s="80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</row>
    <row r="512" spans="1:16" s="34" customFormat="1" x14ac:dyDescent="0.25">
      <c r="A512" s="91"/>
      <c r="B512" s="80"/>
      <c r="C512" s="80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</row>
    <row r="513" spans="1:16" s="34" customFormat="1" x14ac:dyDescent="0.25">
      <c r="A513" s="91"/>
      <c r="B513" s="80"/>
      <c r="C513" s="80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</row>
    <row r="514" spans="1:16" s="34" customFormat="1" x14ac:dyDescent="0.25">
      <c r="A514" s="91"/>
      <c r="B514" s="80"/>
      <c r="C514" s="80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</row>
    <row r="515" spans="1:16" s="34" customFormat="1" x14ac:dyDescent="0.25">
      <c r="A515" s="91"/>
      <c r="B515" s="80"/>
      <c r="C515" s="80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</row>
    <row r="516" spans="1:16" s="34" customFormat="1" x14ac:dyDescent="0.25">
      <c r="A516" s="91"/>
      <c r="B516" s="80"/>
      <c r="C516" s="80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</row>
    <row r="517" spans="1:16" s="34" customFormat="1" x14ac:dyDescent="0.25">
      <c r="A517" s="91"/>
      <c r="B517" s="80"/>
      <c r="C517" s="80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</row>
    <row r="518" spans="1:16" s="34" customFormat="1" x14ac:dyDescent="0.25">
      <c r="A518" s="91"/>
      <c r="B518" s="80"/>
      <c r="C518" s="80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</row>
    <row r="519" spans="1:16" s="34" customFormat="1" x14ac:dyDescent="0.25">
      <c r="A519" s="91"/>
      <c r="B519" s="80"/>
      <c r="C519" s="80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</row>
    <row r="520" spans="1:16" s="34" customFormat="1" x14ac:dyDescent="0.25">
      <c r="A520" s="91"/>
      <c r="B520" s="80"/>
      <c r="C520" s="80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</row>
    <row r="521" spans="1:16" s="34" customFormat="1" x14ac:dyDescent="0.25">
      <c r="A521" s="91"/>
      <c r="B521" s="80"/>
      <c r="C521" s="80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</row>
    <row r="522" spans="1:16" s="34" customFormat="1" x14ac:dyDescent="0.25">
      <c r="A522" s="91"/>
      <c r="B522" s="80"/>
      <c r="C522" s="80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</row>
    <row r="523" spans="1:16" s="34" customFormat="1" x14ac:dyDescent="0.25">
      <c r="A523" s="91"/>
      <c r="B523" s="80"/>
      <c r="C523" s="80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</row>
    <row r="524" spans="1:16" s="34" customFormat="1" x14ac:dyDescent="0.25">
      <c r="A524" s="91"/>
      <c r="B524" s="80"/>
      <c r="C524" s="80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</row>
    <row r="525" spans="1:16" s="34" customFormat="1" x14ac:dyDescent="0.25">
      <c r="A525" s="91"/>
      <c r="B525" s="80"/>
      <c r="C525" s="80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</row>
    <row r="526" spans="1:16" s="34" customFormat="1" x14ac:dyDescent="0.25">
      <c r="A526" s="91"/>
      <c r="B526" s="80"/>
      <c r="C526" s="80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</row>
    <row r="527" spans="1:16" s="34" customFormat="1" x14ac:dyDescent="0.25">
      <c r="A527" s="91"/>
      <c r="B527" s="80"/>
      <c r="C527" s="80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</row>
    <row r="528" spans="1:16" s="34" customFormat="1" x14ac:dyDescent="0.25">
      <c r="A528" s="91"/>
      <c r="B528" s="80"/>
      <c r="C528" s="80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</row>
    <row r="529" spans="1:16" s="34" customFormat="1" x14ac:dyDescent="0.25">
      <c r="A529" s="91"/>
      <c r="B529" s="80"/>
      <c r="C529" s="80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</row>
    <row r="530" spans="1:16" s="34" customFormat="1" x14ac:dyDescent="0.25">
      <c r="A530" s="91"/>
      <c r="B530" s="80"/>
      <c r="C530" s="80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</row>
    <row r="531" spans="1:16" s="34" customFormat="1" x14ac:dyDescent="0.25">
      <c r="A531" s="91"/>
      <c r="B531" s="80"/>
      <c r="C531" s="80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</row>
    <row r="532" spans="1:16" s="34" customFormat="1" x14ac:dyDescent="0.25">
      <c r="A532" s="91"/>
      <c r="B532" s="80"/>
      <c r="C532" s="80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</row>
    <row r="533" spans="1:16" s="34" customFormat="1" x14ac:dyDescent="0.25">
      <c r="A533" s="91"/>
      <c r="B533" s="80"/>
      <c r="C533" s="80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</row>
    <row r="534" spans="1:16" s="34" customFormat="1" x14ac:dyDescent="0.25">
      <c r="A534" s="91"/>
      <c r="B534" s="80"/>
      <c r="C534" s="80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</row>
    <row r="535" spans="1:16" s="34" customFormat="1" x14ac:dyDescent="0.25">
      <c r="A535" s="91"/>
      <c r="B535" s="80"/>
      <c r="C535" s="80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</row>
    <row r="536" spans="1:16" s="34" customFormat="1" x14ac:dyDescent="0.25">
      <c r="A536" s="91"/>
      <c r="B536" s="80"/>
      <c r="C536" s="80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</row>
    <row r="537" spans="1:16" s="34" customFormat="1" x14ac:dyDescent="0.25">
      <c r="A537" s="91"/>
      <c r="B537" s="80"/>
      <c r="C537" s="80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</row>
    <row r="538" spans="1:16" s="34" customFormat="1" x14ac:dyDescent="0.25">
      <c r="A538" s="91"/>
      <c r="B538" s="80"/>
      <c r="C538" s="80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</row>
    <row r="539" spans="1:16" s="34" customFormat="1" x14ac:dyDescent="0.25">
      <c r="A539" s="91"/>
      <c r="B539" s="80"/>
      <c r="C539" s="80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</row>
    <row r="540" spans="1:16" s="34" customFormat="1" x14ac:dyDescent="0.25">
      <c r="A540" s="91"/>
      <c r="B540" s="80"/>
      <c r="C540" s="80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</row>
    <row r="541" spans="1:16" s="34" customFormat="1" x14ac:dyDescent="0.25">
      <c r="A541" s="91"/>
      <c r="B541" s="80"/>
      <c r="C541" s="80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</row>
    <row r="542" spans="1:16" s="34" customFormat="1" x14ac:dyDescent="0.25">
      <c r="A542" s="91"/>
      <c r="B542" s="80"/>
      <c r="C542" s="80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</row>
    <row r="543" spans="1:16" s="34" customFormat="1" x14ac:dyDescent="0.25">
      <c r="A543" s="91"/>
      <c r="B543" s="80"/>
      <c r="C543" s="80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</row>
    <row r="544" spans="1:16" s="34" customFormat="1" x14ac:dyDescent="0.25">
      <c r="A544" s="91"/>
      <c r="B544" s="80"/>
      <c r="C544" s="80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</row>
    <row r="545" spans="1:16" s="34" customFormat="1" x14ac:dyDescent="0.25">
      <c r="A545" s="91"/>
      <c r="B545" s="80"/>
      <c r="C545" s="80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</row>
    <row r="546" spans="1:16" s="34" customFormat="1" x14ac:dyDescent="0.25">
      <c r="A546" s="91"/>
      <c r="B546" s="80"/>
      <c r="C546" s="80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</row>
    <row r="547" spans="1:16" s="34" customFormat="1" x14ac:dyDescent="0.25">
      <c r="A547" s="91"/>
      <c r="B547" s="80"/>
      <c r="C547" s="80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</row>
    <row r="548" spans="1:16" s="34" customFormat="1" x14ac:dyDescent="0.25">
      <c r="A548" s="91"/>
      <c r="B548" s="80"/>
      <c r="C548" s="80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</row>
    <row r="549" spans="1:16" s="34" customFormat="1" x14ac:dyDescent="0.25">
      <c r="A549" s="91"/>
      <c r="B549" s="80"/>
      <c r="C549" s="80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</row>
    <row r="550" spans="1:16" s="34" customFormat="1" x14ac:dyDescent="0.25">
      <c r="A550" s="91"/>
      <c r="B550" s="80"/>
      <c r="C550" s="80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</row>
    <row r="551" spans="1:16" s="34" customFormat="1" x14ac:dyDescent="0.25">
      <c r="A551" s="91"/>
      <c r="B551" s="80"/>
      <c r="C551" s="80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</row>
    <row r="552" spans="1:16" s="34" customFormat="1" x14ac:dyDescent="0.25">
      <c r="A552" s="91"/>
      <c r="B552" s="80"/>
      <c r="C552" s="80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</row>
    <row r="553" spans="1:16" s="34" customFormat="1" x14ac:dyDescent="0.25">
      <c r="A553" s="91"/>
      <c r="B553" s="80"/>
      <c r="C553" s="80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</row>
    <row r="554" spans="1:16" s="34" customFormat="1" x14ac:dyDescent="0.25">
      <c r="A554" s="91"/>
      <c r="B554" s="80"/>
      <c r="C554" s="80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</row>
    <row r="555" spans="1:16" s="34" customFormat="1" x14ac:dyDescent="0.25">
      <c r="A555" s="91"/>
      <c r="B555" s="80"/>
      <c r="C555" s="80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</row>
    <row r="556" spans="1:16" s="34" customFormat="1" x14ac:dyDescent="0.25">
      <c r="A556" s="91"/>
      <c r="B556" s="80"/>
      <c r="C556" s="80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</row>
    <row r="557" spans="1:16" s="34" customFormat="1" x14ac:dyDescent="0.25">
      <c r="A557" s="91"/>
      <c r="B557" s="80"/>
      <c r="C557" s="80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</row>
    <row r="558" spans="1:16" s="34" customFormat="1" x14ac:dyDescent="0.25">
      <c r="A558" s="91"/>
      <c r="B558" s="80"/>
      <c r="C558" s="80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</row>
    <row r="559" spans="1:16" s="34" customFormat="1" x14ac:dyDescent="0.25">
      <c r="A559" s="91"/>
      <c r="B559" s="80"/>
      <c r="C559" s="80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</row>
    <row r="560" spans="1:16" s="34" customFormat="1" x14ac:dyDescent="0.25">
      <c r="A560" s="91"/>
      <c r="B560" s="80"/>
      <c r="C560" s="80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</row>
    <row r="561" spans="1:16" s="34" customFormat="1" x14ac:dyDescent="0.25">
      <c r="A561" s="91"/>
      <c r="B561" s="80"/>
      <c r="C561" s="80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</row>
    <row r="562" spans="1:16" s="34" customFormat="1" x14ac:dyDescent="0.25">
      <c r="A562" s="91"/>
      <c r="B562" s="80"/>
      <c r="C562" s="80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</row>
    <row r="563" spans="1:16" s="34" customFormat="1" x14ac:dyDescent="0.25">
      <c r="A563" s="91"/>
      <c r="B563" s="80"/>
      <c r="C563" s="80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</row>
    <row r="564" spans="1:16" s="34" customFormat="1" x14ac:dyDescent="0.25">
      <c r="A564" s="91"/>
      <c r="B564" s="80"/>
      <c r="C564" s="80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</row>
    <row r="565" spans="1:16" s="34" customFormat="1" x14ac:dyDescent="0.25">
      <c r="A565" s="91"/>
      <c r="B565" s="80"/>
      <c r="C565" s="80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</row>
    <row r="566" spans="1:16" s="34" customFormat="1" x14ac:dyDescent="0.25">
      <c r="A566" s="91"/>
      <c r="B566" s="80"/>
      <c r="C566" s="80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</row>
    <row r="567" spans="1:16" s="34" customFormat="1" x14ac:dyDescent="0.25">
      <c r="A567" s="91"/>
      <c r="B567" s="80"/>
      <c r="C567" s="80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</row>
    <row r="568" spans="1:16" s="34" customFormat="1" x14ac:dyDescent="0.25">
      <c r="A568" s="91"/>
      <c r="B568" s="80"/>
      <c r="C568" s="80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</row>
    <row r="569" spans="1:16" s="34" customFormat="1" x14ac:dyDescent="0.25">
      <c r="A569" s="91"/>
      <c r="B569" s="80"/>
      <c r="C569" s="80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</row>
    <row r="570" spans="1:16" s="34" customFormat="1" x14ac:dyDescent="0.25">
      <c r="A570" s="91"/>
      <c r="B570" s="80"/>
      <c r="C570" s="80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</row>
    <row r="571" spans="1:16" s="34" customFormat="1" x14ac:dyDescent="0.25">
      <c r="A571" s="91"/>
      <c r="B571" s="80"/>
      <c r="C571" s="80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</row>
    <row r="572" spans="1:16" s="34" customFormat="1" x14ac:dyDescent="0.25">
      <c r="A572" s="91"/>
      <c r="B572" s="80"/>
      <c r="C572" s="80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</row>
    <row r="573" spans="1:16" s="34" customFormat="1" x14ac:dyDescent="0.25">
      <c r="A573" s="91"/>
      <c r="B573" s="80"/>
      <c r="C573" s="80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</row>
    <row r="574" spans="1:16" s="34" customFormat="1" x14ac:dyDescent="0.25">
      <c r="A574" s="91"/>
      <c r="B574" s="80"/>
      <c r="C574" s="80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</row>
    <row r="575" spans="1:16" s="34" customFormat="1" x14ac:dyDescent="0.25">
      <c r="A575" s="91"/>
      <c r="B575" s="80"/>
      <c r="C575" s="80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</row>
    <row r="576" spans="1:16" s="34" customFormat="1" x14ac:dyDescent="0.25">
      <c r="A576" s="91"/>
      <c r="B576" s="80"/>
      <c r="C576" s="80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</row>
    <row r="577" spans="1:16" s="34" customFormat="1" x14ac:dyDescent="0.25">
      <c r="A577" s="91"/>
      <c r="B577" s="80"/>
      <c r="C577" s="80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</row>
    <row r="578" spans="1:16" s="34" customFormat="1" x14ac:dyDescent="0.25">
      <c r="A578" s="91"/>
      <c r="B578" s="80"/>
      <c r="C578" s="80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</row>
    <row r="579" spans="1:16" s="34" customFormat="1" x14ac:dyDescent="0.25">
      <c r="A579" s="91"/>
      <c r="B579" s="80"/>
      <c r="C579" s="80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</row>
    <row r="580" spans="1:16" s="34" customFormat="1" x14ac:dyDescent="0.25">
      <c r="A580" s="91"/>
      <c r="B580" s="80"/>
      <c r="C580" s="80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</row>
    <row r="581" spans="1:16" s="34" customFormat="1" x14ac:dyDescent="0.25">
      <c r="A581" s="91"/>
      <c r="B581" s="80"/>
      <c r="C581" s="80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</row>
    <row r="582" spans="1:16" s="34" customFormat="1" x14ac:dyDescent="0.25">
      <c r="A582" s="91"/>
      <c r="B582" s="80"/>
      <c r="C582" s="80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</row>
    <row r="583" spans="1:16" s="34" customFormat="1" x14ac:dyDescent="0.25">
      <c r="A583" s="91"/>
      <c r="B583" s="80"/>
      <c r="C583" s="80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</row>
    <row r="584" spans="1:16" s="34" customFormat="1" x14ac:dyDescent="0.25">
      <c r="A584" s="91"/>
      <c r="B584" s="80"/>
      <c r="C584" s="80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</row>
    <row r="585" spans="1:16" s="34" customFormat="1" x14ac:dyDescent="0.25">
      <c r="A585" s="91"/>
      <c r="B585" s="80"/>
      <c r="C585" s="80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</row>
    <row r="586" spans="1:16" s="34" customFormat="1" x14ac:dyDescent="0.25">
      <c r="A586" s="91"/>
      <c r="B586" s="80"/>
      <c r="C586" s="80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</row>
    <row r="587" spans="1:16" s="34" customFormat="1" x14ac:dyDescent="0.25">
      <c r="A587" s="91"/>
      <c r="B587" s="80"/>
      <c r="C587" s="80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</row>
    <row r="588" spans="1:16" s="34" customFormat="1" x14ac:dyDescent="0.25">
      <c r="A588" s="91"/>
      <c r="B588" s="80"/>
      <c r="C588" s="80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</row>
    <row r="589" spans="1:16" s="34" customFormat="1" x14ac:dyDescent="0.25">
      <c r="A589" s="91"/>
      <c r="B589" s="80"/>
      <c r="C589" s="80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</row>
    <row r="590" spans="1:16" s="34" customFormat="1" x14ac:dyDescent="0.25">
      <c r="A590" s="91"/>
      <c r="B590" s="80"/>
      <c r="C590" s="80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</row>
    <row r="591" spans="1:16" s="34" customFormat="1" x14ac:dyDescent="0.25">
      <c r="A591" s="91"/>
      <c r="B591" s="80"/>
      <c r="C591" s="80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</row>
    <row r="592" spans="1:16" s="34" customFormat="1" x14ac:dyDescent="0.25">
      <c r="A592" s="91"/>
      <c r="B592" s="80"/>
      <c r="C592" s="80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</row>
    <row r="593" spans="1:16" s="34" customFormat="1" x14ac:dyDescent="0.25">
      <c r="A593" s="91"/>
      <c r="B593" s="80"/>
      <c r="C593" s="80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</row>
    <row r="594" spans="1:16" s="34" customFormat="1" x14ac:dyDescent="0.25">
      <c r="A594" s="91"/>
      <c r="B594" s="80"/>
      <c r="C594" s="80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</row>
    <row r="595" spans="1:16" s="34" customFormat="1" x14ac:dyDescent="0.25">
      <c r="A595" s="91"/>
      <c r="B595" s="80"/>
      <c r="C595" s="80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</row>
    <row r="596" spans="1:16" s="34" customFormat="1" x14ac:dyDescent="0.25">
      <c r="A596" s="91"/>
      <c r="B596" s="80"/>
      <c r="C596" s="80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</row>
    <row r="597" spans="1:16" s="34" customFormat="1" x14ac:dyDescent="0.25">
      <c r="A597" s="91"/>
      <c r="B597" s="80"/>
      <c r="C597" s="80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</row>
    <row r="598" spans="1:16" s="34" customFormat="1" x14ac:dyDescent="0.25">
      <c r="A598" s="91"/>
      <c r="B598" s="80"/>
      <c r="C598" s="80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</row>
    <row r="599" spans="1:16" s="34" customFormat="1" x14ac:dyDescent="0.25">
      <c r="A599" s="91"/>
      <c r="B599" s="80"/>
      <c r="C599" s="80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</row>
    <row r="600" spans="1:16" s="34" customFormat="1" x14ac:dyDescent="0.25">
      <c r="A600" s="91"/>
      <c r="B600" s="80"/>
      <c r="C600" s="80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</row>
    <row r="601" spans="1:16" s="34" customFormat="1" x14ac:dyDescent="0.25">
      <c r="A601" s="91"/>
      <c r="B601" s="80"/>
      <c r="C601" s="80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</row>
    <row r="602" spans="1:16" s="34" customFormat="1" x14ac:dyDescent="0.25">
      <c r="A602" s="91"/>
      <c r="B602" s="80"/>
      <c r="C602" s="80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</row>
    <row r="603" spans="1:16" s="34" customFormat="1" x14ac:dyDescent="0.25">
      <c r="A603" s="91"/>
      <c r="B603" s="80"/>
      <c r="C603" s="80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</row>
    <row r="604" spans="1:16" s="34" customFormat="1" x14ac:dyDescent="0.25">
      <c r="A604" s="91"/>
      <c r="B604" s="80"/>
      <c r="C604" s="80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</row>
    <row r="605" spans="1:16" s="34" customFormat="1" x14ac:dyDescent="0.25">
      <c r="A605" s="91"/>
      <c r="B605" s="80"/>
      <c r="C605" s="80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</row>
    <row r="606" spans="1:16" s="34" customFormat="1" x14ac:dyDescent="0.25">
      <c r="A606" s="91"/>
      <c r="B606" s="80"/>
      <c r="C606" s="80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</row>
    <row r="607" spans="1:16" s="34" customFormat="1" x14ac:dyDescent="0.25">
      <c r="A607" s="91"/>
      <c r="B607" s="80"/>
      <c r="C607" s="80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</row>
    <row r="608" spans="1:16" s="34" customFormat="1" x14ac:dyDescent="0.25">
      <c r="A608" s="91"/>
      <c r="B608" s="80"/>
      <c r="C608" s="80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</row>
    <row r="609" spans="1:16" s="34" customFormat="1" x14ac:dyDescent="0.25">
      <c r="A609" s="91"/>
      <c r="B609" s="80"/>
      <c r="C609" s="80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</row>
    <row r="610" spans="1:16" s="34" customFormat="1" x14ac:dyDescent="0.25">
      <c r="A610" s="91"/>
      <c r="B610" s="80"/>
      <c r="C610" s="80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</row>
    <row r="611" spans="1:16" s="34" customFormat="1" x14ac:dyDescent="0.25">
      <c r="A611" s="91"/>
      <c r="B611" s="80"/>
      <c r="C611" s="80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</row>
    <row r="612" spans="1:16" s="34" customFormat="1" x14ac:dyDescent="0.25">
      <c r="A612" s="91"/>
      <c r="B612" s="80"/>
      <c r="C612" s="80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</row>
    <row r="613" spans="1:16" s="34" customFormat="1" x14ac:dyDescent="0.25">
      <c r="A613" s="91"/>
      <c r="B613" s="80"/>
      <c r="C613" s="80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</row>
    <row r="614" spans="1:16" s="34" customFormat="1" x14ac:dyDescent="0.25">
      <c r="A614" s="91"/>
      <c r="B614" s="80"/>
      <c r="C614" s="80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</row>
    <row r="615" spans="1:16" s="34" customFormat="1" x14ac:dyDescent="0.25">
      <c r="A615" s="91"/>
      <c r="B615" s="80"/>
      <c r="C615" s="80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</row>
    <row r="616" spans="1:16" s="34" customFormat="1" x14ac:dyDescent="0.25">
      <c r="A616" s="91"/>
      <c r="B616" s="80"/>
      <c r="C616" s="80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</row>
    <row r="617" spans="1:16" s="34" customFormat="1" x14ac:dyDescent="0.25">
      <c r="A617" s="91"/>
      <c r="B617" s="80"/>
      <c r="C617" s="80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</row>
    <row r="618" spans="1:16" s="34" customFormat="1" x14ac:dyDescent="0.25">
      <c r="A618" s="91"/>
      <c r="B618" s="80"/>
      <c r="C618" s="80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</row>
    <row r="619" spans="1:16" s="34" customFormat="1" x14ac:dyDescent="0.25">
      <c r="A619" s="91"/>
      <c r="B619" s="80"/>
      <c r="C619" s="80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</row>
    <row r="620" spans="1:16" s="34" customFormat="1" x14ac:dyDescent="0.25">
      <c r="A620" s="91"/>
      <c r="B620" s="80"/>
      <c r="C620" s="80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</row>
    <row r="621" spans="1:16" s="34" customFormat="1" x14ac:dyDescent="0.25">
      <c r="A621" s="91"/>
      <c r="B621" s="80"/>
      <c r="C621" s="80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</row>
    <row r="622" spans="1:16" s="34" customFormat="1" x14ac:dyDescent="0.25">
      <c r="A622" s="91"/>
      <c r="B622" s="80"/>
      <c r="C622" s="80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</row>
    <row r="623" spans="1:16" s="34" customFormat="1" x14ac:dyDescent="0.25">
      <c r="A623" s="91"/>
      <c r="B623" s="80"/>
      <c r="C623" s="80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</row>
    <row r="624" spans="1:16" s="34" customFormat="1" x14ac:dyDescent="0.25">
      <c r="A624" s="91"/>
      <c r="B624" s="80"/>
      <c r="C624" s="80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</row>
    <row r="625" spans="1:16" s="34" customFormat="1" x14ac:dyDescent="0.25">
      <c r="A625" s="91"/>
      <c r="B625" s="80"/>
      <c r="C625" s="80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</row>
    <row r="626" spans="1:16" s="34" customFormat="1" x14ac:dyDescent="0.25">
      <c r="A626" s="91"/>
      <c r="B626" s="80"/>
      <c r="C626" s="80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</row>
    <row r="627" spans="1:16" s="34" customFormat="1" x14ac:dyDescent="0.25">
      <c r="A627" s="91"/>
      <c r="B627" s="80"/>
      <c r="C627" s="80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</row>
    <row r="628" spans="1:16" s="34" customFormat="1" x14ac:dyDescent="0.25">
      <c r="A628" s="91"/>
      <c r="B628" s="80"/>
      <c r="C628" s="80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</row>
    <row r="629" spans="1:16" s="34" customFormat="1" x14ac:dyDescent="0.25">
      <c r="A629" s="91"/>
      <c r="B629" s="80"/>
      <c r="C629" s="80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</row>
    <row r="630" spans="1:16" s="34" customFormat="1" x14ac:dyDescent="0.25">
      <c r="A630" s="91"/>
      <c r="B630" s="80"/>
      <c r="C630" s="80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</row>
    <row r="631" spans="1:16" s="34" customFormat="1" x14ac:dyDescent="0.25">
      <c r="A631" s="91"/>
      <c r="B631" s="80"/>
      <c r="C631" s="80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</row>
    <row r="632" spans="1:16" s="34" customFormat="1" x14ac:dyDescent="0.25">
      <c r="A632" s="91"/>
      <c r="B632" s="80"/>
      <c r="C632" s="80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</row>
    <row r="633" spans="1:16" s="34" customFormat="1" x14ac:dyDescent="0.25">
      <c r="A633" s="91"/>
      <c r="B633" s="80"/>
      <c r="C633" s="80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</row>
    <row r="634" spans="1:16" s="34" customFormat="1" x14ac:dyDescent="0.25">
      <c r="A634" s="91"/>
      <c r="B634" s="80"/>
      <c r="C634" s="80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</row>
    <row r="635" spans="1:16" s="34" customFormat="1" x14ac:dyDescent="0.25">
      <c r="A635" s="91"/>
      <c r="B635" s="80"/>
      <c r="C635" s="80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</row>
    <row r="636" spans="1:16" s="34" customFormat="1" x14ac:dyDescent="0.25">
      <c r="A636" s="91"/>
      <c r="B636" s="80"/>
      <c r="C636" s="80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</row>
    <row r="637" spans="1:16" s="34" customFormat="1" x14ac:dyDescent="0.25">
      <c r="A637" s="91"/>
      <c r="B637" s="80"/>
      <c r="C637" s="80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</row>
    <row r="638" spans="1:16" s="34" customFormat="1" x14ac:dyDescent="0.25">
      <c r="A638" s="91"/>
      <c r="B638" s="80"/>
      <c r="C638" s="80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</row>
    <row r="639" spans="1:16" s="34" customFormat="1" x14ac:dyDescent="0.25">
      <c r="A639" s="91"/>
      <c r="B639" s="80"/>
      <c r="C639" s="80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</row>
    <row r="640" spans="1:16" s="34" customFormat="1" x14ac:dyDescent="0.25">
      <c r="A640" s="91"/>
      <c r="B640" s="80"/>
      <c r="C640" s="80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</row>
    <row r="641" spans="1:16" s="34" customFormat="1" x14ac:dyDescent="0.25">
      <c r="A641" s="91"/>
      <c r="B641" s="80"/>
      <c r="C641" s="80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</row>
    <row r="642" spans="1:16" s="34" customFormat="1" x14ac:dyDescent="0.25">
      <c r="A642" s="91"/>
      <c r="B642" s="80"/>
      <c r="C642" s="80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</row>
    <row r="643" spans="1:16" s="34" customFormat="1" x14ac:dyDescent="0.25">
      <c r="A643" s="91"/>
      <c r="B643" s="80"/>
      <c r="C643" s="80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</row>
    <row r="644" spans="1:16" s="34" customFormat="1" x14ac:dyDescent="0.25">
      <c r="A644" s="91"/>
      <c r="B644" s="80"/>
      <c r="C644" s="80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</row>
    <row r="645" spans="1:16" s="34" customFormat="1" x14ac:dyDescent="0.25">
      <c r="A645" s="91"/>
      <c r="B645" s="80"/>
      <c r="C645" s="80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</row>
    <row r="646" spans="1:16" s="34" customFormat="1" x14ac:dyDescent="0.25">
      <c r="A646" s="91"/>
      <c r="B646" s="80"/>
      <c r="C646" s="80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</row>
    <row r="647" spans="1:16" s="34" customFormat="1" x14ac:dyDescent="0.25">
      <c r="A647" s="91"/>
      <c r="B647" s="80"/>
      <c r="C647" s="80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</row>
    <row r="648" spans="1:16" s="34" customFormat="1" x14ac:dyDescent="0.25">
      <c r="A648" s="91"/>
      <c r="B648" s="80"/>
      <c r="C648" s="80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</row>
    <row r="649" spans="1:16" s="34" customFormat="1" x14ac:dyDescent="0.25">
      <c r="A649" s="91"/>
      <c r="B649" s="80"/>
      <c r="C649" s="80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</row>
    <row r="650" spans="1:16" s="34" customFormat="1" x14ac:dyDescent="0.25">
      <c r="A650" s="91"/>
      <c r="B650" s="80"/>
      <c r="C650" s="80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</row>
    <row r="651" spans="1:16" s="34" customFormat="1" x14ac:dyDescent="0.25">
      <c r="A651" s="91"/>
      <c r="B651" s="80"/>
      <c r="C651" s="80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</row>
    <row r="652" spans="1:16" s="34" customFormat="1" x14ac:dyDescent="0.25">
      <c r="A652" s="91"/>
      <c r="B652" s="80"/>
      <c r="C652" s="80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</row>
    <row r="653" spans="1:16" s="34" customFormat="1" x14ac:dyDescent="0.25">
      <c r="A653" s="91"/>
      <c r="B653" s="80"/>
      <c r="C653" s="80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</row>
    <row r="654" spans="1:16" s="34" customFormat="1" x14ac:dyDescent="0.25">
      <c r="A654" s="91"/>
      <c r="B654" s="80"/>
      <c r="C654" s="80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</row>
    <row r="655" spans="1:16" s="34" customFormat="1" x14ac:dyDescent="0.25">
      <c r="A655" s="91"/>
      <c r="B655" s="80"/>
      <c r="C655" s="80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</row>
    <row r="656" spans="1:16" s="34" customFormat="1" x14ac:dyDescent="0.25">
      <c r="A656" s="91"/>
      <c r="B656" s="80"/>
      <c r="C656" s="80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</row>
    <row r="657" spans="1:16" s="34" customFormat="1" x14ac:dyDescent="0.25">
      <c r="A657" s="91"/>
      <c r="B657" s="80"/>
      <c r="C657" s="80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</row>
    <row r="658" spans="1:16" s="34" customFormat="1" x14ac:dyDescent="0.25">
      <c r="A658" s="91"/>
      <c r="B658" s="80"/>
      <c r="C658" s="80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</row>
    <row r="659" spans="1:16" s="34" customFormat="1" x14ac:dyDescent="0.25">
      <c r="A659" s="91"/>
      <c r="B659" s="80"/>
      <c r="C659" s="80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</row>
    <row r="660" spans="1:16" s="34" customFormat="1" x14ac:dyDescent="0.25">
      <c r="A660" s="91"/>
      <c r="B660" s="80"/>
      <c r="C660" s="80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</row>
    <row r="661" spans="1:16" s="34" customFormat="1" x14ac:dyDescent="0.25">
      <c r="A661" s="91"/>
      <c r="B661" s="80"/>
      <c r="C661" s="80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</row>
    <row r="662" spans="1:16" s="34" customFormat="1" x14ac:dyDescent="0.25">
      <c r="A662" s="91"/>
      <c r="B662" s="80"/>
      <c r="C662" s="80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</row>
    <row r="663" spans="1:16" s="34" customFormat="1" x14ac:dyDescent="0.25">
      <c r="A663" s="91"/>
      <c r="B663" s="80"/>
      <c r="C663" s="80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</row>
    <row r="664" spans="1:16" s="34" customFormat="1" x14ac:dyDescent="0.25">
      <c r="A664" s="91"/>
      <c r="B664" s="80"/>
      <c r="C664" s="80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</row>
    <row r="665" spans="1:16" s="34" customFormat="1" x14ac:dyDescent="0.25">
      <c r="A665" s="91"/>
      <c r="B665" s="80"/>
      <c r="C665" s="80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</row>
    <row r="666" spans="1:16" s="34" customFormat="1" x14ac:dyDescent="0.25">
      <c r="A666" s="91"/>
      <c r="B666" s="80"/>
      <c r="C666" s="80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</row>
    <row r="667" spans="1:16" s="34" customFormat="1" x14ac:dyDescent="0.25">
      <c r="A667" s="91"/>
      <c r="B667" s="80"/>
      <c r="C667" s="80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</row>
    <row r="668" spans="1:16" s="34" customFormat="1" x14ac:dyDescent="0.25">
      <c r="A668" s="91"/>
      <c r="B668" s="80"/>
      <c r="C668" s="80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</row>
    <row r="669" spans="1:16" s="34" customFormat="1" x14ac:dyDescent="0.25">
      <c r="A669" s="91"/>
      <c r="B669" s="80"/>
      <c r="C669" s="80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</row>
    <row r="670" spans="1:16" s="34" customFormat="1" x14ac:dyDescent="0.25">
      <c r="A670" s="91"/>
      <c r="B670" s="80"/>
      <c r="C670" s="80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</row>
    <row r="671" spans="1:16" s="34" customFormat="1" x14ac:dyDescent="0.25">
      <c r="A671" s="91"/>
      <c r="B671" s="80"/>
      <c r="C671" s="80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</row>
    <row r="672" spans="1:16" s="34" customFormat="1" x14ac:dyDescent="0.25">
      <c r="A672" s="91"/>
      <c r="B672" s="80"/>
      <c r="C672" s="80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</row>
    <row r="673" spans="1:16" s="34" customFormat="1" x14ac:dyDescent="0.25">
      <c r="A673" s="91"/>
      <c r="B673" s="80"/>
      <c r="C673" s="80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</row>
    <row r="674" spans="1:16" s="34" customFormat="1" x14ac:dyDescent="0.25">
      <c r="A674" s="91"/>
      <c r="B674" s="80"/>
      <c r="C674" s="80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</row>
    <row r="675" spans="1:16" s="34" customFormat="1" x14ac:dyDescent="0.25">
      <c r="A675" s="91"/>
      <c r="B675" s="80"/>
      <c r="C675" s="80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</row>
    <row r="676" spans="1:16" s="34" customFormat="1" x14ac:dyDescent="0.25">
      <c r="A676" s="91"/>
      <c r="B676" s="80"/>
      <c r="C676" s="80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</row>
    <row r="677" spans="1:16" s="34" customFormat="1" x14ac:dyDescent="0.25">
      <c r="A677" s="91"/>
      <c r="B677" s="80"/>
      <c r="C677" s="80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</row>
    <row r="678" spans="1:16" s="34" customFormat="1" x14ac:dyDescent="0.25">
      <c r="A678" s="91"/>
      <c r="B678" s="80"/>
      <c r="C678" s="80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</row>
    <row r="679" spans="1:16" s="34" customFormat="1" x14ac:dyDescent="0.25">
      <c r="A679" s="91"/>
      <c r="B679" s="80"/>
      <c r="C679" s="80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</row>
    <row r="680" spans="1:16" s="34" customFormat="1" x14ac:dyDescent="0.25">
      <c r="A680" s="91"/>
      <c r="B680" s="80"/>
      <c r="C680" s="80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</row>
    <row r="681" spans="1:16" s="34" customFormat="1" x14ac:dyDescent="0.25">
      <c r="A681" s="91"/>
      <c r="B681" s="80"/>
      <c r="C681" s="80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</row>
    <row r="682" spans="1:16" s="34" customFormat="1" x14ac:dyDescent="0.25">
      <c r="A682" s="91"/>
      <c r="B682" s="80"/>
      <c r="C682" s="80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</row>
    <row r="683" spans="1:16" s="34" customFormat="1" x14ac:dyDescent="0.25">
      <c r="A683" s="91"/>
      <c r="B683" s="80"/>
      <c r="C683" s="80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</row>
    <row r="684" spans="1:16" s="34" customFormat="1" x14ac:dyDescent="0.25">
      <c r="A684" s="91"/>
      <c r="B684" s="80"/>
      <c r="C684" s="80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</row>
    <row r="685" spans="1:16" s="34" customFormat="1" x14ac:dyDescent="0.25">
      <c r="A685" s="91"/>
      <c r="B685" s="80"/>
      <c r="C685" s="80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</row>
    <row r="686" spans="1:16" s="34" customFormat="1" x14ac:dyDescent="0.25">
      <c r="A686" s="91"/>
      <c r="B686" s="80"/>
      <c r="C686" s="80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</row>
    <row r="687" spans="1:16" s="34" customFormat="1" x14ac:dyDescent="0.25">
      <c r="A687" s="91"/>
      <c r="B687" s="80"/>
      <c r="C687" s="80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</row>
    <row r="688" spans="1:16" s="34" customFormat="1" x14ac:dyDescent="0.25">
      <c r="A688" s="91"/>
      <c r="B688" s="80"/>
      <c r="C688" s="80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</row>
    <row r="689" spans="1:16" s="34" customFormat="1" x14ac:dyDescent="0.25">
      <c r="A689" s="91"/>
      <c r="B689" s="80"/>
      <c r="C689" s="80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</row>
    <row r="690" spans="1:16" s="34" customFormat="1" x14ac:dyDescent="0.25">
      <c r="A690" s="91"/>
      <c r="B690" s="80"/>
      <c r="C690" s="80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</row>
    <row r="691" spans="1:16" s="34" customFormat="1" x14ac:dyDescent="0.25">
      <c r="A691" s="91"/>
      <c r="B691" s="80"/>
      <c r="C691" s="80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</row>
    <row r="692" spans="1:16" s="34" customFormat="1" x14ac:dyDescent="0.25">
      <c r="A692" s="91"/>
      <c r="B692" s="80"/>
      <c r="C692" s="80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</row>
    <row r="693" spans="1:16" s="34" customFormat="1" x14ac:dyDescent="0.25">
      <c r="A693" s="91"/>
      <c r="B693" s="80"/>
      <c r="C693" s="80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</row>
    <row r="694" spans="1:16" s="34" customFormat="1" x14ac:dyDescent="0.25">
      <c r="A694" s="91"/>
      <c r="B694" s="80"/>
      <c r="C694" s="80"/>
      <c r="D694" s="4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60"/>
    </row>
    <row r="695" spans="1:16" s="34" customFormat="1" x14ac:dyDescent="0.25">
      <c r="A695" s="91"/>
      <c r="B695" s="80"/>
      <c r="C695" s="80"/>
      <c r="D695" s="4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60"/>
    </row>
    <row r="696" spans="1:16" s="34" customFormat="1" x14ac:dyDescent="0.25">
      <c r="A696" s="91"/>
      <c r="B696" s="80"/>
      <c r="C696" s="80"/>
      <c r="D696" s="4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60"/>
    </row>
    <row r="697" spans="1:16" s="34" customFormat="1" x14ac:dyDescent="0.25">
      <c r="A697" s="91"/>
      <c r="B697" s="80"/>
      <c r="C697" s="80"/>
      <c r="D697" s="4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60"/>
    </row>
    <row r="698" spans="1:16" s="34" customFormat="1" x14ac:dyDescent="0.25">
      <c r="A698" s="91"/>
      <c r="B698" s="80"/>
      <c r="C698" s="80"/>
      <c r="D698" s="4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60"/>
    </row>
    <row r="699" spans="1:16" s="34" customFormat="1" x14ac:dyDescent="0.25">
      <c r="A699" s="91"/>
      <c r="B699" s="80"/>
      <c r="C699" s="80"/>
      <c r="D699" s="4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60"/>
    </row>
    <row r="700" spans="1:16" s="34" customFormat="1" x14ac:dyDescent="0.25">
      <c r="A700" s="91"/>
      <c r="B700" s="80"/>
      <c r="C700" s="80"/>
      <c r="D700" s="41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60"/>
    </row>
    <row r="701" spans="1:16" s="34" customFormat="1" x14ac:dyDescent="0.25">
      <c r="A701" s="91"/>
      <c r="B701" s="80"/>
      <c r="C701" s="80"/>
      <c r="D701" s="41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60"/>
    </row>
    <row r="702" spans="1:16" s="34" customFormat="1" x14ac:dyDescent="0.25">
      <c r="A702" s="91"/>
      <c r="B702" s="80"/>
      <c r="C702" s="80"/>
      <c r="D702" s="41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60"/>
    </row>
    <row r="703" spans="1:16" s="34" customFormat="1" x14ac:dyDescent="0.25">
      <c r="A703" s="91"/>
      <c r="B703" s="80"/>
      <c r="C703" s="80"/>
      <c r="D703" s="41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60"/>
    </row>
    <row r="704" spans="1:16" s="34" customFormat="1" x14ac:dyDescent="0.25">
      <c r="A704" s="91"/>
      <c r="B704" s="80"/>
      <c r="C704" s="80"/>
      <c r="D704" s="41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60"/>
    </row>
    <row r="705" spans="1:16" s="34" customFormat="1" x14ac:dyDescent="0.25">
      <c r="A705" s="91"/>
      <c r="B705" s="80"/>
      <c r="C705" s="80"/>
      <c r="D705" s="41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60"/>
    </row>
    <row r="706" spans="1:16" s="34" customFormat="1" x14ac:dyDescent="0.25">
      <c r="A706" s="91"/>
      <c r="B706" s="80"/>
      <c r="C706" s="80"/>
      <c r="D706" s="41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60"/>
    </row>
  </sheetData>
  <mergeCells count="21">
    <mergeCell ref="J16:J17"/>
    <mergeCell ref="K16:K17"/>
    <mergeCell ref="E16:E17"/>
    <mergeCell ref="F16:F17"/>
    <mergeCell ref="E15:I15"/>
    <mergeCell ref="L1:O1"/>
    <mergeCell ref="L4:P4"/>
    <mergeCell ref="L3:P3"/>
    <mergeCell ref="N212:P212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4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showGridLines="0" showZeros="0" view="pageBreakPreview" topLeftCell="C139" zoomScale="59" zoomScaleNormal="65" zoomScaleSheetLayoutView="59" workbookViewId="0">
      <selection activeCell="E112" sqref="E112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2.5" style="4" customWidth="1"/>
    <col min="15" max="15" width="22" style="4" customWidth="1"/>
    <col min="16" max="16384" width="9.1640625" style="4"/>
  </cols>
  <sheetData>
    <row r="1" spans="1:16" ht="31.5" x14ac:dyDescent="0.25">
      <c r="J1" s="132"/>
      <c r="K1" s="151" t="s">
        <v>472</v>
      </c>
      <c r="L1" s="151"/>
      <c r="M1" s="151"/>
      <c r="N1" s="151"/>
      <c r="O1" s="123"/>
    </row>
    <row r="2" spans="1:16" ht="31.5" x14ac:dyDescent="0.25">
      <c r="J2" s="132"/>
      <c r="K2" s="123" t="s">
        <v>453</v>
      </c>
      <c r="L2" s="123"/>
      <c r="M2" s="123"/>
      <c r="N2" s="123"/>
      <c r="O2" s="94"/>
      <c r="P2" s="34"/>
    </row>
    <row r="3" spans="1:16" ht="31.5" x14ac:dyDescent="0.25">
      <c r="J3" s="132"/>
      <c r="K3" s="153" t="s">
        <v>454</v>
      </c>
      <c r="L3" s="153"/>
      <c r="M3" s="153"/>
      <c r="N3" s="153"/>
      <c r="O3" s="153"/>
      <c r="P3" s="34"/>
    </row>
    <row r="4" spans="1:16" ht="31.5" x14ac:dyDescent="0.25">
      <c r="J4" s="132"/>
      <c r="K4" s="152" t="s">
        <v>455</v>
      </c>
      <c r="L4" s="152"/>
      <c r="M4" s="152"/>
      <c r="N4" s="152"/>
      <c r="O4" s="152"/>
      <c r="P4" s="34"/>
    </row>
    <row r="5" spans="1:16" ht="31.5" x14ac:dyDescent="0.25">
      <c r="J5" s="132"/>
      <c r="K5" s="123" t="s">
        <v>456</v>
      </c>
      <c r="L5" s="123"/>
      <c r="M5" s="123"/>
      <c r="N5" s="123"/>
      <c r="O5" s="123"/>
      <c r="P5" s="34"/>
    </row>
    <row r="6" spans="1:16" ht="31.5" x14ac:dyDescent="0.25">
      <c r="J6" s="132"/>
      <c r="K6" s="123" t="s">
        <v>462</v>
      </c>
      <c r="L6" s="123"/>
      <c r="M6" s="123"/>
      <c r="N6" s="123"/>
      <c r="O6" s="123"/>
      <c r="P6" s="34"/>
    </row>
    <row r="7" spans="1:16" ht="31.5" x14ac:dyDescent="0.25">
      <c r="J7" s="132"/>
      <c r="K7" s="123" t="s">
        <v>470</v>
      </c>
      <c r="L7" s="123"/>
      <c r="M7" s="123"/>
      <c r="N7" s="123"/>
      <c r="O7" s="123"/>
      <c r="P7" s="34"/>
    </row>
    <row r="8" spans="1:16" ht="31.5" x14ac:dyDescent="0.25">
      <c r="J8" s="132"/>
      <c r="K8" s="149" t="s">
        <v>461</v>
      </c>
      <c r="L8" s="149"/>
      <c r="M8" s="149"/>
      <c r="N8" s="149"/>
      <c r="O8" s="149"/>
      <c r="P8" s="34"/>
    </row>
    <row r="9" spans="1:16" ht="26.25" customHeight="1" x14ac:dyDescent="0.4">
      <c r="J9" s="135"/>
      <c r="K9" s="113" t="s">
        <v>473</v>
      </c>
      <c r="L9" s="113"/>
      <c r="M9" s="113"/>
      <c r="N9" s="113"/>
      <c r="O9" s="113"/>
      <c r="P9" s="116"/>
    </row>
    <row r="10" spans="1:16" ht="26.25" customHeight="1" x14ac:dyDescent="0.25">
      <c r="J10" s="124"/>
      <c r="K10" s="124"/>
      <c r="L10" s="124"/>
      <c r="M10" s="124"/>
      <c r="N10" s="124"/>
      <c r="O10" s="124"/>
      <c r="P10" s="124"/>
    </row>
    <row r="11" spans="1:16" ht="29.25" customHeight="1" x14ac:dyDescent="0.4">
      <c r="J11" s="123"/>
      <c r="K11" s="113"/>
      <c r="L11" s="113"/>
      <c r="M11" s="113"/>
      <c r="N11" s="113"/>
      <c r="O11" s="114"/>
      <c r="P11" s="34"/>
    </row>
    <row r="12" spans="1:16" ht="65.25" customHeight="1" x14ac:dyDescent="0.25">
      <c r="A12" s="158" t="s">
        <v>436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6" ht="31.5" customHeight="1" x14ac:dyDescent="0.25">
      <c r="A13" s="160" t="s">
        <v>424</v>
      </c>
      <c r="B13" s="160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6" ht="21" customHeight="1" x14ac:dyDescent="0.25">
      <c r="A14" s="161" t="s">
        <v>445</v>
      </c>
      <c r="B14" s="16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6" s="17" customFormat="1" ht="24" customHeight="1" x14ac:dyDescent="0.3">
      <c r="A15" s="14"/>
      <c r="B15" s="15"/>
      <c r="C15" s="16"/>
      <c r="O15" s="122" t="s">
        <v>420</v>
      </c>
    </row>
    <row r="16" spans="1:16" s="82" customFormat="1" ht="21.75" customHeight="1" x14ac:dyDescent="0.25">
      <c r="A16" s="159" t="s">
        <v>398</v>
      </c>
      <c r="B16" s="159" t="s">
        <v>384</v>
      </c>
      <c r="C16" s="159" t="s">
        <v>400</v>
      </c>
      <c r="D16" s="155" t="s">
        <v>265</v>
      </c>
      <c r="E16" s="155"/>
      <c r="F16" s="155"/>
      <c r="G16" s="155"/>
      <c r="H16" s="155"/>
      <c r="I16" s="155" t="s">
        <v>266</v>
      </c>
      <c r="J16" s="155"/>
      <c r="K16" s="155"/>
      <c r="L16" s="155"/>
      <c r="M16" s="155"/>
      <c r="N16" s="155"/>
      <c r="O16" s="155" t="s">
        <v>267</v>
      </c>
    </row>
    <row r="17" spans="1:15" s="82" customFormat="1" ht="29.25" customHeight="1" x14ac:dyDescent="0.25">
      <c r="A17" s="159"/>
      <c r="B17" s="159"/>
      <c r="C17" s="159"/>
      <c r="D17" s="155" t="s">
        <v>385</v>
      </c>
      <c r="E17" s="155" t="s">
        <v>268</v>
      </c>
      <c r="F17" s="155"/>
      <c r="G17" s="155"/>
      <c r="H17" s="155" t="s">
        <v>270</v>
      </c>
      <c r="I17" s="155" t="s">
        <v>385</v>
      </c>
      <c r="J17" s="155" t="s">
        <v>386</v>
      </c>
      <c r="K17" s="155" t="s">
        <v>268</v>
      </c>
      <c r="L17" s="155" t="s">
        <v>269</v>
      </c>
      <c r="M17" s="155"/>
      <c r="N17" s="155" t="s">
        <v>270</v>
      </c>
      <c r="O17" s="155"/>
    </row>
    <row r="18" spans="1:15" s="82" customFormat="1" ht="75.75" customHeight="1" x14ac:dyDescent="0.25">
      <c r="A18" s="159"/>
      <c r="B18" s="159"/>
      <c r="C18" s="159"/>
      <c r="D18" s="155"/>
      <c r="E18" s="155"/>
      <c r="F18" s="79" t="s">
        <v>271</v>
      </c>
      <c r="G18" s="79" t="s">
        <v>272</v>
      </c>
      <c r="H18" s="155"/>
      <c r="I18" s="155"/>
      <c r="J18" s="155"/>
      <c r="K18" s="155"/>
      <c r="L18" s="79" t="s">
        <v>271</v>
      </c>
      <c r="M18" s="79" t="s">
        <v>272</v>
      </c>
      <c r="N18" s="155"/>
      <c r="O18" s="155"/>
    </row>
    <row r="19" spans="1:15" s="82" customFormat="1" ht="27.75" customHeight="1" x14ac:dyDescent="0.25">
      <c r="A19" s="7" t="s">
        <v>57</v>
      </c>
      <c r="B19" s="8"/>
      <c r="C19" s="9" t="s">
        <v>58</v>
      </c>
      <c r="D19" s="61">
        <f t="shared" ref="D19:O19" si="0">D20+D21</f>
        <v>237179000</v>
      </c>
      <c r="E19" s="61">
        <f t="shared" si="0"/>
        <v>237179000</v>
      </c>
      <c r="F19" s="61">
        <f t="shared" si="0"/>
        <v>179411600</v>
      </c>
      <c r="G19" s="61">
        <f t="shared" si="0"/>
        <v>4717900</v>
      </c>
      <c r="H19" s="61">
        <f t="shared" si="0"/>
        <v>0</v>
      </c>
      <c r="I19" s="61">
        <f t="shared" si="0"/>
        <v>4615200</v>
      </c>
      <c r="J19" s="61">
        <f t="shared" si="0"/>
        <v>1415200</v>
      </c>
      <c r="K19" s="61">
        <f t="shared" si="0"/>
        <v>3200000</v>
      </c>
      <c r="L19" s="61">
        <f t="shared" si="0"/>
        <v>2348000</v>
      </c>
      <c r="M19" s="61">
        <f t="shared" si="0"/>
        <v>90600</v>
      </c>
      <c r="N19" s="61">
        <f t="shared" si="0"/>
        <v>1415200</v>
      </c>
      <c r="O19" s="61">
        <f t="shared" si="0"/>
        <v>241794200</v>
      </c>
    </row>
    <row r="20" spans="1:15" ht="57.75" customHeight="1" x14ac:dyDescent="0.25">
      <c r="A20" s="46" t="s">
        <v>140</v>
      </c>
      <c r="B20" s="46" t="s">
        <v>60</v>
      </c>
      <c r="C20" s="6" t="s">
        <v>141</v>
      </c>
      <c r="D20" s="62">
        <f>'дод 3'!E20+'дод 3'!E55+'дод 3'!E82+'дод 3'!E100+'дод 3'!E122+'дод 3'!E127+'дод 3'!E138+'дод 3'!E165+'дод 3'!E168+'дод 3'!E182+'дод 3'!E187+'дод 3'!E190+'дод 3'!E198</f>
        <v>236869000</v>
      </c>
      <c r="E20" s="62">
        <f>'дод 3'!F20+'дод 3'!F55+'дод 3'!F82+'дод 3'!F100+'дод 3'!F122+'дод 3'!F127+'дод 3'!F138+'дод 3'!F165+'дод 3'!F168+'дод 3'!F182+'дод 3'!F187+'дод 3'!F190+'дод 3'!F198</f>
        <v>236869000</v>
      </c>
      <c r="F20" s="62">
        <f>'дод 3'!G20+'дод 3'!G55+'дод 3'!G82+'дод 3'!G100+'дод 3'!G122+'дод 3'!G127+'дод 3'!G138+'дод 3'!G165+'дод 3'!G168+'дод 3'!G182+'дод 3'!G187+'дод 3'!G190+'дод 3'!G198</f>
        <v>179411600</v>
      </c>
      <c r="G20" s="62">
        <f>'дод 3'!H20+'дод 3'!H55+'дод 3'!H82+'дод 3'!H100+'дод 3'!H122+'дод 3'!H127+'дод 3'!H138+'дод 3'!H165+'дод 3'!H168+'дод 3'!H182+'дод 3'!H187+'дод 3'!H190+'дод 3'!H198</f>
        <v>4717900</v>
      </c>
      <c r="H20" s="62">
        <f>'дод 3'!I20+'дод 3'!I55+'дод 3'!I82+'дод 3'!I100+'дод 3'!I122+'дод 3'!I127+'дод 3'!I138+'дод 3'!I165+'дод 3'!I168+'дод 3'!I182+'дод 3'!I187+'дод 3'!I190+'дод 3'!I198</f>
        <v>0</v>
      </c>
      <c r="I20" s="62">
        <f>'дод 3'!J20+'дод 3'!J55+'дод 3'!J82+'дод 3'!J100+'дод 3'!J122+'дод 3'!J127+'дод 3'!J138+'дод 3'!J165+'дод 3'!J168+'дод 3'!J182+'дод 3'!J187+'дод 3'!J190+'дод 3'!J198</f>
        <v>4615200</v>
      </c>
      <c r="J20" s="62">
        <f>'дод 3'!K20+'дод 3'!K55+'дод 3'!K82+'дод 3'!K100+'дод 3'!K122+'дод 3'!K127+'дод 3'!K138+'дод 3'!K165+'дод 3'!K168+'дод 3'!K182+'дод 3'!K187+'дод 3'!K190+'дод 3'!K198</f>
        <v>1415200</v>
      </c>
      <c r="K20" s="62">
        <f>'дод 3'!L20+'дод 3'!L55+'дод 3'!L82+'дод 3'!L100+'дод 3'!L122+'дод 3'!L127+'дод 3'!L138+'дод 3'!L165+'дод 3'!L168+'дод 3'!L182+'дод 3'!L187+'дод 3'!L190+'дод 3'!L198</f>
        <v>3200000</v>
      </c>
      <c r="L20" s="62">
        <f>'дод 3'!M20+'дод 3'!M55+'дод 3'!M82+'дод 3'!M100+'дод 3'!M122+'дод 3'!M127+'дод 3'!M138+'дод 3'!M165+'дод 3'!M168+'дод 3'!M182+'дод 3'!M187+'дод 3'!M190+'дод 3'!M198</f>
        <v>2348000</v>
      </c>
      <c r="M20" s="62">
        <f>'дод 3'!N20+'дод 3'!N55+'дод 3'!N82+'дод 3'!N100+'дод 3'!N122+'дод 3'!N127+'дод 3'!N138+'дод 3'!N165+'дод 3'!N168+'дод 3'!N182+'дод 3'!N187+'дод 3'!N190+'дод 3'!N198</f>
        <v>90600</v>
      </c>
      <c r="N20" s="62">
        <f>'дод 3'!O20+'дод 3'!O55+'дод 3'!O82+'дод 3'!O100+'дод 3'!O122+'дод 3'!O127+'дод 3'!O138+'дод 3'!O165+'дод 3'!O168+'дод 3'!O182+'дод 3'!O187+'дод 3'!O190+'дод 3'!O198</f>
        <v>1415200</v>
      </c>
      <c r="O20" s="62">
        <f>'дод 3'!P20+'дод 3'!P55+'дод 3'!P82+'дод 3'!P100+'дод 3'!P122+'дод 3'!P127+'дод 3'!P138+'дод 3'!P165+'дод 3'!P168+'дод 3'!P182+'дод 3'!P187+'дод 3'!P190+'дод 3'!P198</f>
        <v>241484200</v>
      </c>
    </row>
    <row r="21" spans="1:15" ht="27" customHeight="1" x14ac:dyDescent="0.25">
      <c r="A21" s="46" t="s">
        <v>59</v>
      </c>
      <c r="B21" s="46" t="s">
        <v>113</v>
      </c>
      <c r="C21" s="6" t="s">
        <v>284</v>
      </c>
      <c r="D21" s="62">
        <f>'дод 3'!E21</f>
        <v>310000</v>
      </c>
      <c r="E21" s="62">
        <f>'дод 3'!F21</f>
        <v>310000</v>
      </c>
      <c r="F21" s="62">
        <f>'дод 3'!G21</f>
        <v>0</v>
      </c>
      <c r="G21" s="62">
        <f>'дод 3'!H21</f>
        <v>0</v>
      </c>
      <c r="H21" s="62">
        <f>'дод 3'!I21</f>
        <v>0</v>
      </c>
      <c r="I21" s="62">
        <f>'дод 3'!J21</f>
        <v>0</v>
      </c>
      <c r="J21" s="62">
        <f>'дод 3'!K21</f>
        <v>0</v>
      </c>
      <c r="K21" s="62">
        <f>'дод 3'!L21</f>
        <v>0</v>
      </c>
      <c r="L21" s="62">
        <f>'дод 3'!M21</f>
        <v>0</v>
      </c>
      <c r="M21" s="62">
        <f>'дод 3'!N21</f>
        <v>0</v>
      </c>
      <c r="N21" s="62">
        <f>'дод 3'!O21</f>
        <v>0</v>
      </c>
      <c r="O21" s="62">
        <f>'дод 3'!P21</f>
        <v>310000</v>
      </c>
    </row>
    <row r="22" spans="1:15" s="82" customFormat="1" ht="24" customHeight="1" x14ac:dyDescent="0.25">
      <c r="A22" s="47" t="s">
        <v>61</v>
      </c>
      <c r="B22" s="48"/>
      <c r="C22" s="9" t="s">
        <v>62</v>
      </c>
      <c r="D22" s="61">
        <f>D24+D26+D28+D30+D31+D32+D34+D35+D36+D37</f>
        <v>990641784</v>
      </c>
      <c r="E22" s="61">
        <f t="shared" ref="E22:O22" si="1">E24+E26+E28+E30+E31+E32+E34+E35+E36+E37</f>
        <v>990641784</v>
      </c>
      <c r="F22" s="61">
        <f t="shared" si="1"/>
        <v>674606927</v>
      </c>
      <c r="G22" s="61">
        <f t="shared" si="1"/>
        <v>81762131</v>
      </c>
      <c r="H22" s="61">
        <f t="shared" si="1"/>
        <v>0</v>
      </c>
      <c r="I22" s="61">
        <f t="shared" si="1"/>
        <v>88382586.640000001</v>
      </c>
      <c r="J22" s="61">
        <f t="shared" si="1"/>
        <v>32286438.640000001</v>
      </c>
      <c r="K22" s="61">
        <f t="shared" si="1"/>
        <v>55986428</v>
      </c>
      <c r="L22" s="61">
        <f t="shared" si="1"/>
        <v>6476192</v>
      </c>
      <c r="M22" s="61">
        <f t="shared" si="1"/>
        <v>3124191</v>
      </c>
      <c r="N22" s="61">
        <f t="shared" si="1"/>
        <v>32396158.640000001</v>
      </c>
      <c r="O22" s="61">
        <f t="shared" si="1"/>
        <v>1079024370.6399999</v>
      </c>
    </row>
    <row r="23" spans="1:15" s="83" customFormat="1" ht="24" customHeight="1" x14ac:dyDescent="0.25">
      <c r="A23" s="47"/>
      <c r="B23" s="48"/>
      <c r="C23" s="2" t="s">
        <v>308</v>
      </c>
      <c r="D23" s="61">
        <f>+D27+D29+D33+D25+D38</f>
        <v>382256478</v>
      </c>
      <c r="E23" s="61">
        <f t="shared" ref="E23:O23" si="2">+E27+E29+E33+E25+E38</f>
        <v>382256478</v>
      </c>
      <c r="F23" s="61">
        <f t="shared" si="2"/>
        <v>307191100</v>
      </c>
      <c r="G23" s="61">
        <f t="shared" si="2"/>
        <v>0</v>
      </c>
      <c r="H23" s="61">
        <f t="shared" si="2"/>
        <v>0</v>
      </c>
      <c r="I23" s="61">
        <f t="shared" si="2"/>
        <v>1486539</v>
      </c>
      <c r="J23" s="61">
        <f t="shared" si="2"/>
        <v>1486539</v>
      </c>
      <c r="K23" s="61">
        <f t="shared" si="2"/>
        <v>0</v>
      </c>
      <c r="L23" s="61">
        <f t="shared" si="2"/>
        <v>0</v>
      </c>
      <c r="M23" s="61">
        <f t="shared" si="2"/>
        <v>0</v>
      </c>
      <c r="N23" s="61">
        <f t="shared" si="2"/>
        <v>1486539</v>
      </c>
      <c r="O23" s="61">
        <f t="shared" si="2"/>
        <v>383743017</v>
      </c>
    </row>
    <row r="24" spans="1:15" ht="27" customHeight="1" x14ac:dyDescent="0.25">
      <c r="A24" s="46" t="s">
        <v>63</v>
      </c>
      <c r="B24" s="46" t="s">
        <v>64</v>
      </c>
      <c r="C24" s="6" t="s">
        <v>171</v>
      </c>
      <c r="D24" s="62">
        <f>'дод 3'!E56</f>
        <v>243244632</v>
      </c>
      <c r="E24" s="62">
        <f>'дод 3'!F56</f>
        <v>243244632</v>
      </c>
      <c r="F24" s="62">
        <f>'дод 3'!G56</f>
        <v>159483510</v>
      </c>
      <c r="G24" s="62">
        <f>'дод 3'!H56</f>
        <v>26923940</v>
      </c>
      <c r="H24" s="62">
        <f>'дод 3'!I56</f>
        <v>0</v>
      </c>
      <c r="I24" s="62">
        <f>'дод 3'!J56</f>
        <v>22916603</v>
      </c>
      <c r="J24" s="62">
        <f>'дод 3'!K56</f>
        <v>6590947</v>
      </c>
      <c r="K24" s="62">
        <f>'дод 3'!L56</f>
        <v>16325656</v>
      </c>
      <c r="L24" s="62">
        <f>'дод 3'!M56</f>
        <v>0</v>
      </c>
      <c r="M24" s="62">
        <f>'дод 3'!N56</f>
        <v>0</v>
      </c>
      <c r="N24" s="62">
        <f>'дод 3'!O56</f>
        <v>6590947</v>
      </c>
      <c r="O24" s="62">
        <f>'дод 3'!P56</f>
        <v>266161235</v>
      </c>
    </row>
    <row r="25" spans="1:15" ht="27" customHeight="1" x14ac:dyDescent="0.25">
      <c r="A25" s="46"/>
      <c r="B25" s="46"/>
      <c r="C25" s="3" t="s">
        <v>308</v>
      </c>
      <c r="D25" s="62">
        <f>'дод 3'!E57</f>
        <v>162879</v>
      </c>
      <c r="E25" s="62">
        <f>'дод 3'!F57</f>
        <v>162879</v>
      </c>
      <c r="F25" s="62">
        <f>'дод 3'!G57</f>
        <v>133510</v>
      </c>
      <c r="G25" s="62">
        <f>'дод 3'!H57</f>
        <v>0</v>
      </c>
      <c r="H25" s="62">
        <f>'дод 3'!I57</f>
        <v>0</v>
      </c>
      <c r="I25" s="62">
        <f>'дод 3'!J57</f>
        <v>80600</v>
      </c>
      <c r="J25" s="62">
        <f>'дод 3'!K57</f>
        <v>80600</v>
      </c>
      <c r="K25" s="62">
        <f>'дод 3'!L57</f>
        <v>0</v>
      </c>
      <c r="L25" s="62">
        <f>'дод 3'!M57</f>
        <v>0</v>
      </c>
      <c r="M25" s="62">
        <f>'дод 3'!N57</f>
        <v>0</v>
      </c>
      <c r="N25" s="62">
        <f>'дод 3'!O57</f>
        <v>80600</v>
      </c>
      <c r="O25" s="62">
        <f>'дод 3'!P57</f>
        <v>243479</v>
      </c>
    </row>
    <row r="26" spans="1:15" ht="55.5" customHeight="1" x14ac:dyDescent="0.25">
      <c r="A26" s="46" t="s">
        <v>65</v>
      </c>
      <c r="B26" s="46" t="s">
        <v>66</v>
      </c>
      <c r="C26" s="6" t="s">
        <v>429</v>
      </c>
      <c r="D26" s="62">
        <f>'дод 3'!E58</f>
        <v>539963903</v>
      </c>
      <c r="E26" s="62">
        <f>'дод 3'!F58</f>
        <v>539963903</v>
      </c>
      <c r="F26" s="62">
        <f>'дод 3'!G58</f>
        <v>378056547</v>
      </c>
      <c r="G26" s="62">
        <f>'дод 3'!H58</f>
        <v>38154564</v>
      </c>
      <c r="H26" s="62">
        <f>'дод 3'!I58</f>
        <v>0</v>
      </c>
      <c r="I26" s="62">
        <f>'дод 3'!J58</f>
        <v>53104835.640000001</v>
      </c>
      <c r="J26" s="62">
        <f>'дод 3'!K58</f>
        <v>24193088.640000001</v>
      </c>
      <c r="K26" s="62">
        <f>'дод 3'!L58</f>
        <v>28911747</v>
      </c>
      <c r="L26" s="62">
        <f>'дод 3'!M58</f>
        <v>1713303</v>
      </c>
      <c r="M26" s="62">
        <f>'дод 3'!N58</f>
        <v>147329</v>
      </c>
      <c r="N26" s="62">
        <f>'дод 3'!O58</f>
        <v>24193088.640000001</v>
      </c>
      <c r="O26" s="62">
        <f>'дод 3'!P58</f>
        <v>593068738.63999999</v>
      </c>
    </row>
    <row r="27" spans="1:15" ht="28.5" customHeight="1" x14ac:dyDescent="0.25">
      <c r="A27" s="46"/>
      <c r="B27" s="46"/>
      <c r="C27" s="3" t="s">
        <v>308</v>
      </c>
      <c r="D27" s="62">
        <f>'дод 3'!E59</f>
        <v>356792090</v>
      </c>
      <c r="E27" s="62">
        <f>'дод 3'!F59</f>
        <v>356792090</v>
      </c>
      <c r="F27" s="62">
        <f>'дод 3'!G59</f>
        <v>286331520</v>
      </c>
      <c r="G27" s="62">
        <f>'дод 3'!H59</f>
        <v>0</v>
      </c>
      <c r="H27" s="62">
        <f>'дод 3'!I59</f>
        <v>0</v>
      </c>
      <c r="I27" s="62">
        <f>'дод 3'!J59</f>
        <v>1384710</v>
      </c>
      <c r="J27" s="62">
        <f>'дод 3'!K59</f>
        <v>1384710</v>
      </c>
      <c r="K27" s="62">
        <f>'дод 3'!L59</f>
        <v>0</v>
      </c>
      <c r="L27" s="62">
        <f>'дод 3'!M59</f>
        <v>0</v>
      </c>
      <c r="M27" s="62">
        <f>'дод 3'!N59</f>
        <v>0</v>
      </c>
      <c r="N27" s="62">
        <f>'дод 3'!O59</f>
        <v>1384710</v>
      </c>
      <c r="O27" s="62">
        <f>'дод 3'!P59</f>
        <v>358176800</v>
      </c>
    </row>
    <row r="28" spans="1:15" ht="75" customHeight="1" x14ac:dyDescent="0.25">
      <c r="A28" s="46">
        <v>1030</v>
      </c>
      <c r="B28" s="46" t="s">
        <v>70</v>
      </c>
      <c r="C28" s="6" t="s">
        <v>430</v>
      </c>
      <c r="D28" s="62">
        <f>'дод 3'!E60</f>
        <v>9444719</v>
      </c>
      <c r="E28" s="62">
        <f>'дод 3'!F60</f>
        <v>9444719</v>
      </c>
      <c r="F28" s="62">
        <f>'дод 3'!G60</f>
        <v>6532300</v>
      </c>
      <c r="G28" s="62">
        <f>'дод 3'!H60</f>
        <v>709270</v>
      </c>
      <c r="H28" s="62">
        <f>'дод 3'!I60</f>
        <v>0</v>
      </c>
      <c r="I28" s="62">
        <f>'дод 3'!J60</f>
        <v>213403</v>
      </c>
      <c r="J28" s="62">
        <f>'дод 3'!K60</f>
        <v>213403</v>
      </c>
      <c r="K28" s="62">
        <f>'дод 3'!L60</f>
        <v>0</v>
      </c>
      <c r="L28" s="62">
        <f>'дод 3'!M60</f>
        <v>0</v>
      </c>
      <c r="M28" s="62">
        <f>'дод 3'!N60</f>
        <v>0</v>
      </c>
      <c r="N28" s="62">
        <f>'дод 3'!O60</f>
        <v>213403</v>
      </c>
      <c r="O28" s="62">
        <f>'дод 3'!P60</f>
        <v>9658122</v>
      </c>
    </row>
    <row r="29" spans="1:15" ht="21.75" customHeight="1" x14ac:dyDescent="0.25">
      <c r="A29" s="46"/>
      <c r="B29" s="46"/>
      <c r="C29" s="3" t="s">
        <v>308</v>
      </c>
      <c r="D29" s="62">
        <f>'дод 3'!E61</f>
        <v>6240139</v>
      </c>
      <c r="E29" s="62">
        <f>'дод 3'!F61</f>
        <v>6240139</v>
      </c>
      <c r="F29" s="62">
        <f>'дод 3'!G61</f>
        <v>5102000</v>
      </c>
      <c r="G29" s="62">
        <f>'дод 3'!H61</f>
        <v>0</v>
      </c>
      <c r="H29" s="62">
        <f>'дод 3'!I61</f>
        <v>0</v>
      </c>
      <c r="I29" s="62">
        <f>'дод 3'!J61</f>
        <v>21229</v>
      </c>
      <c r="J29" s="62">
        <f>'дод 3'!K61</f>
        <v>21229</v>
      </c>
      <c r="K29" s="62">
        <f>'дод 3'!L61</f>
        <v>0</v>
      </c>
      <c r="L29" s="62">
        <f>'дод 3'!M61</f>
        <v>0</v>
      </c>
      <c r="M29" s="62">
        <f>'дод 3'!N61</f>
        <v>0</v>
      </c>
      <c r="N29" s="62">
        <f>'дод 3'!O61</f>
        <v>21229</v>
      </c>
      <c r="O29" s="62">
        <f>'дод 3'!P61</f>
        <v>6261368</v>
      </c>
    </row>
    <row r="30" spans="1:15" ht="40.5" customHeight="1" x14ac:dyDescent="0.25">
      <c r="A30" s="46" t="s">
        <v>71</v>
      </c>
      <c r="B30" s="46" t="s">
        <v>72</v>
      </c>
      <c r="C30" s="6" t="s">
        <v>432</v>
      </c>
      <c r="D30" s="62">
        <f>'дод 3'!E62</f>
        <v>28048440</v>
      </c>
      <c r="E30" s="62">
        <f>'дод 3'!F62</f>
        <v>28048440</v>
      </c>
      <c r="F30" s="62">
        <f>'дод 3'!G62</f>
        <v>19715700</v>
      </c>
      <c r="G30" s="62">
        <f>'дод 3'!H62</f>
        <v>3358190</v>
      </c>
      <c r="H30" s="62">
        <f>'дод 3'!I62</f>
        <v>0</v>
      </c>
      <c r="I30" s="62">
        <f>'дод 3'!J62</f>
        <v>300000</v>
      </c>
      <c r="J30" s="62">
        <f>'дод 3'!K62</f>
        <v>300000</v>
      </c>
      <c r="K30" s="62">
        <f>'дод 3'!L62</f>
        <v>0</v>
      </c>
      <c r="L30" s="62">
        <f>'дод 3'!M62</f>
        <v>0</v>
      </c>
      <c r="M30" s="62">
        <f>'дод 3'!N62</f>
        <v>0</v>
      </c>
      <c r="N30" s="62">
        <f>'дод 3'!O62</f>
        <v>300000</v>
      </c>
      <c r="O30" s="62">
        <f>'дод 3'!P62</f>
        <v>28348440</v>
      </c>
    </row>
    <row r="31" spans="1:15" ht="30.75" customHeight="1" x14ac:dyDescent="0.25">
      <c r="A31" s="46" t="s">
        <v>73</v>
      </c>
      <c r="B31" s="46" t="s">
        <v>72</v>
      </c>
      <c r="C31" s="6" t="s">
        <v>433</v>
      </c>
      <c r="D31" s="62">
        <f>'дод 3'!E128</f>
        <v>39114600</v>
      </c>
      <c r="E31" s="62">
        <f>'дод 3'!F128</f>
        <v>39114600</v>
      </c>
      <c r="F31" s="62">
        <f>'дод 3'!G128</f>
        <v>30830000</v>
      </c>
      <c r="G31" s="62">
        <f>'дод 3'!H128</f>
        <v>793600</v>
      </c>
      <c r="H31" s="62">
        <f>'дод 3'!I128</f>
        <v>0</v>
      </c>
      <c r="I31" s="62">
        <f>'дод 3'!J128</f>
        <v>3336640</v>
      </c>
      <c r="J31" s="62">
        <f>'дод 3'!K128</f>
        <v>557000</v>
      </c>
      <c r="K31" s="62">
        <f>'дод 3'!L128</f>
        <v>2774920</v>
      </c>
      <c r="L31" s="62">
        <f>'дод 3'!M128</f>
        <v>2267316</v>
      </c>
      <c r="M31" s="62">
        <f>'дод 3'!N128</f>
        <v>0</v>
      </c>
      <c r="N31" s="62">
        <f>'дод 3'!O128</f>
        <v>561720</v>
      </c>
      <c r="O31" s="62">
        <f>'дод 3'!P128</f>
        <v>42451240</v>
      </c>
    </row>
    <row r="32" spans="1:15" ht="39.75" customHeight="1" x14ac:dyDescent="0.25">
      <c r="A32" s="46" t="s">
        <v>261</v>
      </c>
      <c r="B32" s="46" t="s">
        <v>74</v>
      </c>
      <c r="C32" s="6" t="s">
        <v>434</v>
      </c>
      <c r="D32" s="62">
        <f>'дод 3'!E63</f>
        <v>116807900</v>
      </c>
      <c r="E32" s="62">
        <f>'дод 3'!F63</f>
        <v>116807900</v>
      </c>
      <c r="F32" s="62">
        <f>'дод 3'!G63</f>
        <v>69744500</v>
      </c>
      <c r="G32" s="62">
        <f>'дод 3'!H63</f>
        <v>11007217</v>
      </c>
      <c r="H32" s="62">
        <f>'дод 3'!I63</f>
        <v>0</v>
      </c>
      <c r="I32" s="62">
        <f>'дод 3'!J63</f>
        <v>8079105</v>
      </c>
      <c r="J32" s="62">
        <f>'дод 3'!K63</f>
        <v>0</v>
      </c>
      <c r="K32" s="62">
        <f>'дод 3'!L63</f>
        <v>7974105</v>
      </c>
      <c r="L32" s="62">
        <f>'дод 3'!M63</f>
        <v>2495573</v>
      </c>
      <c r="M32" s="62">
        <f>'дод 3'!N63</f>
        <v>2976862</v>
      </c>
      <c r="N32" s="62">
        <f>'дод 3'!O63</f>
        <v>105000</v>
      </c>
      <c r="O32" s="62">
        <f>'дод 3'!P63</f>
        <v>124887005</v>
      </c>
    </row>
    <row r="33" spans="1:15" ht="21" customHeight="1" x14ac:dyDescent="0.25">
      <c r="A33" s="46"/>
      <c r="B33" s="46"/>
      <c r="C33" s="3" t="s">
        <v>308</v>
      </c>
      <c r="D33" s="62">
        <f>'дод 3'!E64</f>
        <v>17825000</v>
      </c>
      <c r="E33" s="62">
        <f>'дод 3'!F64</f>
        <v>17825000</v>
      </c>
      <c r="F33" s="62">
        <f>'дод 3'!G64</f>
        <v>14610650</v>
      </c>
      <c r="G33" s="62">
        <f>'дод 3'!H64</f>
        <v>0</v>
      </c>
      <c r="H33" s="62">
        <f>'дод 3'!I64</f>
        <v>0</v>
      </c>
      <c r="I33" s="62">
        <f>'дод 3'!J64</f>
        <v>0</v>
      </c>
      <c r="J33" s="62">
        <f>'дод 3'!K64</f>
        <v>0</v>
      </c>
      <c r="K33" s="62">
        <f>'дод 3'!L64</f>
        <v>0</v>
      </c>
      <c r="L33" s="62">
        <f>'дод 3'!M64</f>
        <v>0</v>
      </c>
      <c r="M33" s="62">
        <f>'дод 3'!N64</f>
        <v>0</v>
      </c>
      <c r="N33" s="62">
        <f>'дод 3'!O64</f>
        <v>0</v>
      </c>
      <c r="O33" s="62">
        <f>'дод 3'!P64</f>
        <v>17825000</v>
      </c>
    </row>
    <row r="34" spans="1:15" ht="33" customHeight="1" x14ac:dyDescent="0.25">
      <c r="A34" s="46" t="s">
        <v>142</v>
      </c>
      <c r="B34" s="46" t="s">
        <v>75</v>
      </c>
      <c r="C34" s="6" t="s">
        <v>435</v>
      </c>
      <c r="D34" s="62">
        <f>'дод 3'!E65</f>
        <v>2893730</v>
      </c>
      <c r="E34" s="62">
        <f>'дод 3'!F65</f>
        <v>2893730</v>
      </c>
      <c r="F34" s="62">
        <f>'дод 3'!G65</f>
        <v>2237500</v>
      </c>
      <c r="G34" s="62">
        <f>'дод 3'!H65</f>
        <v>120380</v>
      </c>
      <c r="H34" s="62">
        <f>'дод 3'!I65</f>
        <v>0</v>
      </c>
      <c r="I34" s="62">
        <f>'дод 3'!J65</f>
        <v>0</v>
      </c>
      <c r="J34" s="62">
        <f>'дод 3'!K65</f>
        <v>0</v>
      </c>
      <c r="K34" s="62">
        <f>'дод 3'!L65</f>
        <v>0</v>
      </c>
      <c r="L34" s="62">
        <f>'дод 3'!M65</f>
        <v>0</v>
      </c>
      <c r="M34" s="62">
        <f>'дод 3'!N65</f>
        <v>0</v>
      </c>
      <c r="N34" s="62">
        <f>'дод 3'!O65</f>
        <v>0</v>
      </c>
      <c r="O34" s="62">
        <f>'дод 3'!P65</f>
        <v>2893730</v>
      </c>
    </row>
    <row r="35" spans="1:15" ht="36" customHeight="1" x14ac:dyDescent="0.25">
      <c r="A35" s="46" t="s">
        <v>327</v>
      </c>
      <c r="B35" s="46" t="s">
        <v>75</v>
      </c>
      <c r="C35" s="6" t="s">
        <v>329</v>
      </c>
      <c r="D35" s="62">
        <f>'дод 3'!E66</f>
        <v>9388520</v>
      </c>
      <c r="E35" s="62">
        <f>'дод 3'!F66</f>
        <v>9388520</v>
      </c>
      <c r="F35" s="62">
        <f>'дод 3'!G66</f>
        <v>6782550</v>
      </c>
      <c r="G35" s="62">
        <f>'дод 3'!H66</f>
        <v>613500</v>
      </c>
      <c r="H35" s="62">
        <f>'дод 3'!I66</f>
        <v>0</v>
      </c>
      <c r="I35" s="62">
        <f>'дод 3'!J66</f>
        <v>432000</v>
      </c>
      <c r="J35" s="62">
        <f>'дод 3'!K66</f>
        <v>432000</v>
      </c>
      <c r="K35" s="62">
        <f>'дод 3'!L66</f>
        <v>0</v>
      </c>
      <c r="L35" s="62">
        <f>'дод 3'!M66</f>
        <v>0</v>
      </c>
      <c r="M35" s="62">
        <f>'дод 3'!N66</f>
        <v>0</v>
      </c>
      <c r="N35" s="62">
        <f>'дод 3'!O66</f>
        <v>432000</v>
      </c>
      <c r="O35" s="62">
        <f>'дод 3'!P66</f>
        <v>9820520</v>
      </c>
    </row>
    <row r="36" spans="1:15" ht="25.5" customHeight="1" x14ac:dyDescent="0.25">
      <c r="A36" s="46" t="s">
        <v>328</v>
      </c>
      <c r="B36" s="46" t="s">
        <v>75</v>
      </c>
      <c r="C36" s="6" t="s">
        <v>330</v>
      </c>
      <c r="D36" s="62">
        <f>'дод 3'!E67</f>
        <v>107400</v>
      </c>
      <c r="E36" s="62">
        <f>'дод 3'!F67</f>
        <v>107400</v>
      </c>
      <c r="F36" s="62">
        <f>'дод 3'!G67</f>
        <v>0</v>
      </c>
      <c r="G36" s="62">
        <f>'дод 3'!H67</f>
        <v>0</v>
      </c>
      <c r="H36" s="62">
        <f>'дод 3'!I67</f>
        <v>0</v>
      </c>
      <c r="I36" s="62">
        <f>'дод 3'!J67</f>
        <v>0</v>
      </c>
      <c r="J36" s="62">
        <f>'дод 3'!K67</f>
        <v>0</v>
      </c>
      <c r="K36" s="62">
        <f>'дод 3'!L67</f>
        <v>0</v>
      </c>
      <c r="L36" s="62">
        <f>'дод 3'!M67</f>
        <v>0</v>
      </c>
      <c r="M36" s="62">
        <f>'дод 3'!N67</f>
        <v>0</v>
      </c>
      <c r="N36" s="62">
        <f>'дод 3'!O67</f>
        <v>0</v>
      </c>
      <c r="O36" s="62">
        <f>'дод 3'!P67</f>
        <v>107400</v>
      </c>
    </row>
    <row r="37" spans="1:15" ht="25.5" customHeight="1" x14ac:dyDescent="0.25">
      <c r="A37" s="46" t="s">
        <v>391</v>
      </c>
      <c r="B37" s="46" t="s">
        <v>75</v>
      </c>
      <c r="C37" s="42" t="s">
        <v>390</v>
      </c>
      <c r="D37" s="62">
        <f>SUM('дод 3'!E68)</f>
        <v>1627940</v>
      </c>
      <c r="E37" s="62">
        <f>SUM('дод 3'!F68)</f>
        <v>1627940</v>
      </c>
      <c r="F37" s="62">
        <f>SUM('дод 3'!G68)</f>
        <v>1224320</v>
      </c>
      <c r="G37" s="62">
        <f>SUM('дод 3'!H68)</f>
        <v>81470</v>
      </c>
      <c r="H37" s="62">
        <f>SUM('дод 3'!I68)</f>
        <v>0</v>
      </c>
      <c r="I37" s="62">
        <f>SUM('дод 3'!J68)</f>
        <v>0</v>
      </c>
      <c r="J37" s="62">
        <f>SUM('дод 3'!K68)</f>
        <v>0</v>
      </c>
      <c r="K37" s="62">
        <f>SUM('дод 3'!L68)</f>
        <v>0</v>
      </c>
      <c r="L37" s="62">
        <f>SUM('дод 3'!M68)</f>
        <v>0</v>
      </c>
      <c r="M37" s="62">
        <f>SUM('дод 3'!N68)</f>
        <v>0</v>
      </c>
      <c r="N37" s="62">
        <f>SUM('дод 3'!O68)</f>
        <v>0</v>
      </c>
      <c r="O37" s="62">
        <f>SUM('дод 3'!P68)</f>
        <v>1627940</v>
      </c>
    </row>
    <row r="38" spans="1:15" ht="15.75" customHeight="1" x14ac:dyDescent="0.25">
      <c r="A38" s="46"/>
      <c r="B38" s="46"/>
      <c r="C38" s="3" t="s">
        <v>308</v>
      </c>
      <c r="D38" s="62">
        <f>'дод 3'!E69</f>
        <v>1236370</v>
      </c>
      <c r="E38" s="62">
        <f>'дод 3'!F69</f>
        <v>1236370</v>
      </c>
      <c r="F38" s="62">
        <f>'дод 3'!G69</f>
        <v>1013420</v>
      </c>
      <c r="G38" s="62">
        <f>'дод 3'!H69</f>
        <v>0</v>
      </c>
      <c r="H38" s="62">
        <f>'дод 3'!I69</f>
        <v>0</v>
      </c>
      <c r="I38" s="62">
        <f>'дод 3'!J69</f>
        <v>0</v>
      </c>
      <c r="J38" s="62">
        <f>'дод 3'!K69</f>
        <v>0</v>
      </c>
      <c r="K38" s="62">
        <f>'дод 3'!L69</f>
        <v>0</v>
      </c>
      <c r="L38" s="62">
        <f>'дод 3'!M69</f>
        <v>0</v>
      </c>
      <c r="M38" s="62">
        <f>'дод 3'!N69</f>
        <v>0</v>
      </c>
      <c r="N38" s="62">
        <f>'дод 3'!O69</f>
        <v>0</v>
      </c>
      <c r="O38" s="62">
        <f>'дод 3'!P69</f>
        <v>1236370</v>
      </c>
    </row>
    <row r="39" spans="1:15" s="82" customFormat="1" ht="19.5" customHeight="1" x14ac:dyDescent="0.25">
      <c r="A39" s="47" t="s">
        <v>76</v>
      </c>
      <c r="B39" s="48"/>
      <c r="C39" s="9" t="s">
        <v>77</v>
      </c>
      <c r="D39" s="61">
        <f>D41+D43+D45+D47+D49+D51+D52</f>
        <v>228980248</v>
      </c>
      <c r="E39" s="61">
        <f t="shared" ref="E39:O39" si="3">E41+E43+E45+E47+E49+E51+E52</f>
        <v>228980248</v>
      </c>
      <c r="F39" s="61">
        <f t="shared" si="3"/>
        <v>0</v>
      </c>
      <c r="G39" s="61">
        <f t="shared" si="3"/>
        <v>0</v>
      </c>
      <c r="H39" s="61">
        <f t="shared" si="3"/>
        <v>0</v>
      </c>
      <c r="I39" s="61">
        <f t="shared" si="3"/>
        <v>78966100</v>
      </c>
      <c r="J39" s="61">
        <f t="shared" si="3"/>
        <v>78966100</v>
      </c>
      <c r="K39" s="61">
        <f t="shared" si="3"/>
        <v>0</v>
      </c>
      <c r="L39" s="61">
        <f t="shared" si="3"/>
        <v>0</v>
      </c>
      <c r="M39" s="61">
        <f t="shared" si="3"/>
        <v>0</v>
      </c>
      <c r="N39" s="61">
        <f t="shared" si="3"/>
        <v>78966100</v>
      </c>
      <c r="O39" s="61">
        <f t="shared" si="3"/>
        <v>307946348</v>
      </c>
    </row>
    <row r="40" spans="1:15" s="82" customFormat="1" ht="23.25" customHeight="1" x14ac:dyDescent="0.25">
      <c r="A40" s="47"/>
      <c r="B40" s="48"/>
      <c r="C40" s="2" t="s">
        <v>308</v>
      </c>
      <c r="D40" s="61">
        <f>D42+D44+D46+D48+D50</f>
        <v>61502848</v>
      </c>
      <c r="E40" s="61">
        <f t="shared" ref="E40:O40" si="4">E42+E44+E46+E48+E50</f>
        <v>61502848</v>
      </c>
      <c r="F40" s="61">
        <f t="shared" si="4"/>
        <v>0</v>
      </c>
      <c r="G40" s="61">
        <f t="shared" si="4"/>
        <v>0</v>
      </c>
      <c r="H40" s="61">
        <f t="shared" si="4"/>
        <v>0</v>
      </c>
      <c r="I40" s="61">
        <f t="shared" si="4"/>
        <v>0</v>
      </c>
      <c r="J40" s="61">
        <f t="shared" si="4"/>
        <v>0</v>
      </c>
      <c r="K40" s="61">
        <f t="shared" si="4"/>
        <v>0</v>
      </c>
      <c r="L40" s="61">
        <f t="shared" si="4"/>
        <v>0</v>
      </c>
      <c r="M40" s="61">
        <f t="shared" si="4"/>
        <v>0</v>
      </c>
      <c r="N40" s="61">
        <f t="shared" si="4"/>
        <v>0</v>
      </c>
      <c r="O40" s="61">
        <f t="shared" si="4"/>
        <v>61502848</v>
      </c>
    </row>
    <row r="41" spans="1:15" ht="31.5" x14ac:dyDescent="0.25">
      <c r="A41" s="46" t="s">
        <v>78</v>
      </c>
      <c r="B41" s="46" t="s">
        <v>79</v>
      </c>
      <c r="C41" s="6" t="s">
        <v>38</v>
      </c>
      <c r="D41" s="62">
        <f>'дод 3'!E83</f>
        <v>120917491</v>
      </c>
      <c r="E41" s="62">
        <f>'дод 3'!F83</f>
        <v>120917491</v>
      </c>
      <c r="F41" s="62">
        <f>'дод 3'!G83</f>
        <v>0</v>
      </c>
      <c r="G41" s="62">
        <f>'дод 3'!H83</f>
        <v>0</v>
      </c>
      <c r="H41" s="62">
        <f>'дод 3'!I83</f>
        <v>0</v>
      </c>
      <c r="I41" s="62">
        <f>'дод 3'!J83</f>
        <v>46795500</v>
      </c>
      <c r="J41" s="62">
        <f>'дод 3'!K83</f>
        <v>46795500</v>
      </c>
      <c r="K41" s="62">
        <f>'дод 3'!L83</f>
        <v>0</v>
      </c>
      <c r="L41" s="62">
        <f>'дод 3'!M83</f>
        <v>0</v>
      </c>
      <c r="M41" s="62">
        <f>'дод 3'!N83</f>
        <v>0</v>
      </c>
      <c r="N41" s="62">
        <f>'дод 3'!O83</f>
        <v>46795500</v>
      </c>
      <c r="O41" s="62">
        <f>'дод 3'!P83</f>
        <v>167712991</v>
      </c>
    </row>
    <row r="42" spans="1:15" ht="15.75" customHeight="1" x14ac:dyDescent="0.25">
      <c r="A42" s="46"/>
      <c r="B42" s="46"/>
      <c r="C42" s="3" t="s">
        <v>308</v>
      </c>
      <c r="D42" s="62">
        <f>'дод 3'!E84</f>
        <v>48187871</v>
      </c>
      <c r="E42" s="62">
        <f>'дод 3'!F84</f>
        <v>48187871</v>
      </c>
      <c r="F42" s="62">
        <f>'дод 3'!G84</f>
        <v>0</v>
      </c>
      <c r="G42" s="62">
        <f>'дод 3'!H84</f>
        <v>0</v>
      </c>
      <c r="H42" s="62">
        <f>'дод 3'!I84</f>
        <v>0</v>
      </c>
      <c r="I42" s="62">
        <f>'дод 3'!J84</f>
        <v>0</v>
      </c>
      <c r="J42" s="62">
        <f>'дод 3'!K84</f>
        <v>0</v>
      </c>
      <c r="K42" s="62">
        <f>'дод 3'!L84</f>
        <v>0</v>
      </c>
      <c r="L42" s="62">
        <f>'дод 3'!M84</f>
        <v>0</v>
      </c>
      <c r="M42" s="62">
        <f>'дод 3'!N84</f>
        <v>0</v>
      </c>
      <c r="N42" s="62">
        <f>'дод 3'!O84</f>
        <v>0</v>
      </c>
      <c r="O42" s="62">
        <f>'дод 3'!P84</f>
        <v>48187871</v>
      </c>
    </row>
    <row r="43" spans="1:15" ht="42.75" customHeight="1" x14ac:dyDescent="0.25">
      <c r="A43" s="46" t="s">
        <v>143</v>
      </c>
      <c r="B43" s="46" t="s">
        <v>80</v>
      </c>
      <c r="C43" s="6" t="s">
        <v>144</v>
      </c>
      <c r="D43" s="62">
        <f>'дод 3'!E85</f>
        <v>15420473</v>
      </c>
      <c r="E43" s="62">
        <f>'дод 3'!F85</f>
        <v>15420473</v>
      </c>
      <c r="F43" s="62">
        <f>'дод 3'!G85</f>
        <v>0</v>
      </c>
      <c r="G43" s="62">
        <f>'дод 3'!H85</f>
        <v>0</v>
      </c>
      <c r="H43" s="62">
        <f>'дод 3'!I85</f>
        <v>0</v>
      </c>
      <c r="I43" s="62">
        <f>'дод 3'!J85</f>
        <v>15040600</v>
      </c>
      <c r="J43" s="62">
        <f>'дод 3'!K85</f>
        <v>15040600</v>
      </c>
      <c r="K43" s="62">
        <f>'дод 3'!L85</f>
        <v>0</v>
      </c>
      <c r="L43" s="62">
        <f>'дод 3'!M85</f>
        <v>0</v>
      </c>
      <c r="M43" s="62">
        <f>'дод 3'!N85</f>
        <v>0</v>
      </c>
      <c r="N43" s="62">
        <f>'дод 3'!O85</f>
        <v>15040600</v>
      </c>
      <c r="O43" s="62">
        <f>'дод 3'!P85</f>
        <v>30461073</v>
      </c>
    </row>
    <row r="44" spans="1:15" ht="24" customHeight="1" x14ac:dyDescent="0.25">
      <c r="A44" s="46"/>
      <c r="B44" s="46"/>
      <c r="C44" s="3" t="s">
        <v>308</v>
      </c>
      <c r="D44" s="62">
        <f>'дод 3'!E86</f>
        <v>6347600</v>
      </c>
      <c r="E44" s="62">
        <f>'дод 3'!F86</f>
        <v>6347600</v>
      </c>
      <c r="F44" s="62">
        <f>'дод 3'!G86</f>
        <v>0</v>
      </c>
      <c r="G44" s="62">
        <f>'дод 3'!H86</f>
        <v>0</v>
      </c>
      <c r="H44" s="62">
        <f>'дод 3'!I86</f>
        <v>0</v>
      </c>
      <c r="I44" s="62">
        <f>'дод 3'!J86</f>
        <v>0</v>
      </c>
      <c r="J44" s="62">
        <f>'дод 3'!K86</f>
        <v>0</v>
      </c>
      <c r="K44" s="62">
        <f>'дод 3'!L86</f>
        <v>0</v>
      </c>
      <c r="L44" s="62">
        <f>'дод 3'!M86</f>
        <v>0</v>
      </c>
      <c r="M44" s="62">
        <f>'дод 3'!N86</f>
        <v>0</v>
      </c>
      <c r="N44" s="62">
        <f>'дод 3'!O86</f>
        <v>0</v>
      </c>
      <c r="O44" s="62">
        <f>'дод 3'!P86</f>
        <v>6347600</v>
      </c>
    </row>
    <row r="45" spans="1:15" ht="25.5" customHeight="1" x14ac:dyDescent="0.25">
      <c r="A45" s="46" t="s">
        <v>145</v>
      </c>
      <c r="B45" s="46" t="s">
        <v>81</v>
      </c>
      <c r="C45" s="6" t="s">
        <v>146</v>
      </c>
      <c r="D45" s="62">
        <f>'дод 3'!E87</f>
        <v>6663426</v>
      </c>
      <c r="E45" s="62">
        <f>'дод 3'!F87</f>
        <v>6663426</v>
      </c>
      <c r="F45" s="62">
        <f>'дод 3'!G87</f>
        <v>0</v>
      </c>
      <c r="G45" s="62">
        <f>'дод 3'!H87</f>
        <v>0</v>
      </c>
      <c r="H45" s="62">
        <f>'дод 3'!I87</f>
        <v>0</v>
      </c>
      <c r="I45" s="62">
        <f>'дод 3'!J87</f>
        <v>1130000</v>
      </c>
      <c r="J45" s="62">
        <f>'дод 3'!K87</f>
        <v>1130000</v>
      </c>
      <c r="K45" s="62">
        <f>'дод 3'!L87</f>
        <v>0</v>
      </c>
      <c r="L45" s="62">
        <f>'дод 3'!M87</f>
        <v>0</v>
      </c>
      <c r="M45" s="62">
        <f>'дод 3'!N87</f>
        <v>0</v>
      </c>
      <c r="N45" s="62">
        <f>'дод 3'!O87</f>
        <v>1130000</v>
      </c>
      <c r="O45" s="62">
        <f>'дод 3'!P87</f>
        <v>7793426</v>
      </c>
    </row>
    <row r="46" spans="1:15" ht="25.5" customHeight="1" x14ac:dyDescent="0.25">
      <c r="A46" s="46"/>
      <c r="B46" s="46"/>
      <c r="C46" s="3" t="s">
        <v>308</v>
      </c>
      <c r="D46" s="62">
        <f>'дод 3'!E88</f>
        <v>1132200</v>
      </c>
      <c r="E46" s="62">
        <f>'дод 3'!F88</f>
        <v>1132200</v>
      </c>
      <c r="F46" s="62">
        <f>'дод 3'!G88</f>
        <v>0</v>
      </c>
      <c r="G46" s="62">
        <f>'дод 3'!H88</f>
        <v>0</v>
      </c>
      <c r="H46" s="62">
        <f>'дод 3'!I88</f>
        <v>0</v>
      </c>
      <c r="I46" s="62">
        <f>'дод 3'!J88</f>
        <v>0</v>
      </c>
      <c r="J46" s="62">
        <f>'дод 3'!K88</f>
        <v>0</v>
      </c>
      <c r="K46" s="62">
        <f>'дод 3'!L88</f>
        <v>0</v>
      </c>
      <c r="L46" s="62">
        <f>'дод 3'!M88</f>
        <v>0</v>
      </c>
      <c r="M46" s="62">
        <f>'дод 3'!N88</f>
        <v>0</v>
      </c>
      <c r="N46" s="62">
        <f>'дод 3'!O88</f>
        <v>0</v>
      </c>
      <c r="O46" s="62">
        <f>'дод 3'!P88</f>
        <v>1132200</v>
      </c>
    </row>
    <row r="47" spans="1:15" ht="54" customHeight="1" x14ac:dyDescent="0.25">
      <c r="A47" s="46" t="s">
        <v>147</v>
      </c>
      <c r="B47" s="46" t="s">
        <v>365</v>
      </c>
      <c r="C47" s="6" t="s">
        <v>148</v>
      </c>
      <c r="D47" s="62">
        <f>'дод 3'!E89</f>
        <v>1984936</v>
      </c>
      <c r="E47" s="62">
        <f>'дод 3'!F89</f>
        <v>1984936</v>
      </c>
      <c r="F47" s="62">
        <f>'дод 3'!G89</f>
        <v>0</v>
      </c>
      <c r="G47" s="62">
        <f>'дод 3'!H89</f>
        <v>0</v>
      </c>
      <c r="H47" s="62">
        <f>'дод 3'!I89</f>
        <v>0</v>
      </c>
      <c r="I47" s="62">
        <f>'дод 3'!J89</f>
        <v>0</v>
      </c>
      <c r="J47" s="62">
        <f>'дод 3'!K89</f>
        <v>0</v>
      </c>
      <c r="K47" s="62">
        <f>'дод 3'!L89</f>
        <v>0</v>
      </c>
      <c r="L47" s="62">
        <f>'дод 3'!M89</f>
        <v>0</v>
      </c>
      <c r="M47" s="62">
        <f>'дод 3'!N89</f>
        <v>0</v>
      </c>
      <c r="N47" s="62">
        <f>'дод 3'!O89</f>
        <v>0</v>
      </c>
      <c r="O47" s="62">
        <f>'дод 3'!P89</f>
        <v>1984936</v>
      </c>
    </row>
    <row r="48" spans="1:15" ht="24.75" customHeight="1" x14ac:dyDescent="0.25">
      <c r="A48" s="49"/>
      <c r="B48" s="46"/>
      <c r="C48" s="3" t="s">
        <v>308</v>
      </c>
      <c r="D48" s="62">
        <f>'дод 3'!E90</f>
        <v>2468</v>
      </c>
      <c r="E48" s="62">
        <f>'дод 3'!F90</f>
        <v>2468</v>
      </c>
      <c r="F48" s="62">
        <f>'дод 3'!G90</f>
        <v>0</v>
      </c>
      <c r="G48" s="62">
        <f>'дод 3'!H90</f>
        <v>0</v>
      </c>
      <c r="H48" s="62">
        <f>'дод 3'!I90</f>
        <v>0</v>
      </c>
      <c r="I48" s="62">
        <f>'дод 3'!J90</f>
        <v>0</v>
      </c>
      <c r="J48" s="62">
        <f>'дод 3'!K90</f>
        <v>0</v>
      </c>
      <c r="K48" s="62">
        <f>'дод 3'!L90</f>
        <v>0</v>
      </c>
      <c r="L48" s="62">
        <f>'дод 3'!M90</f>
        <v>0</v>
      </c>
      <c r="M48" s="62">
        <f>'дод 3'!N90</f>
        <v>0</v>
      </c>
      <c r="N48" s="62">
        <f>'дод 3'!O90</f>
        <v>0</v>
      </c>
      <c r="O48" s="62">
        <f>'дод 3'!P90</f>
        <v>2468</v>
      </c>
    </row>
    <row r="49" spans="1:15" ht="36.75" customHeight="1" x14ac:dyDescent="0.25">
      <c r="A49" s="49">
        <v>2144</v>
      </c>
      <c r="B49" s="46" t="s">
        <v>82</v>
      </c>
      <c r="C49" s="6" t="s">
        <v>149</v>
      </c>
      <c r="D49" s="62">
        <f>'дод 3'!E91</f>
        <v>7432709</v>
      </c>
      <c r="E49" s="62">
        <f>'дод 3'!F91</f>
        <v>7432709</v>
      </c>
      <c r="F49" s="62">
        <f>'дод 3'!G91</f>
        <v>0</v>
      </c>
      <c r="G49" s="62">
        <f>'дод 3'!H91</f>
        <v>0</v>
      </c>
      <c r="H49" s="62">
        <f>'дод 3'!I91</f>
        <v>0</v>
      </c>
      <c r="I49" s="62">
        <f>'дод 3'!J91</f>
        <v>0</v>
      </c>
      <c r="J49" s="62">
        <f>'дод 3'!K91</f>
        <v>0</v>
      </c>
      <c r="K49" s="62">
        <f>'дод 3'!L91</f>
        <v>0</v>
      </c>
      <c r="L49" s="62">
        <f>'дод 3'!M91</f>
        <v>0</v>
      </c>
      <c r="M49" s="62">
        <f>'дод 3'!N91</f>
        <v>0</v>
      </c>
      <c r="N49" s="62">
        <f>'дод 3'!O91</f>
        <v>0</v>
      </c>
      <c r="O49" s="62">
        <f>'дод 3'!P91</f>
        <v>7432709</v>
      </c>
    </row>
    <row r="50" spans="1:15" ht="24.75" customHeight="1" x14ac:dyDescent="0.25">
      <c r="A50" s="49"/>
      <c r="B50" s="46"/>
      <c r="C50" s="3" t="s">
        <v>308</v>
      </c>
      <c r="D50" s="62">
        <f>'дод 3'!E92</f>
        <v>5832709</v>
      </c>
      <c r="E50" s="62">
        <f>'дод 3'!F92</f>
        <v>5832709</v>
      </c>
      <c r="F50" s="62">
        <f>'дод 3'!G92</f>
        <v>0</v>
      </c>
      <c r="G50" s="62">
        <f>'дод 3'!H92</f>
        <v>0</v>
      </c>
      <c r="H50" s="62">
        <f>'дод 3'!I92</f>
        <v>0</v>
      </c>
      <c r="I50" s="62">
        <f>'дод 3'!J92</f>
        <v>0</v>
      </c>
      <c r="J50" s="62">
        <f>'дод 3'!K92</f>
        <v>0</v>
      </c>
      <c r="K50" s="62">
        <f>'дод 3'!L92</f>
        <v>0</v>
      </c>
      <c r="L50" s="62">
        <f>'дод 3'!M92</f>
        <v>0</v>
      </c>
      <c r="M50" s="62">
        <f>'дод 3'!N92</f>
        <v>0</v>
      </c>
      <c r="N50" s="62">
        <f>'дод 3'!O92</f>
        <v>0</v>
      </c>
      <c r="O50" s="62">
        <f>'дод 3'!P92</f>
        <v>5832709</v>
      </c>
    </row>
    <row r="51" spans="1:15" ht="37.5" customHeight="1" x14ac:dyDescent="0.25">
      <c r="A51" s="46" t="s">
        <v>331</v>
      </c>
      <c r="B51" s="46" t="s">
        <v>82</v>
      </c>
      <c r="C51" s="3" t="s">
        <v>333</v>
      </c>
      <c r="D51" s="62">
        <f>'дод 3'!E93</f>
        <v>2894213</v>
      </c>
      <c r="E51" s="62">
        <f>'дод 3'!F93</f>
        <v>2894213</v>
      </c>
      <c r="F51" s="62">
        <f>'дод 3'!G93</f>
        <v>0</v>
      </c>
      <c r="G51" s="62">
        <f>'дод 3'!H93</f>
        <v>0</v>
      </c>
      <c r="H51" s="62">
        <f>'дод 3'!I93</f>
        <v>0</v>
      </c>
      <c r="I51" s="62">
        <f>'дод 3'!J93</f>
        <v>0</v>
      </c>
      <c r="J51" s="62">
        <f>'дод 3'!K93</f>
        <v>0</v>
      </c>
      <c r="K51" s="62">
        <f>'дод 3'!L93</f>
        <v>0</v>
      </c>
      <c r="L51" s="62">
        <f>'дод 3'!M93</f>
        <v>0</v>
      </c>
      <c r="M51" s="62">
        <f>'дод 3'!N93</f>
        <v>0</v>
      </c>
      <c r="N51" s="62">
        <f>'дод 3'!O93</f>
        <v>0</v>
      </c>
      <c r="O51" s="62">
        <f>'дод 3'!P93</f>
        <v>2894213</v>
      </c>
    </row>
    <row r="52" spans="1:15" ht="21.75" customHeight="1" x14ac:dyDescent="0.25">
      <c r="A52" s="46" t="s">
        <v>332</v>
      </c>
      <c r="B52" s="46" t="s">
        <v>82</v>
      </c>
      <c r="C52" s="3" t="s">
        <v>334</v>
      </c>
      <c r="D52" s="62">
        <f>'дод 3'!E94</f>
        <v>73667000</v>
      </c>
      <c r="E52" s="62">
        <f>'дод 3'!F94</f>
        <v>73667000</v>
      </c>
      <c r="F52" s="62">
        <f>'дод 3'!G94</f>
        <v>0</v>
      </c>
      <c r="G52" s="62">
        <f>'дод 3'!H94</f>
        <v>0</v>
      </c>
      <c r="H52" s="62">
        <f>'дод 3'!I94</f>
        <v>0</v>
      </c>
      <c r="I52" s="62">
        <f>'дод 3'!J94</f>
        <v>16000000</v>
      </c>
      <c r="J52" s="62">
        <f>'дод 3'!K94</f>
        <v>16000000</v>
      </c>
      <c r="K52" s="62">
        <f>'дод 3'!L94</f>
        <v>0</v>
      </c>
      <c r="L52" s="62">
        <f>'дод 3'!M94</f>
        <v>0</v>
      </c>
      <c r="M52" s="62">
        <f>'дод 3'!N94</f>
        <v>0</v>
      </c>
      <c r="N52" s="62">
        <f>'дод 3'!O94</f>
        <v>16000000</v>
      </c>
      <c r="O52" s="62">
        <f>'дод 3'!P94</f>
        <v>89667000</v>
      </c>
    </row>
    <row r="53" spans="1:15" s="82" customFormat="1" ht="34.5" customHeight="1" x14ac:dyDescent="0.25">
      <c r="A53" s="47" t="s">
        <v>83</v>
      </c>
      <c r="B53" s="50"/>
      <c r="C53" s="2" t="s">
        <v>84</v>
      </c>
      <c r="D53" s="61">
        <f>SUM(D54+D55+D56+D57+D58+D59+D60+D61+D62+D63+D64+D65+D66+D67+D68+D69+D70+D71+D72+D73+D74+D75+D76)</f>
        <v>128887081.63</v>
      </c>
      <c r="E53" s="61">
        <f t="shared" ref="E53:O53" si="5">SUM(E54+E55+E56+E57+E58+E59+E60+E61+E62+E63+E64+E65+E66+E67+E68+E69+E70+E71+E72+E73+E74+E75+E76)</f>
        <v>128887081.63</v>
      </c>
      <c r="F53" s="61">
        <f t="shared" si="5"/>
        <v>16632985</v>
      </c>
      <c r="G53" s="61">
        <f t="shared" si="5"/>
        <v>887160</v>
      </c>
      <c r="H53" s="61">
        <f t="shared" si="5"/>
        <v>0</v>
      </c>
      <c r="I53" s="61">
        <f t="shared" si="5"/>
        <v>1287640</v>
      </c>
      <c r="J53" s="61">
        <f t="shared" si="5"/>
        <v>1179540</v>
      </c>
      <c r="K53" s="61">
        <f t="shared" si="5"/>
        <v>108100</v>
      </c>
      <c r="L53" s="61">
        <f t="shared" si="5"/>
        <v>85100</v>
      </c>
      <c r="M53" s="61">
        <f t="shared" si="5"/>
        <v>0</v>
      </c>
      <c r="N53" s="61">
        <f t="shared" si="5"/>
        <v>1179540</v>
      </c>
      <c r="O53" s="61">
        <f t="shared" si="5"/>
        <v>130174721.63</v>
      </c>
    </row>
    <row r="54" spans="1:15" ht="45" customHeight="1" x14ac:dyDescent="0.25">
      <c r="A54" s="46" t="s">
        <v>118</v>
      </c>
      <c r="B54" s="46" t="s">
        <v>67</v>
      </c>
      <c r="C54" s="3" t="s">
        <v>150</v>
      </c>
      <c r="D54" s="62">
        <f>'дод 3'!E101</f>
        <v>582400</v>
      </c>
      <c r="E54" s="62">
        <f>'дод 3'!F101</f>
        <v>582400</v>
      </c>
      <c r="F54" s="62">
        <f>'дод 3'!G101</f>
        <v>0</v>
      </c>
      <c r="G54" s="62">
        <f>'дод 3'!H101</f>
        <v>0</v>
      </c>
      <c r="H54" s="62">
        <f>'дод 3'!I101</f>
        <v>0</v>
      </c>
      <c r="I54" s="62">
        <f>'дод 3'!J101</f>
        <v>0</v>
      </c>
      <c r="J54" s="62">
        <f>'дод 3'!K101</f>
        <v>0</v>
      </c>
      <c r="K54" s="62">
        <f>'дод 3'!L101</f>
        <v>0</v>
      </c>
      <c r="L54" s="62">
        <f>'дод 3'!M101</f>
        <v>0</v>
      </c>
      <c r="M54" s="62">
        <f>'дод 3'!N101</f>
        <v>0</v>
      </c>
      <c r="N54" s="62">
        <f>'дод 3'!O101</f>
        <v>0</v>
      </c>
      <c r="O54" s="62">
        <f>'дод 3'!P101</f>
        <v>582400</v>
      </c>
    </row>
    <row r="55" spans="1:15" ht="41.25" customHeight="1" x14ac:dyDescent="0.25">
      <c r="A55" s="46" t="s">
        <v>151</v>
      </c>
      <c r="B55" s="46" t="s">
        <v>69</v>
      </c>
      <c r="C55" s="3" t="s">
        <v>423</v>
      </c>
      <c r="D55" s="62">
        <f>'дод 3'!E102</f>
        <v>1259894</v>
      </c>
      <c r="E55" s="62">
        <f>'дод 3'!F102</f>
        <v>1259894</v>
      </c>
      <c r="F55" s="62">
        <f>'дод 3'!G102</f>
        <v>0</v>
      </c>
      <c r="G55" s="62">
        <f>'дод 3'!H102</f>
        <v>0</v>
      </c>
      <c r="H55" s="62">
        <f>'дод 3'!I102</f>
        <v>0</v>
      </c>
      <c r="I55" s="62">
        <f>'дод 3'!J102</f>
        <v>0</v>
      </c>
      <c r="J55" s="62">
        <f>'дод 3'!K102</f>
        <v>0</v>
      </c>
      <c r="K55" s="62">
        <f>'дод 3'!L102</f>
        <v>0</v>
      </c>
      <c r="L55" s="62">
        <f>'дод 3'!M102</f>
        <v>0</v>
      </c>
      <c r="M55" s="62">
        <f>'дод 3'!N102</f>
        <v>0</v>
      </c>
      <c r="N55" s="62">
        <f>'дод 3'!O102</f>
        <v>0</v>
      </c>
      <c r="O55" s="62">
        <f>'дод 3'!P102</f>
        <v>1259894</v>
      </c>
    </row>
    <row r="56" spans="1:15" ht="54.75" customHeight="1" x14ac:dyDescent="0.25">
      <c r="A56" s="46" t="s">
        <v>119</v>
      </c>
      <c r="B56" s="46" t="s">
        <v>69</v>
      </c>
      <c r="C56" s="3" t="s">
        <v>55</v>
      </c>
      <c r="D56" s="62">
        <f>'дод 3'!E103+'дод 3'!E22</f>
        <v>24145963.129999999</v>
      </c>
      <c r="E56" s="62">
        <f>'дод 3'!F103+'дод 3'!F22</f>
        <v>24145963.129999999</v>
      </c>
      <c r="F56" s="62">
        <f>'дод 3'!G103+'дод 3'!G22</f>
        <v>0</v>
      </c>
      <c r="G56" s="62">
        <f>'дод 3'!H103+'дод 3'!H22</f>
        <v>0</v>
      </c>
      <c r="H56" s="62">
        <f>'дод 3'!I103+'дод 3'!I22</f>
        <v>0</v>
      </c>
      <c r="I56" s="62">
        <f>'дод 3'!J103+'дод 3'!J22</f>
        <v>0</v>
      </c>
      <c r="J56" s="62">
        <f>'дод 3'!K103+'дод 3'!K22</f>
        <v>0</v>
      </c>
      <c r="K56" s="62">
        <f>'дод 3'!L103+'дод 3'!L22</f>
        <v>0</v>
      </c>
      <c r="L56" s="62">
        <f>'дод 3'!M103+'дод 3'!M22</f>
        <v>0</v>
      </c>
      <c r="M56" s="62">
        <f>'дод 3'!N103+'дод 3'!N22</f>
        <v>0</v>
      </c>
      <c r="N56" s="62">
        <f>'дод 3'!O103+'дод 3'!O22</f>
        <v>0</v>
      </c>
      <c r="O56" s="62">
        <f>'дод 3'!P103+'дод 3'!P22</f>
        <v>24145963.129999999</v>
      </c>
    </row>
    <row r="57" spans="1:15" ht="46.5" customHeight="1" x14ac:dyDescent="0.25">
      <c r="A57" s="46" t="s">
        <v>380</v>
      </c>
      <c r="B57" s="46" t="s">
        <v>69</v>
      </c>
      <c r="C57" s="3" t="s">
        <v>379</v>
      </c>
      <c r="D57" s="62">
        <f>'дод 3'!E104</f>
        <v>1000000</v>
      </c>
      <c r="E57" s="62">
        <f>'дод 3'!F104</f>
        <v>1000000</v>
      </c>
      <c r="F57" s="62">
        <f>'дод 3'!G104</f>
        <v>0</v>
      </c>
      <c r="G57" s="62">
        <f>'дод 3'!H104</f>
        <v>0</v>
      </c>
      <c r="H57" s="62">
        <f>'дод 3'!I104</f>
        <v>0</v>
      </c>
      <c r="I57" s="62">
        <f>'дод 3'!J104</f>
        <v>0</v>
      </c>
      <c r="J57" s="62">
        <f>'дод 3'!K104</f>
        <v>0</v>
      </c>
      <c r="K57" s="62">
        <f>'дод 3'!L104</f>
        <v>0</v>
      </c>
      <c r="L57" s="62">
        <f>'дод 3'!M104</f>
        <v>0</v>
      </c>
      <c r="M57" s="62">
        <f>'дод 3'!N104</f>
        <v>0</v>
      </c>
      <c r="N57" s="62">
        <f>'дод 3'!O104</f>
        <v>0</v>
      </c>
      <c r="O57" s="62">
        <f>'дод 3'!P104</f>
        <v>1000000</v>
      </c>
    </row>
    <row r="58" spans="1:15" ht="45" customHeight="1" x14ac:dyDescent="0.25">
      <c r="A58" s="46" t="s">
        <v>152</v>
      </c>
      <c r="B58" s="46" t="s">
        <v>69</v>
      </c>
      <c r="C58" s="3" t="s">
        <v>25</v>
      </c>
      <c r="D58" s="62">
        <f>'дод 3'!E105+'дод 3'!E23</f>
        <v>26348280.5</v>
      </c>
      <c r="E58" s="62">
        <f>'дод 3'!F105+'дод 3'!F23</f>
        <v>26348280.5</v>
      </c>
      <c r="F58" s="62">
        <f>'дод 3'!G105+'дод 3'!G23</f>
        <v>0</v>
      </c>
      <c r="G58" s="62">
        <f>'дод 3'!H105+'дод 3'!H23</f>
        <v>0</v>
      </c>
      <c r="H58" s="62">
        <f>'дод 3'!I105+'дод 3'!I23</f>
        <v>0</v>
      </c>
      <c r="I58" s="62">
        <f>'дод 3'!J105+'дод 3'!J23</f>
        <v>0</v>
      </c>
      <c r="J58" s="62">
        <f>'дод 3'!K105+'дод 3'!K23</f>
        <v>0</v>
      </c>
      <c r="K58" s="62">
        <f>'дод 3'!L105+'дод 3'!L23</f>
        <v>0</v>
      </c>
      <c r="L58" s="62">
        <f>'дод 3'!M105+'дод 3'!M23</f>
        <v>0</v>
      </c>
      <c r="M58" s="62">
        <f>'дод 3'!N105+'дод 3'!N23</f>
        <v>0</v>
      </c>
      <c r="N58" s="62">
        <f>'дод 3'!O105+'дод 3'!O23</f>
        <v>0</v>
      </c>
      <c r="O58" s="62">
        <f>'дод 3'!P105+'дод 3'!P23</f>
        <v>26348280.5</v>
      </c>
    </row>
    <row r="59" spans="1:15" ht="40.5" customHeight="1" x14ac:dyDescent="0.25">
      <c r="A59" s="46" t="s">
        <v>121</v>
      </c>
      <c r="B59" s="46" t="s">
        <v>69</v>
      </c>
      <c r="C59" s="3" t="s">
        <v>41</v>
      </c>
      <c r="D59" s="62">
        <f>'дод 3'!E106</f>
        <v>853000</v>
      </c>
      <c r="E59" s="62">
        <f>'дод 3'!F106</f>
        <v>853000</v>
      </c>
      <c r="F59" s="62">
        <f>'дод 3'!G106</f>
        <v>0</v>
      </c>
      <c r="G59" s="62">
        <f>'дод 3'!H106</f>
        <v>0</v>
      </c>
      <c r="H59" s="62">
        <f>'дод 3'!I106</f>
        <v>0</v>
      </c>
      <c r="I59" s="62">
        <f>'дод 3'!J106</f>
        <v>0</v>
      </c>
      <c r="J59" s="62">
        <f>'дод 3'!K106</f>
        <v>0</v>
      </c>
      <c r="K59" s="62">
        <f>'дод 3'!L106</f>
        <v>0</v>
      </c>
      <c r="L59" s="62">
        <f>'дод 3'!M106</f>
        <v>0</v>
      </c>
      <c r="M59" s="62">
        <f>'дод 3'!N106</f>
        <v>0</v>
      </c>
      <c r="N59" s="62">
        <f>'дод 3'!O106</f>
        <v>0</v>
      </c>
      <c r="O59" s="62">
        <f>'дод 3'!P106</f>
        <v>853000</v>
      </c>
    </row>
    <row r="60" spans="1:15" ht="40.5" customHeight="1" x14ac:dyDescent="0.25">
      <c r="A60" s="46" t="s">
        <v>368</v>
      </c>
      <c r="B60" s="46" t="s">
        <v>67</v>
      </c>
      <c r="C60" s="3" t="s">
        <v>369</v>
      </c>
      <c r="D60" s="62">
        <f>'дод 3'!E107</f>
        <v>228400</v>
      </c>
      <c r="E60" s="62">
        <f>'дод 3'!F107</f>
        <v>228400</v>
      </c>
      <c r="F60" s="62">
        <f>'дод 3'!G107</f>
        <v>0</v>
      </c>
      <c r="G60" s="62">
        <f>'дод 3'!H107</f>
        <v>0</v>
      </c>
      <c r="H60" s="62">
        <f>'дод 3'!I107</f>
        <v>0</v>
      </c>
      <c r="I60" s="62">
        <f>'дод 3'!J107</f>
        <v>0</v>
      </c>
      <c r="J60" s="62">
        <f>'дод 3'!K107</f>
        <v>0</v>
      </c>
      <c r="K60" s="62">
        <f>'дод 3'!L107</f>
        <v>0</v>
      </c>
      <c r="L60" s="62">
        <f>'дод 3'!M107</f>
        <v>0</v>
      </c>
      <c r="M60" s="62">
        <f>'дод 3'!N107</f>
        <v>0</v>
      </c>
      <c r="N60" s="62">
        <f>'дод 3'!O107</f>
        <v>0</v>
      </c>
      <c r="O60" s="62">
        <f>'дод 3'!P107</f>
        <v>228400</v>
      </c>
    </row>
    <row r="61" spans="1:15" ht="74.25" customHeight="1" x14ac:dyDescent="0.25">
      <c r="A61" s="46" t="s">
        <v>122</v>
      </c>
      <c r="B61" s="46" t="s">
        <v>65</v>
      </c>
      <c r="C61" s="3" t="s">
        <v>42</v>
      </c>
      <c r="D61" s="62">
        <f>'дод 3'!E108</f>
        <v>13559330</v>
      </c>
      <c r="E61" s="62">
        <f>'дод 3'!F108</f>
        <v>13559330</v>
      </c>
      <c r="F61" s="62">
        <f>'дод 3'!G108</f>
        <v>10389550</v>
      </c>
      <c r="G61" s="62">
        <f>'дод 3'!H108</f>
        <v>230060</v>
      </c>
      <c r="H61" s="62">
        <f>'дод 3'!I108</f>
        <v>0</v>
      </c>
      <c r="I61" s="62">
        <f>'дод 3'!J108</f>
        <v>471000</v>
      </c>
      <c r="J61" s="62">
        <f>'дод 3'!K108</f>
        <v>362900</v>
      </c>
      <c r="K61" s="62">
        <f>'дод 3'!L108</f>
        <v>108100</v>
      </c>
      <c r="L61" s="62">
        <f>'дод 3'!M108</f>
        <v>85100</v>
      </c>
      <c r="M61" s="62">
        <f>'дод 3'!N108</f>
        <v>0</v>
      </c>
      <c r="N61" s="62">
        <f>'дод 3'!O108</f>
        <v>362900</v>
      </c>
      <c r="O61" s="62">
        <f>'дод 3'!P108</f>
        <v>14030330</v>
      </c>
    </row>
    <row r="62" spans="1:15" ht="69.75" customHeight="1" x14ac:dyDescent="0.25">
      <c r="A62" s="46" t="s">
        <v>392</v>
      </c>
      <c r="B62" s="46" t="s">
        <v>120</v>
      </c>
      <c r="C62" s="42" t="s">
        <v>393</v>
      </c>
      <c r="D62" s="62">
        <f>SUM('дод 3'!E123)</f>
        <v>0</v>
      </c>
      <c r="E62" s="62">
        <f>SUM('дод 3'!F123)</f>
        <v>0</v>
      </c>
      <c r="F62" s="62">
        <f>SUM('дод 3'!G123)</f>
        <v>0</v>
      </c>
      <c r="G62" s="62">
        <f>SUM('дод 3'!H123)</f>
        <v>0</v>
      </c>
      <c r="H62" s="62">
        <f>SUM('дод 3'!I123)</f>
        <v>0</v>
      </c>
      <c r="I62" s="62">
        <f>SUM('дод 3'!J123)</f>
        <v>20000</v>
      </c>
      <c r="J62" s="62">
        <f>SUM('дод 3'!K123)</f>
        <v>20000</v>
      </c>
      <c r="K62" s="62">
        <f>SUM('дод 3'!L123)</f>
        <v>0</v>
      </c>
      <c r="L62" s="62">
        <f>SUM('дод 3'!M123)</f>
        <v>0</v>
      </c>
      <c r="M62" s="62">
        <f>SUM('дод 3'!N123)</f>
        <v>0</v>
      </c>
      <c r="N62" s="62">
        <f>SUM('дод 3'!O123)</f>
        <v>20000</v>
      </c>
      <c r="O62" s="62">
        <f>SUM('дод 3'!P123)</f>
        <v>20000</v>
      </c>
    </row>
    <row r="63" spans="1:15" s="84" customFormat="1" ht="43.5" customHeight="1" x14ac:dyDescent="0.25">
      <c r="A63" s="46" t="s">
        <v>123</v>
      </c>
      <c r="B63" s="46" t="s">
        <v>120</v>
      </c>
      <c r="C63" s="3" t="s">
        <v>43</v>
      </c>
      <c r="D63" s="62">
        <f>'дод 3'!E124</f>
        <v>90500</v>
      </c>
      <c r="E63" s="62">
        <f>'дод 3'!F124</f>
        <v>90500</v>
      </c>
      <c r="F63" s="62">
        <f>'дод 3'!G124</f>
        <v>0</v>
      </c>
      <c r="G63" s="62">
        <f>'дод 3'!H124</f>
        <v>0</v>
      </c>
      <c r="H63" s="62">
        <f>'дод 3'!I124</f>
        <v>0</v>
      </c>
      <c r="I63" s="62">
        <f>'дод 3'!J124</f>
        <v>0</v>
      </c>
      <c r="J63" s="62">
        <f>'дод 3'!K124</f>
        <v>0</v>
      </c>
      <c r="K63" s="62">
        <f>'дод 3'!L124</f>
        <v>0</v>
      </c>
      <c r="L63" s="62">
        <f>'дод 3'!M124</f>
        <v>0</v>
      </c>
      <c r="M63" s="62">
        <f>'дод 3'!N124</f>
        <v>0</v>
      </c>
      <c r="N63" s="62">
        <f>'дод 3'!O124</f>
        <v>0</v>
      </c>
      <c r="O63" s="62">
        <f>'дод 3'!P124</f>
        <v>90500</v>
      </c>
    </row>
    <row r="64" spans="1:15" s="84" customFormat="1" ht="42.75" customHeight="1" x14ac:dyDescent="0.25">
      <c r="A64" s="46" t="s">
        <v>153</v>
      </c>
      <c r="B64" s="46" t="s">
        <v>120</v>
      </c>
      <c r="C64" s="3" t="s">
        <v>154</v>
      </c>
      <c r="D64" s="62">
        <f>'дод 3'!E24</f>
        <v>2529735</v>
      </c>
      <c r="E64" s="62">
        <f>'дод 3'!F24</f>
        <v>2529735</v>
      </c>
      <c r="F64" s="62">
        <f>'дод 3'!G24</f>
        <v>1883250</v>
      </c>
      <c r="G64" s="62">
        <f>'дод 3'!H24</f>
        <v>50170</v>
      </c>
      <c r="H64" s="62">
        <f>'дод 3'!I24</f>
        <v>0</v>
      </c>
      <c r="I64" s="62">
        <f>'дод 3'!J24</f>
        <v>0</v>
      </c>
      <c r="J64" s="62">
        <f>'дод 3'!K24</f>
        <v>0</v>
      </c>
      <c r="K64" s="62">
        <f>'дод 3'!L24</f>
        <v>0</v>
      </c>
      <c r="L64" s="62">
        <f>'дод 3'!M24</f>
        <v>0</v>
      </c>
      <c r="M64" s="62">
        <f>'дод 3'!N24</f>
        <v>0</v>
      </c>
      <c r="N64" s="62">
        <f>'дод 3'!O24</f>
        <v>0</v>
      </c>
      <c r="O64" s="62">
        <f>'дод 3'!P24</f>
        <v>2529735</v>
      </c>
    </row>
    <row r="65" spans="1:15" s="84" customFormat="1" ht="57" customHeight="1" x14ac:dyDescent="0.25">
      <c r="A65" s="49" t="s">
        <v>127</v>
      </c>
      <c r="B65" s="49" t="s">
        <v>120</v>
      </c>
      <c r="C65" s="3" t="s">
        <v>401</v>
      </c>
      <c r="D65" s="62">
        <f>'дод 3'!E25</f>
        <v>850000</v>
      </c>
      <c r="E65" s="62">
        <f>'дод 3'!F25</f>
        <v>850000</v>
      </c>
      <c r="F65" s="62">
        <f>'дод 3'!G25</f>
        <v>0</v>
      </c>
      <c r="G65" s="62">
        <f>'дод 3'!H25</f>
        <v>0</v>
      </c>
      <c r="H65" s="62">
        <f>'дод 3'!I25</f>
        <v>0</v>
      </c>
      <c r="I65" s="62">
        <f>'дод 3'!J25</f>
        <v>0</v>
      </c>
      <c r="J65" s="62">
        <f>'дод 3'!K25</f>
        <v>0</v>
      </c>
      <c r="K65" s="62">
        <f>'дод 3'!L25</f>
        <v>0</v>
      </c>
      <c r="L65" s="62">
        <f>'дод 3'!M25</f>
        <v>0</v>
      </c>
      <c r="M65" s="62">
        <f>'дод 3'!N25</f>
        <v>0</v>
      </c>
      <c r="N65" s="62">
        <f>'дод 3'!O25</f>
        <v>0</v>
      </c>
      <c r="O65" s="62">
        <f>'дод 3'!P25</f>
        <v>850000</v>
      </c>
    </row>
    <row r="66" spans="1:15" ht="75" customHeight="1" x14ac:dyDescent="0.25">
      <c r="A66" s="46" t="s">
        <v>128</v>
      </c>
      <c r="B66" s="46" t="s">
        <v>120</v>
      </c>
      <c r="C66" s="6" t="s">
        <v>28</v>
      </c>
      <c r="D66" s="62">
        <f>'дод 3'!E70+'дод 3'!E26</f>
        <v>7560000</v>
      </c>
      <c r="E66" s="62">
        <f>'дод 3'!F70+'дод 3'!F26</f>
        <v>7560000</v>
      </c>
      <c r="F66" s="62">
        <f>'дод 3'!G70+'дод 3'!G26</f>
        <v>0</v>
      </c>
      <c r="G66" s="62">
        <f>'дод 3'!H70+'дод 3'!H26</f>
        <v>0</v>
      </c>
      <c r="H66" s="62">
        <f>'дод 3'!I70+'дод 3'!I26</f>
        <v>0</v>
      </c>
      <c r="I66" s="62">
        <f>'дод 3'!J70+'дод 3'!J26</f>
        <v>0</v>
      </c>
      <c r="J66" s="62">
        <f>'дод 3'!K70+'дод 3'!K26</f>
        <v>0</v>
      </c>
      <c r="K66" s="62">
        <f>'дод 3'!L70+'дод 3'!L26</f>
        <v>0</v>
      </c>
      <c r="L66" s="62">
        <f>'дод 3'!M70+'дод 3'!M26</f>
        <v>0</v>
      </c>
      <c r="M66" s="62">
        <f>'дод 3'!N70+'дод 3'!N26</f>
        <v>0</v>
      </c>
      <c r="N66" s="62">
        <f>'дод 3'!O70+'дод 3'!O26</f>
        <v>0</v>
      </c>
      <c r="O66" s="62">
        <f>'дод 3'!P70+'дод 3'!P26</f>
        <v>7560000</v>
      </c>
    </row>
    <row r="67" spans="1:15" ht="92.25" customHeight="1" x14ac:dyDescent="0.25">
      <c r="A67" s="46" t="s">
        <v>129</v>
      </c>
      <c r="B67" s="46">
        <v>1010</v>
      </c>
      <c r="C67" s="3" t="s">
        <v>335</v>
      </c>
      <c r="D67" s="62">
        <f>'дод 3'!E109</f>
        <v>1884220</v>
      </c>
      <c r="E67" s="62">
        <f>'дод 3'!F109</f>
        <v>1884220</v>
      </c>
      <c r="F67" s="62">
        <f>'дод 3'!G109</f>
        <v>0</v>
      </c>
      <c r="G67" s="62">
        <f>'дод 3'!H109</f>
        <v>0</v>
      </c>
      <c r="H67" s="62">
        <f>'дод 3'!I109</f>
        <v>0</v>
      </c>
      <c r="I67" s="62">
        <f>'дод 3'!J109</f>
        <v>0</v>
      </c>
      <c r="J67" s="62">
        <f>'дод 3'!K109</f>
        <v>0</v>
      </c>
      <c r="K67" s="62">
        <f>'дод 3'!L109</f>
        <v>0</v>
      </c>
      <c r="L67" s="62">
        <f>'дод 3'!M109</f>
        <v>0</v>
      </c>
      <c r="M67" s="62">
        <f>'дод 3'!N109</f>
        <v>0</v>
      </c>
      <c r="N67" s="62">
        <f>'дод 3'!O109</f>
        <v>0</v>
      </c>
      <c r="O67" s="62">
        <f>'дод 3'!P109</f>
        <v>1884220</v>
      </c>
    </row>
    <row r="68" spans="1:15" s="84" customFormat="1" ht="53.25" customHeight="1" x14ac:dyDescent="0.25">
      <c r="A68" s="46" t="s">
        <v>370</v>
      </c>
      <c r="B68" s="46">
        <v>1010</v>
      </c>
      <c r="C68" s="3" t="s">
        <v>372</v>
      </c>
      <c r="D68" s="62">
        <f>'дод 3'!E110</f>
        <v>228095</v>
      </c>
      <c r="E68" s="62">
        <f>'дод 3'!F110</f>
        <v>228095</v>
      </c>
      <c r="F68" s="62">
        <f>'дод 3'!G110</f>
        <v>0</v>
      </c>
      <c r="G68" s="62">
        <f>'дод 3'!H110</f>
        <v>0</v>
      </c>
      <c r="H68" s="62">
        <f>'дод 3'!I110</f>
        <v>0</v>
      </c>
      <c r="I68" s="62">
        <f>'дод 3'!J110</f>
        <v>0</v>
      </c>
      <c r="J68" s="62">
        <f>'дод 3'!K110</f>
        <v>0</v>
      </c>
      <c r="K68" s="62">
        <f>'дод 3'!L110</f>
        <v>0</v>
      </c>
      <c r="L68" s="62">
        <f>'дод 3'!M110</f>
        <v>0</v>
      </c>
      <c r="M68" s="62">
        <f>'дод 3'!N110</f>
        <v>0</v>
      </c>
      <c r="N68" s="62">
        <f>'дод 3'!O110</f>
        <v>0</v>
      </c>
      <c r="O68" s="62">
        <f>'дод 3'!P110</f>
        <v>228095</v>
      </c>
    </row>
    <row r="69" spans="1:15" s="84" customFormat="1" ht="38.25" customHeight="1" x14ac:dyDescent="0.25">
      <c r="A69" s="46" t="s">
        <v>371</v>
      </c>
      <c r="B69" s="46">
        <v>1010</v>
      </c>
      <c r="C69" s="3" t="s">
        <v>373</v>
      </c>
      <c r="D69" s="62">
        <f>'дод 3'!E111</f>
        <v>90</v>
      </c>
      <c r="E69" s="62">
        <f>'дод 3'!F111</f>
        <v>90</v>
      </c>
      <c r="F69" s="62">
        <f>'дод 3'!G111</f>
        <v>0</v>
      </c>
      <c r="G69" s="62">
        <f>'дод 3'!H111</f>
        <v>0</v>
      </c>
      <c r="H69" s="62">
        <f>'дод 3'!I111</f>
        <v>0</v>
      </c>
      <c r="I69" s="62">
        <f>'дод 3'!J111</f>
        <v>0</v>
      </c>
      <c r="J69" s="62">
        <f>'дод 3'!K111</f>
        <v>0</v>
      </c>
      <c r="K69" s="62">
        <f>'дод 3'!L111</f>
        <v>0</v>
      </c>
      <c r="L69" s="62">
        <f>'дод 3'!M111</f>
        <v>0</v>
      </c>
      <c r="M69" s="62">
        <f>'дод 3'!N111</f>
        <v>0</v>
      </c>
      <c r="N69" s="62">
        <f>'дод 3'!O111</f>
        <v>0</v>
      </c>
      <c r="O69" s="62">
        <f>'дод 3'!P111</f>
        <v>90</v>
      </c>
    </row>
    <row r="70" spans="1:15" ht="77.25" customHeight="1" x14ac:dyDescent="0.25">
      <c r="A70" s="46" t="s">
        <v>124</v>
      </c>
      <c r="B70" s="46" t="s">
        <v>68</v>
      </c>
      <c r="C70" s="3" t="s">
        <v>402</v>
      </c>
      <c r="D70" s="62">
        <f>'дод 3'!E112</f>
        <v>2075000</v>
      </c>
      <c r="E70" s="62">
        <f>'дод 3'!F112</f>
        <v>2075000</v>
      </c>
      <c r="F70" s="62">
        <f>'дод 3'!G112</f>
        <v>0</v>
      </c>
      <c r="G70" s="62">
        <f>'дод 3'!H112</f>
        <v>0</v>
      </c>
      <c r="H70" s="62">
        <f>'дод 3'!I112</f>
        <v>0</v>
      </c>
      <c r="I70" s="62">
        <f>'дод 3'!J112</f>
        <v>0</v>
      </c>
      <c r="J70" s="62">
        <f>'дод 3'!K112</f>
        <v>0</v>
      </c>
      <c r="K70" s="62">
        <f>'дод 3'!L112</f>
        <v>0</v>
      </c>
      <c r="L70" s="62">
        <f>'дод 3'!M112</f>
        <v>0</v>
      </c>
      <c r="M70" s="62">
        <f>'дод 3'!N112</f>
        <v>0</v>
      </c>
      <c r="N70" s="62">
        <f>'дод 3'!O112</f>
        <v>0</v>
      </c>
      <c r="O70" s="62">
        <f>'дод 3'!P112</f>
        <v>2075000</v>
      </c>
    </row>
    <row r="71" spans="1:15" s="84" customFormat="1" ht="36.75" customHeight="1" x14ac:dyDescent="0.25">
      <c r="A71" s="46" t="s">
        <v>336</v>
      </c>
      <c r="B71" s="46" t="s">
        <v>67</v>
      </c>
      <c r="C71" s="3" t="s">
        <v>24</v>
      </c>
      <c r="D71" s="62">
        <f>'дод 3'!E113</f>
        <v>2178000</v>
      </c>
      <c r="E71" s="62">
        <f>'дод 3'!F113</f>
        <v>2178000</v>
      </c>
      <c r="F71" s="62">
        <f>'дод 3'!G113</f>
        <v>0</v>
      </c>
      <c r="G71" s="62">
        <f>'дод 3'!H113</f>
        <v>0</v>
      </c>
      <c r="H71" s="62">
        <f>'дод 3'!I113</f>
        <v>0</v>
      </c>
      <c r="I71" s="62">
        <f>'дод 3'!J113</f>
        <v>0</v>
      </c>
      <c r="J71" s="62">
        <f>'дод 3'!K113</f>
        <v>0</v>
      </c>
      <c r="K71" s="62">
        <f>'дод 3'!L113</f>
        <v>0</v>
      </c>
      <c r="L71" s="62">
        <f>'дод 3'!M113</f>
        <v>0</v>
      </c>
      <c r="M71" s="62">
        <f>'дод 3'!N113</f>
        <v>0</v>
      </c>
      <c r="N71" s="62">
        <f>'дод 3'!O113</f>
        <v>0</v>
      </c>
      <c r="O71" s="62">
        <f>'дод 3'!P113</f>
        <v>2178000</v>
      </c>
    </row>
    <row r="72" spans="1:15" s="84" customFormat="1" ht="55.5" customHeight="1" x14ac:dyDescent="0.25">
      <c r="A72" s="46" t="s">
        <v>337</v>
      </c>
      <c r="B72" s="46" t="s">
        <v>67</v>
      </c>
      <c r="C72" s="3" t="s">
        <v>366</v>
      </c>
      <c r="D72" s="62">
        <f>'дод 3'!E114</f>
        <v>1892237</v>
      </c>
      <c r="E72" s="62">
        <f>'дод 3'!F114</f>
        <v>1892237</v>
      </c>
      <c r="F72" s="62">
        <f>'дод 3'!G114</f>
        <v>0</v>
      </c>
      <c r="G72" s="62">
        <f>'дод 3'!H114</f>
        <v>0</v>
      </c>
      <c r="H72" s="62">
        <f>'дод 3'!I114</f>
        <v>0</v>
      </c>
      <c r="I72" s="62">
        <f>'дод 3'!J114</f>
        <v>0</v>
      </c>
      <c r="J72" s="62">
        <f>'дод 3'!K114</f>
        <v>0</v>
      </c>
      <c r="K72" s="62">
        <f>'дод 3'!L114</f>
        <v>0</v>
      </c>
      <c r="L72" s="62">
        <f>'дод 3'!M114</f>
        <v>0</v>
      </c>
      <c r="M72" s="62">
        <f>'дод 3'!N114</f>
        <v>0</v>
      </c>
      <c r="N72" s="62">
        <f>'дод 3'!O114</f>
        <v>0</v>
      </c>
      <c r="O72" s="62">
        <f>'дод 3'!P114</f>
        <v>1892237</v>
      </c>
    </row>
    <row r="73" spans="1:15" ht="43.5" customHeight="1" x14ac:dyDescent="0.25">
      <c r="A73" s="46" t="s">
        <v>125</v>
      </c>
      <c r="B73" s="46" t="s">
        <v>71</v>
      </c>
      <c r="C73" s="3" t="s">
        <v>403</v>
      </c>
      <c r="D73" s="62">
        <f>'дод 3'!E115</f>
        <v>86500</v>
      </c>
      <c r="E73" s="62">
        <f>'дод 3'!F115</f>
        <v>86500</v>
      </c>
      <c r="F73" s="62">
        <f>'дод 3'!G115</f>
        <v>0</v>
      </c>
      <c r="G73" s="62">
        <f>'дод 3'!H115</f>
        <v>0</v>
      </c>
      <c r="H73" s="62">
        <f>'дод 3'!I115</f>
        <v>0</v>
      </c>
      <c r="I73" s="62">
        <f>'дод 3'!J115</f>
        <v>0</v>
      </c>
      <c r="J73" s="62">
        <f>'дод 3'!K115</f>
        <v>0</v>
      </c>
      <c r="K73" s="62">
        <f>'дод 3'!L115</f>
        <v>0</v>
      </c>
      <c r="L73" s="62">
        <f>'дод 3'!M115</f>
        <v>0</v>
      </c>
      <c r="M73" s="62">
        <f>'дод 3'!N115</f>
        <v>0</v>
      </c>
      <c r="N73" s="62">
        <f>'дод 3'!O115</f>
        <v>0</v>
      </c>
      <c r="O73" s="62">
        <f>'дод 3'!P115</f>
        <v>86500</v>
      </c>
    </row>
    <row r="74" spans="1:15" ht="27.75" customHeight="1" x14ac:dyDescent="0.25">
      <c r="A74" s="46" t="s">
        <v>338</v>
      </c>
      <c r="B74" s="46" t="s">
        <v>126</v>
      </c>
      <c r="C74" s="3" t="s">
        <v>50</v>
      </c>
      <c r="D74" s="62">
        <f>'дод 3'!E116+'дод 3'!E139</f>
        <v>600000</v>
      </c>
      <c r="E74" s="62">
        <f>'дод 3'!F116+'дод 3'!F139</f>
        <v>600000</v>
      </c>
      <c r="F74" s="62">
        <f>'дод 3'!G116+'дод 3'!G139</f>
        <v>163935</v>
      </c>
      <c r="G74" s="62">
        <f>'дод 3'!H116+'дод 3'!H139</f>
        <v>0</v>
      </c>
      <c r="H74" s="62">
        <f>'дод 3'!I116+'дод 3'!I139</f>
        <v>0</v>
      </c>
      <c r="I74" s="62">
        <f>'дод 3'!J116+'дод 3'!J139</f>
        <v>0</v>
      </c>
      <c r="J74" s="62">
        <f>'дод 3'!K116+'дод 3'!K139</f>
        <v>0</v>
      </c>
      <c r="K74" s="62">
        <f>'дод 3'!L116+'дод 3'!L139</f>
        <v>0</v>
      </c>
      <c r="L74" s="62">
        <f>'дод 3'!M116+'дод 3'!M139</f>
        <v>0</v>
      </c>
      <c r="M74" s="62">
        <f>'дод 3'!N116+'дод 3'!N139</f>
        <v>0</v>
      </c>
      <c r="N74" s="62">
        <f>'дод 3'!O116+'дод 3'!O139</f>
        <v>0</v>
      </c>
      <c r="O74" s="62">
        <f>'дод 3'!P116+'дод 3'!P139</f>
        <v>600000</v>
      </c>
    </row>
    <row r="75" spans="1:15" s="84" customFormat="1" ht="32.25" customHeight="1" x14ac:dyDescent="0.25">
      <c r="A75" s="46" t="s">
        <v>339</v>
      </c>
      <c r="B75" s="46" t="s">
        <v>71</v>
      </c>
      <c r="C75" s="3" t="s">
        <v>341</v>
      </c>
      <c r="D75" s="62">
        <f>'дод 3'!E117+'дод 3'!E27</f>
        <v>6719301</v>
      </c>
      <c r="E75" s="62">
        <f>'дод 3'!F117+'дод 3'!F27</f>
        <v>6719301</v>
      </c>
      <c r="F75" s="62">
        <f>'дод 3'!G117+'дод 3'!G27</f>
        <v>4196250</v>
      </c>
      <c r="G75" s="62">
        <f>'дод 3'!H117+'дод 3'!H27</f>
        <v>606930</v>
      </c>
      <c r="H75" s="62">
        <f>'дод 3'!I117+'дод 3'!I27</f>
        <v>0</v>
      </c>
      <c r="I75" s="62">
        <f>'дод 3'!J117+'дод 3'!J27</f>
        <v>761000</v>
      </c>
      <c r="J75" s="62">
        <f>'дод 3'!K117+'дод 3'!K27</f>
        <v>761000</v>
      </c>
      <c r="K75" s="62">
        <f>'дод 3'!L117+'дод 3'!L27</f>
        <v>0</v>
      </c>
      <c r="L75" s="62">
        <f>'дод 3'!M117+'дод 3'!M27</f>
        <v>0</v>
      </c>
      <c r="M75" s="62">
        <f>'дод 3'!N117+'дод 3'!N27</f>
        <v>0</v>
      </c>
      <c r="N75" s="62">
        <f>'дод 3'!O117+'дод 3'!O27</f>
        <v>761000</v>
      </c>
      <c r="O75" s="62">
        <f>'дод 3'!P117+'дод 3'!P27</f>
        <v>7480301</v>
      </c>
    </row>
    <row r="76" spans="1:15" s="84" customFormat="1" ht="31.5" customHeight="1" x14ac:dyDescent="0.25">
      <c r="A76" s="46" t="s">
        <v>340</v>
      </c>
      <c r="B76" s="46" t="s">
        <v>71</v>
      </c>
      <c r="C76" s="3" t="s">
        <v>342</v>
      </c>
      <c r="D76" s="62">
        <f>'дод 3'!E71+'дод 3'!E118+'дод 3'!E28</f>
        <v>34216136</v>
      </c>
      <c r="E76" s="62">
        <f>'дод 3'!F71+'дод 3'!F118+'дод 3'!F28</f>
        <v>34216136</v>
      </c>
      <c r="F76" s="62">
        <f>'дод 3'!G71+'дод 3'!G118+'дод 3'!G28</f>
        <v>0</v>
      </c>
      <c r="G76" s="62">
        <f>'дод 3'!H71+'дод 3'!H118+'дод 3'!H28</f>
        <v>0</v>
      </c>
      <c r="H76" s="62">
        <f>'дод 3'!I71+'дод 3'!I118+'дод 3'!I28</f>
        <v>0</v>
      </c>
      <c r="I76" s="62">
        <f>'дод 3'!J71+'дод 3'!J118+'дод 3'!J28</f>
        <v>35640</v>
      </c>
      <c r="J76" s="62">
        <f>'дод 3'!K71+'дод 3'!K118+'дод 3'!K28</f>
        <v>35640</v>
      </c>
      <c r="K76" s="62">
        <f>'дод 3'!L71+'дод 3'!L118+'дод 3'!L28</f>
        <v>0</v>
      </c>
      <c r="L76" s="62">
        <f>'дод 3'!M71+'дод 3'!M118+'дод 3'!M28</f>
        <v>0</v>
      </c>
      <c r="M76" s="62">
        <f>'дод 3'!N71+'дод 3'!N118+'дод 3'!N28</f>
        <v>0</v>
      </c>
      <c r="N76" s="62">
        <f>'дод 3'!O71+'дод 3'!O118+'дод 3'!O28</f>
        <v>35640</v>
      </c>
      <c r="O76" s="62">
        <f>'дод 3'!P71+'дод 3'!P118+'дод 3'!P28</f>
        <v>34251776</v>
      </c>
    </row>
    <row r="77" spans="1:15" s="82" customFormat="1" ht="19.5" customHeight="1" x14ac:dyDescent="0.25">
      <c r="A77" s="47" t="s">
        <v>90</v>
      </c>
      <c r="B77" s="50"/>
      <c r="C77" s="2" t="s">
        <v>91</v>
      </c>
      <c r="D77" s="61">
        <f t="shared" ref="D77:O77" si="6">D78+D79+D80+D81</f>
        <v>32732965</v>
      </c>
      <c r="E77" s="61">
        <f t="shared" si="6"/>
        <v>32732965</v>
      </c>
      <c r="F77" s="61">
        <f t="shared" si="6"/>
        <v>19079400</v>
      </c>
      <c r="G77" s="61">
        <f t="shared" si="6"/>
        <v>2209260</v>
      </c>
      <c r="H77" s="61">
        <f t="shared" si="6"/>
        <v>0</v>
      </c>
      <c r="I77" s="61">
        <f t="shared" si="6"/>
        <v>623495</v>
      </c>
      <c r="J77" s="61">
        <f t="shared" si="6"/>
        <v>587495</v>
      </c>
      <c r="K77" s="61">
        <f t="shared" si="6"/>
        <v>36000</v>
      </c>
      <c r="L77" s="61">
        <f t="shared" si="6"/>
        <v>12100</v>
      </c>
      <c r="M77" s="61">
        <f t="shared" si="6"/>
        <v>3300</v>
      </c>
      <c r="N77" s="61">
        <f t="shared" si="6"/>
        <v>587495</v>
      </c>
      <c r="O77" s="61">
        <f t="shared" si="6"/>
        <v>33356460</v>
      </c>
    </row>
    <row r="78" spans="1:15" ht="22.5" customHeight="1" x14ac:dyDescent="0.25">
      <c r="A78" s="46" t="s">
        <v>92</v>
      </c>
      <c r="B78" s="46" t="s">
        <v>93</v>
      </c>
      <c r="C78" s="3" t="s">
        <v>21</v>
      </c>
      <c r="D78" s="62">
        <f>'дод 3'!E129</f>
        <v>19303085</v>
      </c>
      <c r="E78" s="62">
        <f>'дод 3'!F129</f>
        <v>19303085</v>
      </c>
      <c r="F78" s="62">
        <f>'дод 3'!G129</f>
        <v>13804000</v>
      </c>
      <c r="G78" s="62">
        <f>'дод 3'!H129</f>
        <v>1346200</v>
      </c>
      <c r="H78" s="62">
        <f>'дод 3'!I129</f>
        <v>0</v>
      </c>
      <c r="I78" s="62">
        <f>'дод 3'!J129</f>
        <v>346795</v>
      </c>
      <c r="J78" s="62">
        <f>'дод 3'!K129</f>
        <v>316795</v>
      </c>
      <c r="K78" s="62">
        <f>'дод 3'!L129</f>
        <v>30000</v>
      </c>
      <c r="L78" s="62">
        <f>'дод 3'!M129</f>
        <v>12100</v>
      </c>
      <c r="M78" s="62">
        <f>'дод 3'!N129</f>
        <v>0</v>
      </c>
      <c r="N78" s="62">
        <f>'дод 3'!O129</f>
        <v>316795</v>
      </c>
      <c r="O78" s="62">
        <f>'дод 3'!P129</f>
        <v>19649880</v>
      </c>
    </row>
    <row r="79" spans="1:15" ht="33.75" customHeight="1" x14ac:dyDescent="0.25">
      <c r="A79" s="46" t="s">
        <v>376</v>
      </c>
      <c r="B79" s="46" t="s">
        <v>377</v>
      </c>
      <c r="C79" s="3" t="s">
        <v>378</v>
      </c>
      <c r="D79" s="62">
        <f>'дод 3'!E29+'дод 3'!E130</f>
        <v>5223280</v>
      </c>
      <c r="E79" s="62">
        <f>'дод 3'!F29+'дод 3'!F130</f>
        <v>5223280</v>
      </c>
      <c r="F79" s="62">
        <f>'дод 3'!G29+'дод 3'!G130</f>
        <v>2522400</v>
      </c>
      <c r="G79" s="62">
        <f>'дод 3'!H29+'дод 3'!H130</f>
        <v>738960</v>
      </c>
      <c r="H79" s="62">
        <f>'дод 3'!I29+'дод 3'!I130</f>
        <v>0</v>
      </c>
      <c r="I79" s="62">
        <f>'дод 3'!J29+'дод 3'!J130</f>
        <v>52700</v>
      </c>
      <c r="J79" s="62">
        <f>'дод 3'!K29+'дод 3'!K130</f>
        <v>46700</v>
      </c>
      <c r="K79" s="62">
        <f>'дод 3'!L29+'дод 3'!L130</f>
        <v>6000</v>
      </c>
      <c r="L79" s="62">
        <f>'дод 3'!M29+'дод 3'!M130</f>
        <v>0</v>
      </c>
      <c r="M79" s="62">
        <f>'дод 3'!N29+'дод 3'!N130</f>
        <v>3300</v>
      </c>
      <c r="N79" s="62">
        <f>'дод 3'!O29+'дод 3'!O130</f>
        <v>46700</v>
      </c>
      <c r="O79" s="62">
        <f>'дод 3'!P29+'дод 3'!P130</f>
        <v>5275980</v>
      </c>
    </row>
    <row r="80" spans="1:15" s="84" customFormat="1" ht="39.75" customHeight="1" x14ac:dyDescent="0.25">
      <c r="A80" s="46" t="s">
        <v>343</v>
      </c>
      <c r="B80" s="46" t="s">
        <v>94</v>
      </c>
      <c r="C80" s="3" t="s">
        <v>404</v>
      </c>
      <c r="D80" s="62">
        <f>'дод 3'!E30+'дод 3'!E131</f>
        <v>5240900</v>
      </c>
      <c r="E80" s="62">
        <f>'дод 3'!F30+'дод 3'!F131</f>
        <v>5240900</v>
      </c>
      <c r="F80" s="62">
        <f>'дод 3'!G30+'дод 3'!G131</f>
        <v>2753000</v>
      </c>
      <c r="G80" s="62">
        <f>'дод 3'!H30+'дод 3'!H131</f>
        <v>124100</v>
      </c>
      <c r="H80" s="62">
        <f>'дод 3'!I30+'дод 3'!I131</f>
        <v>0</v>
      </c>
      <c r="I80" s="62">
        <f>'дод 3'!J30+'дод 3'!J131</f>
        <v>224000</v>
      </c>
      <c r="J80" s="62">
        <f>'дод 3'!K30+'дод 3'!K131</f>
        <v>224000</v>
      </c>
      <c r="K80" s="62">
        <f>'дод 3'!L30+'дод 3'!L131</f>
        <v>0</v>
      </c>
      <c r="L80" s="62">
        <f>'дод 3'!M30+'дод 3'!M131</f>
        <v>0</v>
      </c>
      <c r="M80" s="62">
        <f>'дод 3'!N30+'дод 3'!N131</f>
        <v>0</v>
      </c>
      <c r="N80" s="62">
        <f>'дод 3'!O30+'дод 3'!O131</f>
        <v>224000</v>
      </c>
      <c r="O80" s="62">
        <f>'дод 3'!P30+'дод 3'!P131</f>
        <v>5464900</v>
      </c>
    </row>
    <row r="81" spans="1:15" s="84" customFormat="1" ht="30" customHeight="1" x14ac:dyDescent="0.25">
      <c r="A81" s="46" t="s">
        <v>344</v>
      </c>
      <c r="B81" s="46" t="s">
        <v>94</v>
      </c>
      <c r="C81" s="3" t="s">
        <v>345</v>
      </c>
      <c r="D81" s="62">
        <f>'дод 3'!E31+'дод 3'!E132</f>
        <v>2965700</v>
      </c>
      <c r="E81" s="62">
        <f>'дод 3'!F31+'дод 3'!F132</f>
        <v>2965700</v>
      </c>
      <c r="F81" s="62">
        <f>'дод 3'!G31+'дод 3'!G132</f>
        <v>0</v>
      </c>
      <c r="G81" s="62">
        <f>'дод 3'!H31+'дод 3'!H132</f>
        <v>0</v>
      </c>
      <c r="H81" s="62">
        <f>'дод 3'!I31+'дод 3'!I132</f>
        <v>0</v>
      </c>
      <c r="I81" s="62">
        <f>'дод 3'!J31+'дод 3'!J132</f>
        <v>0</v>
      </c>
      <c r="J81" s="62">
        <f>'дод 3'!K31+'дод 3'!K132</f>
        <v>0</v>
      </c>
      <c r="K81" s="62">
        <f>'дод 3'!L31+'дод 3'!L132</f>
        <v>0</v>
      </c>
      <c r="L81" s="62">
        <f>'дод 3'!M31+'дод 3'!M132</f>
        <v>0</v>
      </c>
      <c r="M81" s="62">
        <f>'дод 3'!N31+'дод 3'!N132</f>
        <v>0</v>
      </c>
      <c r="N81" s="62">
        <f>'дод 3'!O31+'дод 3'!O132</f>
        <v>0</v>
      </c>
      <c r="O81" s="62">
        <f>'дод 3'!P31+'дод 3'!P132</f>
        <v>2965700</v>
      </c>
    </row>
    <row r="82" spans="1:15" s="82" customFormat="1" ht="21.75" customHeight="1" x14ac:dyDescent="0.25">
      <c r="A82" s="47" t="s">
        <v>97</v>
      </c>
      <c r="B82" s="50"/>
      <c r="C82" s="2" t="s">
        <v>98</v>
      </c>
      <c r="D82" s="61">
        <f t="shared" ref="D82:O82" si="7">D83+D84+D85+D86+D87+D88</f>
        <v>46727470</v>
      </c>
      <c r="E82" s="61">
        <f t="shared" si="7"/>
        <v>46727470</v>
      </c>
      <c r="F82" s="61">
        <f t="shared" si="7"/>
        <v>17286800</v>
      </c>
      <c r="G82" s="61">
        <f t="shared" si="7"/>
        <v>1430790</v>
      </c>
      <c r="H82" s="61">
        <f t="shared" si="7"/>
        <v>0</v>
      </c>
      <c r="I82" s="61">
        <f t="shared" si="7"/>
        <v>2700570</v>
      </c>
      <c r="J82" s="61">
        <f t="shared" si="7"/>
        <v>2521450</v>
      </c>
      <c r="K82" s="61">
        <f t="shared" si="7"/>
        <v>179120</v>
      </c>
      <c r="L82" s="61">
        <f t="shared" si="7"/>
        <v>91105</v>
      </c>
      <c r="M82" s="61">
        <f t="shared" si="7"/>
        <v>51050</v>
      </c>
      <c r="N82" s="61">
        <f t="shared" si="7"/>
        <v>2521450</v>
      </c>
      <c r="O82" s="61">
        <f t="shared" si="7"/>
        <v>49428040</v>
      </c>
    </row>
    <row r="83" spans="1:15" s="84" customFormat="1" ht="43.5" customHeight="1" x14ac:dyDescent="0.25">
      <c r="A83" s="46" t="s">
        <v>99</v>
      </c>
      <c r="B83" s="46" t="s">
        <v>100</v>
      </c>
      <c r="C83" s="3" t="s">
        <v>29</v>
      </c>
      <c r="D83" s="62">
        <f>'дод 3'!E32</f>
        <v>1761000</v>
      </c>
      <c r="E83" s="62">
        <f>'дод 3'!F32</f>
        <v>1761000</v>
      </c>
      <c r="F83" s="62">
        <f>'дод 3'!G32</f>
        <v>0</v>
      </c>
      <c r="G83" s="62">
        <f>'дод 3'!H32</f>
        <v>0</v>
      </c>
      <c r="H83" s="62">
        <f>'дод 3'!I32</f>
        <v>0</v>
      </c>
      <c r="I83" s="62">
        <f>'дод 3'!J32</f>
        <v>0</v>
      </c>
      <c r="J83" s="62">
        <f>'дод 3'!K32</f>
        <v>0</v>
      </c>
      <c r="K83" s="62">
        <f>'дод 3'!L32</f>
        <v>0</v>
      </c>
      <c r="L83" s="62">
        <f>'дод 3'!M32</f>
        <v>0</v>
      </c>
      <c r="M83" s="62">
        <f>'дод 3'!N32</f>
        <v>0</v>
      </c>
      <c r="N83" s="62">
        <f>'дод 3'!O32</f>
        <v>0</v>
      </c>
      <c r="O83" s="62">
        <f>'дод 3'!P32</f>
        <v>1761000</v>
      </c>
    </row>
    <row r="84" spans="1:15" s="84" customFormat="1" ht="39.75" customHeight="1" x14ac:dyDescent="0.25">
      <c r="A84" s="46" t="s">
        <v>101</v>
      </c>
      <c r="B84" s="46" t="s">
        <v>100</v>
      </c>
      <c r="C84" s="3" t="s">
        <v>22</v>
      </c>
      <c r="D84" s="62">
        <f>'дод 3'!E33</f>
        <v>2275000</v>
      </c>
      <c r="E84" s="62">
        <f>'дод 3'!F33</f>
        <v>2275000</v>
      </c>
      <c r="F84" s="62">
        <f>'дод 3'!G33</f>
        <v>0</v>
      </c>
      <c r="G84" s="62">
        <f>'дод 3'!H33</f>
        <v>0</v>
      </c>
      <c r="H84" s="62">
        <f>'дод 3'!I33</f>
        <v>0</v>
      </c>
      <c r="I84" s="62">
        <f>'дод 3'!J33</f>
        <v>0</v>
      </c>
      <c r="J84" s="62">
        <f>'дод 3'!K33</f>
        <v>0</v>
      </c>
      <c r="K84" s="62">
        <f>'дод 3'!L33</f>
        <v>0</v>
      </c>
      <c r="L84" s="62">
        <f>'дод 3'!M33</f>
        <v>0</v>
      </c>
      <c r="M84" s="62">
        <f>'дод 3'!N33</f>
        <v>0</v>
      </c>
      <c r="N84" s="62">
        <f>'дод 3'!O33</f>
        <v>0</v>
      </c>
      <c r="O84" s="62">
        <f>'дод 3'!P33</f>
        <v>2275000</v>
      </c>
    </row>
    <row r="85" spans="1:15" s="84" customFormat="1" ht="36.75" customHeight="1" x14ac:dyDescent="0.25">
      <c r="A85" s="46" t="s">
        <v>137</v>
      </c>
      <c r="B85" s="46" t="s">
        <v>100</v>
      </c>
      <c r="C85" s="3" t="s">
        <v>30</v>
      </c>
      <c r="D85" s="62">
        <f>'дод 3'!E72+'дод 3'!E34</f>
        <v>20353330</v>
      </c>
      <c r="E85" s="62">
        <f>'дод 3'!F72+'дод 3'!F34</f>
        <v>20353330</v>
      </c>
      <c r="F85" s="62">
        <f>'дод 3'!G72+'дод 3'!G34</f>
        <v>14839900</v>
      </c>
      <c r="G85" s="62">
        <f>'дод 3'!H72+'дод 3'!H34</f>
        <v>1060690</v>
      </c>
      <c r="H85" s="62">
        <f>'дод 3'!I72+'дод 3'!I34</f>
        <v>0</v>
      </c>
      <c r="I85" s="62">
        <f>'дод 3'!J72+'дод 3'!J34</f>
        <v>1478000</v>
      </c>
      <c r="J85" s="62">
        <f>'дод 3'!K72+'дод 3'!K34</f>
        <v>1478000</v>
      </c>
      <c r="K85" s="62">
        <f>'дод 3'!L72+'дод 3'!L34</f>
        <v>0</v>
      </c>
      <c r="L85" s="62">
        <f>'дод 3'!M72+'дод 3'!M34</f>
        <v>0</v>
      </c>
      <c r="M85" s="62">
        <f>'дод 3'!N72+'дод 3'!N34</f>
        <v>0</v>
      </c>
      <c r="N85" s="62">
        <f>'дод 3'!O72+'дод 3'!O34</f>
        <v>1478000</v>
      </c>
      <c r="O85" s="62">
        <f>'дод 3'!P72+'дод 3'!P34</f>
        <v>21831330</v>
      </c>
    </row>
    <row r="86" spans="1:15" s="84" customFormat="1" ht="31.5" customHeight="1" x14ac:dyDescent="0.25">
      <c r="A86" s="46" t="s">
        <v>138</v>
      </c>
      <c r="B86" s="46" t="s">
        <v>100</v>
      </c>
      <c r="C86" s="3" t="s">
        <v>31</v>
      </c>
      <c r="D86" s="62">
        <f>'дод 3'!E35</f>
        <v>11306630</v>
      </c>
      <c r="E86" s="62">
        <f>'дод 3'!F35</f>
        <v>11306630</v>
      </c>
      <c r="F86" s="62">
        <f>'дод 3'!G35</f>
        <v>0</v>
      </c>
      <c r="G86" s="62">
        <f>'дод 3'!H35</f>
        <v>0</v>
      </c>
      <c r="H86" s="62">
        <f>'дод 3'!I35</f>
        <v>0</v>
      </c>
      <c r="I86" s="62">
        <f>'дод 3'!J35</f>
        <v>100000</v>
      </c>
      <c r="J86" s="62">
        <f>'дод 3'!K35</f>
        <v>100000</v>
      </c>
      <c r="K86" s="62">
        <f>'дод 3'!L35</f>
        <v>0</v>
      </c>
      <c r="L86" s="62">
        <f>'дод 3'!M35</f>
        <v>0</v>
      </c>
      <c r="M86" s="62">
        <f>'дод 3'!N35</f>
        <v>0</v>
      </c>
      <c r="N86" s="62">
        <f>'дод 3'!O35</f>
        <v>100000</v>
      </c>
      <c r="O86" s="62">
        <f>'дод 3'!P35</f>
        <v>11406630</v>
      </c>
    </row>
    <row r="87" spans="1:15" s="84" customFormat="1" ht="60" customHeight="1" x14ac:dyDescent="0.25">
      <c r="A87" s="46" t="s">
        <v>133</v>
      </c>
      <c r="B87" s="46" t="s">
        <v>100</v>
      </c>
      <c r="C87" s="3" t="s">
        <v>134</v>
      </c>
      <c r="D87" s="62">
        <f>'дод 3'!E36</f>
        <v>3943120</v>
      </c>
      <c r="E87" s="62">
        <f>'дод 3'!F36</f>
        <v>3943120</v>
      </c>
      <c r="F87" s="62">
        <f>'дод 3'!G36</f>
        <v>2446900</v>
      </c>
      <c r="G87" s="62">
        <f>'дод 3'!H36</f>
        <v>370100</v>
      </c>
      <c r="H87" s="62">
        <f>'дод 3'!I36</f>
        <v>0</v>
      </c>
      <c r="I87" s="62">
        <f>'дод 3'!J36</f>
        <v>1079120</v>
      </c>
      <c r="J87" s="62">
        <f>'дод 3'!K36</f>
        <v>900000</v>
      </c>
      <c r="K87" s="62">
        <f>'дод 3'!L36</f>
        <v>179120</v>
      </c>
      <c r="L87" s="62">
        <f>'дод 3'!M36</f>
        <v>91105</v>
      </c>
      <c r="M87" s="62">
        <f>'дод 3'!N36</f>
        <v>51050</v>
      </c>
      <c r="N87" s="62">
        <f>'дод 3'!O36</f>
        <v>900000</v>
      </c>
      <c r="O87" s="62">
        <f>'дод 3'!P36</f>
        <v>5022240</v>
      </c>
    </row>
    <row r="88" spans="1:15" s="84" customFormat="1" ht="42" customHeight="1" x14ac:dyDescent="0.25">
      <c r="A88" s="46" t="s">
        <v>136</v>
      </c>
      <c r="B88" s="46" t="s">
        <v>100</v>
      </c>
      <c r="C88" s="3" t="s">
        <v>135</v>
      </c>
      <c r="D88" s="62">
        <f>'дод 3'!E37</f>
        <v>7088390</v>
      </c>
      <c r="E88" s="62">
        <f>'дод 3'!F37</f>
        <v>7088390</v>
      </c>
      <c r="F88" s="62">
        <f>'дод 3'!G37</f>
        <v>0</v>
      </c>
      <c r="G88" s="62">
        <f>'дод 3'!H37</f>
        <v>0</v>
      </c>
      <c r="H88" s="62">
        <f>'дод 3'!I37</f>
        <v>0</v>
      </c>
      <c r="I88" s="62">
        <f>'дод 3'!J37</f>
        <v>43450</v>
      </c>
      <c r="J88" s="62">
        <f>'дод 3'!K37</f>
        <v>43450</v>
      </c>
      <c r="K88" s="62">
        <f>'дод 3'!L37</f>
        <v>0</v>
      </c>
      <c r="L88" s="62">
        <f>'дод 3'!M37</f>
        <v>0</v>
      </c>
      <c r="M88" s="62">
        <f>'дод 3'!N37</f>
        <v>0</v>
      </c>
      <c r="N88" s="62">
        <f>'дод 3'!O37</f>
        <v>43450</v>
      </c>
      <c r="O88" s="62">
        <f>'дод 3'!P37</f>
        <v>7131840</v>
      </c>
    </row>
    <row r="89" spans="1:15" s="82" customFormat="1" ht="27" customHeight="1" x14ac:dyDescent="0.25">
      <c r="A89" s="47" t="s">
        <v>85</v>
      </c>
      <c r="B89" s="50"/>
      <c r="C89" s="2" t="s">
        <v>86</v>
      </c>
      <c r="D89" s="61">
        <f>D90+D91+D92+D93+D94+D95+D96+D97</f>
        <v>238980678.95999998</v>
      </c>
      <c r="E89" s="61">
        <f t="shared" ref="E89:O89" si="8">E90+E91+E92+E93+E94+E95+E96+E97</f>
        <v>205786240.95999998</v>
      </c>
      <c r="F89" s="61">
        <f t="shared" si="8"/>
        <v>0</v>
      </c>
      <c r="G89" s="61">
        <f t="shared" si="8"/>
        <v>27658106</v>
      </c>
      <c r="H89" s="61">
        <f t="shared" si="8"/>
        <v>33194438</v>
      </c>
      <c r="I89" s="61">
        <f t="shared" si="8"/>
        <v>81441232.75999999</v>
      </c>
      <c r="J89" s="61">
        <f t="shared" si="8"/>
        <v>81283529.699999988</v>
      </c>
      <c r="K89" s="61">
        <f t="shared" si="8"/>
        <v>0</v>
      </c>
      <c r="L89" s="61">
        <f t="shared" si="8"/>
        <v>0</v>
      </c>
      <c r="M89" s="61">
        <f t="shared" si="8"/>
        <v>0</v>
      </c>
      <c r="N89" s="61">
        <f t="shared" si="8"/>
        <v>81441232.75999999</v>
      </c>
      <c r="O89" s="61">
        <f t="shared" si="8"/>
        <v>320421911.72000003</v>
      </c>
    </row>
    <row r="90" spans="1:15" s="84" customFormat="1" ht="33.75" customHeight="1" x14ac:dyDescent="0.25">
      <c r="A90" s="46" t="s">
        <v>155</v>
      </c>
      <c r="B90" s="46" t="s">
        <v>87</v>
      </c>
      <c r="C90" s="3" t="s">
        <v>156</v>
      </c>
      <c r="D90" s="62">
        <f>'дод 3'!E140</f>
        <v>0</v>
      </c>
      <c r="E90" s="62">
        <f>'дод 3'!F140</f>
        <v>0</v>
      </c>
      <c r="F90" s="62">
        <f>'дод 3'!G140</f>
        <v>0</v>
      </c>
      <c r="G90" s="62">
        <f>'дод 3'!H140</f>
        <v>0</v>
      </c>
      <c r="H90" s="62">
        <f>'дод 3'!I140</f>
        <v>0</v>
      </c>
      <c r="I90" s="62">
        <f>'дод 3'!J140</f>
        <v>12118067.93</v>
      </c>
      <c r="J90" s="62">
        <f>'дод 3'!K140</f>
        <v>12088067.93</v>
      </c>
      <c r="K90" s="62">
        <f>'дод 3'!L140</f>
        <v>0</v>
      </c>
      <c r="L90" s="62">
        <f>'дод 3'!M140</f>
        <v>0</v>
      </c>
      <c r="M90" s="62">
        <f>'дод 3'!N140</f>
        <v>0</v>
      </c>
      <c r="N90" s="62">
        <f>'дод 3'!O140</f>
        <v>12118067.93</v>
      </c>
      <c r="O90" s="62">
        <f>'дод 3'!P140</f>
        <v>12118067.93</v>
      </c>
    </row>
    <row r="91" spans="1:15" s="84" customFormat="1" ht="36.75" customHeight="1" x14ac:dyDescent="0.25">
      <c r="A91" s="46" t="s">
        <v>157</v>
      </c>
      <c r="B91" s="46" t="s">
        <v>89</v>
      </c>
      <c r="C91" s="3" t="s">
        <v>178</v>
      </c>
      <c r="D91" s="62">
        <f>'дод 3'!E141</f>
        <v>30925000</v>
      </c>
      <c r="E91" s="62">
        <f>'дод 3'!F141</f>
        <v>425000</v>
      </c>
      <c r="F91" s="62">
        <f>'дод 3'!G141</f>
        <v>0</v>
      </c>
      <c r="G91" s="62">
        <f>'дод 3'!H141</f>
        <v>0</v>
      </c>
      <c r="H91" s="62">
        <f>'дод 3'!I141</f>
        <v>30500000</v>
      </c>
      <c r="I91" s="62">
        <f>'дод 3'!J141</f>
        <v>1721000</v>
      </c>
      <c r="J91" s="62">
        <f>'дод 3'!K141</f>
        <v>1721000</v>
      </c>
      <c r="K91" s="62">
        <f>'дод 3'!L141</f>
        <v>0</v>
      </c>
      <c r="L91" s="62">
        <f>'дод 3'!M141</f>
        <v>0</v>
      </c>
      <c r="M91" s="62">
        <f>'дод 3'!N141</f>
        <v>0</v>
      </c>
      <c r="N91" s="62">
        <f>'дод 3'!O141</f>
        <v>1721000</v>
      </c>
      <c r="O91" s="62">
        <f>'дод 3'!P141</f>
        <v>32646000</v>
      </c>
    </row>
    <row r="92" spans="1:15" s="84" customFormat="1" ht="36.75" customHeight="1" x14ac:dyDescent="0.25">
      <c r="A92" s="49" t="s">
        <v>302</v>
      </c>
      <c r="B92" s="49" t="s">
        <v>89</v>
      </c>
      <c r="C92" s="3" t="s">
        <v>303</v>
      </c>
      <c r="D92" s="62">
        <f>'дод 3'!E142</f>
        <v>193887</v>
      </c>
      <c r="E92" s="62">
        <f>'дод 3'!F142</f>
        <v>193887</v>
      </c>
      <c r="F92" s="62">
        <f>'дод 3'!G142</f>
        <v>0</v>
      </c>
      <c r="G92" s="62">
        <f>'дод 3'!H142</f>
        <v>0</v>
      </c>
      <c r="H92" s="62">
        <f>'дод 3'!I142</f>
        <v>0</v>
      </c>
      <c r="I92" s="62">
        <f>'дод 3'!J142</f>
        <v>13408448.83</v>
      </c>
      <c r="J92" s="62">
        <f>'дод 3'!K142</f>
        <v>13358448.83</v>
      </c>
      <c r="K92" s="62">
        <f>'дод 3'!L142</f>
        <v>0</v>
      </c>
      <c r="L92" s="62">
        <f>'дод 3'!M142</f>
        <v>0</v>
      </c>
      <c r="M92" s="62">
        <f>'дод 3'!N142</f>
        <v>0</v>
      </c>
      <c r="N92" s="62">
        <f>'дод 3'!O142</f>
        <v>13408448.83</v>
      </c>
      <c r="O92" s="62">
        <f>'дод 3'!P142</f>
        <v>13602335.83</v>
      </c>
    </row>
    <row r="93" spans="1:15" s="84" customFormat="1" ht="33" customHeight="1" x14ac:dyDescent="0.25">
      <c r="A93" s="46" t="s">
        <v>305</v>
      </c>
      <c r="B93" s="46" t="s">
        <v>89</v>
      </c>
      <c r="C93" s="3" t="s">
        <v>405</v>
      </c>
      <c r="D93" s="62">
        <f>'дод 3'!E143</f>
        <v>100000</v>
      </c>
      <c r="E93" s="62">
        <f>'дод 3'!F143</f>
        <v>100000</v>
      </c>
      <c r="F93" s="62">
        <f>'дод 3'!G143</f>
        <v>0</v>
      </c>
      <c r="G93" s="62">
        <f>'дод 3'!H143</f>
        <v>0</v>
      </c>
      <c r="H93" s="62">
        <f>'дод 3'!I143</f>
        <v>0</v>
      </c>
      <c r="I93" s="62">
        <f>'дод 3'!J143</f>
        <v>0</v>
      </c>
      <c r="J93" s="62">
        <f>'дод 3'!K143</f>
        <v>0</v>
      </c>
      <c r="K93" s="62">
        <f>'дод 3'!L143</f>
        <v>0</v>
      </c>
      <c r="L93" s="62">
        <f>'дод 3'!M143</f>
        <v>0</v>
      </c>
      <c r="M93" s="62">
        <f>'дод 3'!N143</f>
        <v>0</v>
      </c>
      <c r="N93" s="62">
        <f>'дод 3'!O143</f>
        <v>0</v>
      </c>
      <c r="O93" s="62">
        <f>'дод 3'!P143</f>
        <v>100000</v>
      </c>
    </row>
    <row r="94" spans="1:15" s="84" customFormat="1" ht="52.5" customHeight="1" x14ac:dyDescent="0.25">
      <c r="A94" s="46" t="s">
        <v>88</v>
      </c>
      <c r="B94" s="46" t="s">
        <v>89</v>
      </c>
      <c r="C94" s="3" t="s">
        <v>160</v>
      </c>
      <c r="D94" s="62">
        <f>'дод 3'!E144</f>
        <v>2605232</v>
      </c>
      <c r="E94" s="62">
        <f>'дод 3'!F144</f>
        <v>0</v>
      </c>
      <c r="F94" s="62">
        <f>'дод 3'!G144</f>
        <v>0</v>
      </c>
      <c r="G94" s="62">
        <f>'дод 3'!H144</f>
        <v>0</v>
      </c>
      <c r="H94" s="62">
        <f>'дод 3'!I144</f>
        <v>2605232</v>
      </c>
      <c r="I94" s="62">
        <f>'дод 3'!J144</f>
        <v>2000000</v>
      </c>
      <c r="J94" s="62">
        <f>'дод 3'!K144</f>
        <v>2000000</v>
      </c>
      <c r="K94" s="62">
        <f>'дод 3'!L144</f>
        <v>0</v>
      </c>
      <c r="L94" s="62">
        <f>'дод 3'!M144</f>
        <v>0</v>
      </c>
      <c r="M94" s="62">
        <f>'дод 3'!N144</f>
        <v>0</v>
      </c>
      <c r="N94" s="62">
        <f>'дод 3'!O144</f>
        <v>2000000</v>
      </c>
      <c r="O94" s="62">
        <f>'дод 3'!P144</f>
        <v>4605232</v>
      </c>
    </row>
    <row r="95" spans="1:15" ht="30" customHeight="1" x14ac:dyDescent="0.25">
      <c r="A95" s="46" t="s">
        <v>158</v>
      </c>
      <c r="B95" s="46" t="s">
        <v>89</v>
      </c>
      <c r="C95" s="3" t="s">
        <v>159</v>
      </c>
      <c r="D95" s="62">
        <f>'дод 3'!E145+'дод 3'!E169</f>
        <v>192550441.56999999</v>
      </c>
      <c r="E95" s="62">
        <f>'дод 3'!F145+'дод 3'!F169</f>
        <v>192550441.56999999</v>
      </c>
      <c r="F95" s="62">
        <f>'дод 3'!G145+'дод 3'!G169</f>
        <v>0</v>
      </c>
      <c r="G95" s="62">
        <f>'дод 3'!H145+'дод 3'!H169</f>
        <v>27615706</v>
      </c>
      <c r="H95" s="62">
        <f>'дод 3'!I145+'дод 3'!I169</f>
        <v>0</v>
      </c>
      <c r="I95" s="62">
        <f>'дод 3'!J145+'дод 3'!J169</f>
        <v>51315304.150000006</v>
      </c>
      <c r="J95" s="62">
        <f>'дод 3'!K145+'дод 3'!K169</f>
        <v>51315304.150000006</v>
      </c>
      <c r="K95" s="62">
        <f>'дод 3'!L145+'дод 3'!L169</f>
        <v>0</v>
      </c>
      <c r="L95" s="62">
        <f>'дод 3'!M145+'дод 3'!M169</f>
        <v>0</v>
      </c>
      <c r="M95" s="62">
        <f>'дод 3'!N145+'дод 3'!N169</f>
        <v>0</v>
      </c>
      <c r="N95" s="62">
        <f>'дод 3'!O145+'дод 3'!O169</f>
        <v>51315304.150000006</v>
      </c>
      <c r="O95" s="62">
        <f>'дод 3'!P145+'дод 3'!P169</f>
        <v>243865745.72</v>
      </c>
    </row>
    <row r="96" spans="1:15" s="84" customFormat="1" ht="57" customHeight="1" x14ac:dyDescent="0.25">
      <c r="A96" s="46" t="s">
        <v>162</v>
      </c>
      <c r="B96" s="51" t="s">
        <v>87</v>
      </c>
      <c r="C96" s="3" t="s">
        <v>163</v>
      </c>
      <c r="D96" s="62">
        <f>'дод 3'!E170</f>
        <v>84906</v>
      </c>
      <c r="E96" s="62">
        <f>'дод 3'!F170</f>
        <v>0</v>
      </c>
      <c r="F96" s="62">
        <f>'дод 3'!G170</f>
        <v>0</v>
      </c>
      <c r="G96" s="62">
        <f>'дод 3'!H170</f>
        <v>0</v>
      </c>
      <c r="H96" s="62">
        <f>'дод 3'!I170</f>
        <v>84906</v>
      </c>
      <c r="I96" s="62">
        <f>'дод 3'!J170</f>
        <v>77703.06</v>
      </c>
      <c r="J96" s="62">
        <f>'дод 3'!K170</f>
        <v>0</v>
      </c>
      <c r="K96" s="62">
        <f>'дод 3'!L170</f>
        <v>0</v>
      </c>
      <c r="L96" s="62">
        <f>'дод 3'!M170</f>
        <v>0</v>
      </c>
      <c r="M96" s="62">
        <f>'дод 3'!N170</f>
        <v>0</v>
      </c>
      <c r="N96" s="62">
        <f>'дод 3'!O170</f>
        <v>77703.06</v>
      </c>
      <c r="O96" s="62">
        <f>'дод 3'!P170</f>
        <v>162609.06</v>
      </c>
    </row>
    <row r="97" spans="1:15" ht="39.75" customHeight="1" x14ac:dyDescent="0.25">
      <c r="A97" s="46" t="s">
        <v>172</v>
      </c>
      <c r="B97" s="51" t="s">
        <v>364</v>
      </c>
      <c r="C97" s="3" t="s">
        <v>173</v>
      </c>
      <c r="D97" s="62">
        <f>'дод 3'!E146+'дод 3'!E183</f>
        <v>12521212.390000001</v>
      </c>
      <c r="E97" s="62">
        <f>'дод 3'!F146+'дод 3'!F183</f>
        <v>12516912.390000001</v>
      </c>
      <c r="F97" s="62">
        <f>'дод 3'!G146+'дод 3'!G183</f>
        <v>0</v>
      </c>
      <c r="G97" s="62">
        <f>'дод 3'!H146+'дод 3'!H183</f>
        <v>42400</v>
      </c>
      <c r="H97" s="62">
        <f>'дод 3'!I146+'дод 3'!I183</f>
        <v>4300</v>
      </c>
      <c r="I97" s="62">
        <f>'дод 3'!J146+'дод 3'!J183</f>
        <v>800708.78999999911</v>
      </c>
      <c r="J97" s="62">
        <f>'дод 3'!K146+'дод 3'!K183</f>
        <v>800708.78999999911</v>
      </c>
      <c r="K97" s="62">
        <f>'дод 3'!L146+'дод 3'!L183</f>
        <v>0</v>
      </c>
      <c r="L97" s="62">
        <f>'дод 3'!M146+'дод 3'!M183</f>
        <v>0</v>
      </c>
      <c r="M97" s="62">
        <f>'дод 3'!N146+'дод 3'!N183</f>
        <v>0</v>
      </c>
      <c r="N97" s="62">
        <f>'дод 3'!O146+'дод 3'!O183</f>
        <v>800708.78999999911</v>
      </c>
      <c r="O97" s="62">
        <f>'дод 3'!P146+'дод 3'!P183</f>
        <v>13321921.18</v>
      </c>
    </row>
    <row r="98" spans="1:15" s="82" customFormat="1" ht="29.25" customHeight="1" x14ac:dyDescent="0.25">
      <c r="A98" s="47" t="s">
        <v>164</v>
      </c>
      <c r="B98" s="50"/>
      <c r="C98" s="2" t="s">
        <v>165</v>
      </c>
      <c r="D98" s="61">
        <f>D100+D102+D114+D121+D123+D132</f>
        <v>50749667</v>
      </c>
      <c r="E98" s="61">
        <f t="shared" ref="E98:O98" si="9">E100+E102+E114+E121+E123+E132</f>
        <v>20932667</v>
      </c>
      <c r="F98" s="61">
        <f t="shared" si="9"/>
        <v>0</v>
      </c>
      <c r="G98" s="61">
        <f t="shared" si="9"/>
        <v>0</v>
      </c>
      <c r="H98" s="61">
        <f t="shared" si="9"/>
        <v>29817000</v>
      </c>
      <c r="I98" s="61">
        <f>I100+I102+I114+I121+I123+I132</f>
        <v>332951633.25999999</v>
      </c>
      <c r="J98" s="61">
        <f t="shared" si="9"/>
        <v>238442501.13</v>
      </c>
      <c r="K98" s="61">
        <f t="shared" si="9"/>
        <v>82171363.010000005</v>
      </c>
      <c r="L98" s="61">
        <f t="shared" si="9"/>
        <v>0</v>
      </c>
      <c r="M98" s="61">
        <f t="shared" si="9"/>
        <v>0</v>
      </c>
      <c r="N98" s="61">
        <f t="shared" si="9"/>
        <v>250780270.25</v>
      </c>
      <c r="O98" s="61">
        <f t="shared" si="9"/>
        <v>383701300.25999999</v>
      </c>
    </row>
    <row r="99" spans="1:15" s="82" customFormat="1" ht="18.75" customHeight="1" x14ac:dyDescent="0.25">
      <c r="A99" s="47"/>
      <c r="B99" s="50"/>
      <c r="C99" s="2" t="s">
        <v>308</v>
      </c>
      <c r="D99" s="61">
        <f>D103+D115</f>
        <v>0</v>
      </c>
      <c r="E99" s="61">
        <f t="shared" ref="E99:O99" si="10">E103+E115</f>
        <v>0</v>
      </c>
      <c r="F99" s="61">
        <f t="shared" si="10"/>
        <v>0</v>
      </c>
      <c r="G99" s="61">
        <f t="shared" si="10"/>
        <v>0</v>
      </c>
      <c r="H99" s="61">
        <f t="shared" si="10"/>
        <v>0</v>
      </c>
      <c r="I99" s="61">
        <f t="shared" si="10"/>
        <v>81187498.930000007</v>
      </c>
      <c r="J99" s="61">
        <f t="shared" si="10"/>
        <v>1187498.93</v>
      </c>
      <c r="K99" s="61">
        <f t="shared" si="10"/>
        <v>80000000</v>
      </c>
      <c r="L99" s="61">
        <f t="shared" si="10"/>
        <v>0</v>
      </c>
      <c r="M99" s="61">
        <f t="shared" si="10"/>
        <v>0</v>
      </c>
      <c r="N99" s="61">
        <f t="shared" si="10"/>
        <v>1187498.93</v>
      </c>
      <c r="O99" s="61">
        <f t="shared" si="10"/>
        <v>81187498.930000007</v>
      </c>
    </row>
    <row r="100" spans="1:15" s="82" customFormat="1" x14ac:dyDescent="0.25">
      <c r="A100" s="47" t="s">
        <v>174</v>
      </c>
      <c r="B100" s="50"/>
      <c r="C100" s="2" t="s">
        <v>175</v>
      </c>
      <c r="D100" s="61">
        <f t="shared" ref="D100:O100" si="11">D101</f>
        <v>700000</v>
      </c>
      <c r="E100" s="61">
        <f t="shared" si="11"/>
        <v>700000</v>
      </c>
      <c r="F100" s="61">
        <f t="shared" si="11"/>
        <v>0</v>
      </c>
      <c r="G100" s="61">
        <f t="shared" si="11"/>
        <v>0</v>
      </c>
      <c r="H100" s="61">
        <f t="shared" si="11"/>
        <v>0</v>
      </c>
      <c r="I100" s="61">
        <f t="shared" si="11"/>
        <v>0</v>
      </c>
      <c r="J100" s="61">
        <f t="shared" si="11"/>
        <v>0</v>
      </c>
      <c r="K100" s="61">
        <f t="shared" si="11"/>
        <v>0</v>
      </c>
      <c r="L100" s="61">
        <f t="shared" si="11"/>
        <v>0</v>
      </c>
      <c r="M100" s="61">
        <f t="shared" si="11"/>
        <v>0</v>
      </c>
      <c r="N100" s="61">
        <f t="shared" si="11"/>
        <v>0</v>
      </c>
      <c r="O100" s="61">
        <f t="shared" si="11"/>
        <v>700000</v>
      </c>
    </row>
    <row r="101" spans="1:15" ht="24" customHeight="1" x14ac:dyDescent="0.25">
      <c r="A101" s="46" t="s">
        <v>166</v>
      </c>
      <c r="B101" s="46" t="s">
        <v>103</v>
      </c>
      <c r="C101" s="3" t="s">
        <v>406</v>
      </c>
      <c r="D101" s="62">
        <f>'дод 3'!E191</f>
        <v>700000</v>
      </c>
      <c r="E101" s="62">
        <f>'дод 3'!F191</f>
        <v>700000</v>
      </c>
      <c r="F101" s="62">
        <f>'дод 3'!G191</f>
        <v>0</v>
      </c>
      <c r="G101" s="62">
        <f>'дод 3'!H191</f>
        <v>0</v>
      </c>
      <c r="H101" s="62">
        <f>'дод 3'!I191</f>
        <v>0</v>
      </c>
      <c r="I101" s="62">
        <f>'дод 3'!J191</f>
        <v>0</v>
      </c>
      <c r="J101" s="62">
        <f>'дод 3'!K191</f>
        <v>0</v>
      </c>
      <c r="K101" s="62">
        <f>'дод 3'!L191</f>
        <v>0</v>
      </c>
      <c r="L101" s="62">
        <f>'дод 3'!M191</f>
        <v>0</v>
      </c>
      <c r="M101" s="62">
        <f>'дод 3'!N191</f>
        <v>0</v>
      </c>
      <c r="N101" s="62">
        <f>'дод 3'!O191</f>
        <v>0</v>
      </c>
      <c r="O101" s="62">
        <f>'дод 3'!P191</f>
        <v>700000</v>
      </c>
    </row>
    <row r="102" spans="1:15" s="82" customFormat="1" ht="21" customHeight="1" x14ac:dyDescent="0.25">
      <c r="A102" s="47" t="s">
        <v>117</v>
      </c>
      <c r="B102" s="47"/>
      <c r="C102" s="13" t="s">
        <v>167</v>
      </c>
      <c r="D102" s="61">
        <f>D104+D105+D106+D108+D109+D111+D107+D110+D112</f>
        <v>0</v>
      </c>
      <c r="E102" s="61">
        <f t="shared" ref="E102:O102" si="12">E104+E105+E106+E108+E109+E111+E107+E110+E112</f>
        <v>0</v>
      </c>
      <c r="F102" s="61">
        <f t="shared" si="12"/>
        <v>0</v>
      </c>
      <c r="G102" s="61">
        <f t="shared" si="12"/>
        <v>0</v>
      </c>
      <c r="H102" s="61">
        <f t="shared" si="12"/>
        <v>0</v>
      </c>
      <c r="I102" s="61">
        <f t="shared" si="12"/>
        <v>92977449.129999995</v>
      </c>
      <c r="J102" s="61">
        <f t="shared" si="12"/>
        <v>92977449.129999995</v>
      </c>
      <c r="K102" s="61">
        <f t="shared" si="12"/>
        <v>0</v>
      </c>
      <c r="L102" s="61">
        <f t="shared" si="12"/>
        <v>0</v>
      </c>
      <c r="M102" s="61">
        <f t="shared" si="12"/>
        <v>0</v>
      </c>
      <c r="N102" s="61">
        <f t="shared" si="12"/>
        <v>92977449.129999995</v>
      </c>
      <c r="O102" s="61">
        <f t="shared" si="12"/>
        <v>92977449.129999995</v>
      </c>
    </row>
    <row r="103" spans="1:15" s="82" customFormat="1" ht="21" customHeight="1" x14ac:dyDescent="0.25">
      <c r="A103" s="47"/>
      <c r="B103" s="47"/>
      <c r="C103" s="2" t="s">
        <v>308</v>
      </c>
      <c r="D103" s="61">
        <f>D113</f>
        <v>0</v>
      </c>
      <c r="E103" s="61">
        <f t="shared" ref="E103:O103" si="13">E113</f>
        <v>0</v>
      </c>
      <c r="F103" s="61">
        <f t="shared" si="13"/>
        <v>0</v>
      </c>
      <c r="G103" s="61">
        <f t="shared" si="13"/>
        <v>0</v>
      </c>
      <c r="H103" s="61">
        <f t="shared" si="13"/>
        <v>0</v>
      </c>
      <c r="I103" s="61">
        <f t="shared" si="13"/>
        <v>1187498.93</v>
      </c>
      <c r="J103" s="61">
        <f t="shared" si="13"/>
        <v>1187498.93</v>
      </c>
      <c r="K103" s="61">
        <f t="shared" si="13"/>
        <v>0</v>
      </c>
      <c r="L103" s="61">
        <f t="shared" si="13"/>
        <v>0</v>
      </c>
      <c r="M103" s="61">
        <f t="shared" si="13"/>
        <v>0</v>
      </c>
      <c r="N103" s="61">
        <f t="shared" si="13"/>
        <v>1187498.93</v>
      </c>
      <c r="O103" s="61">
        <f t="shared" si="13"/>
        <v>1187498.93</v>
      </c>
    </row>
    <row r="104" spans="1:15" ht="28.5" customHeight="1" x14ac:dyDescent="0.25">
      <c r="A104" s="49" t="s">
        <v>315</v>
      </c>
      <c r="B104" s="49" t="s">
        <v>132</v>
      </c>
      <c r="C104" s="3" t="s">
        <v>324</v>
      </c>
      <c r="D104" s="62">
        <f>'дод 3'!E171+'дод 3'!E147</f>
        <v>0</v>
      </c>
      <c r="E104" s="62">
        <f>'дод 3'!F171+'дод 3'!F147</f>
        <v>0</v>
      </c>
      <c r="F104" s="62">
        <f>'дод 3'!G171+'дод 3'!G147</f>
        <v>0</v>
      </c>
      <c r="G104" s="62">
        <f>'дод 3'!H171+'дод 3'!H147</f>
        <v>0</v>
      </c>
      <c r="H104" s="62">
        <f>'дод 3'!I171+'дод 3'!I147</f>
        <v>0</v>
      </c>
      <c r="I104" s="62">
        <f>'дод 3'!J171+'дод 3'!J147</f>
        <v>13462297.759999998</v>
      </c>
      <c r="J104" s="62">
        <f>'дод 3'!K171+'дод 3'!K147</f>
        <v>13462297.759999998</v>
      </c>
      <c r="K104" s="62">
        <f>'дод 3'!L171+'дод 3'!L147</f>
        <v>0</v>
      </c>
      <c r="L104" s="62">
        <f>'дод 3'!M171+'дод 3'!M147</f>
        <v>0</v>
      </c>
      <c r="M104" s="62">
        <f>'дод 3'!N171+'дод 3'!N147</f>
        <v>0</v>
      </c>
      <c r="N104" s="62">
        <f>'дод 3'!O171+'дод 3'!O147</f>
        <v>13462297.759999998</v>
      </c>
      <c r="O104" s="62">
        <f>'дод 3'!P171+'дод 3'!P147</f>
        <v>13462297.759999998</v>
      </c>
    </row>
    <row r="105" spans="1:15" s="84" customFormat="1" ht="28.5" customHeight="1" x14ac:dyDescent="0.25">
      <c r="A105" s="49" t="s">
        <v>320</v>
      </c>
      <c r="B105" s="49" t="s">
        <v>132</v>
      </c>
      <c r="C105" s="3" t="s">
        <v>325</v>
      </c>
      <c r="D105" s="62">
        <f>'дод 3'!E172+'дод 3'!E73</f>
        <v>0</v>
      </c>
      <c r="E105" s="62">
        <f>'дод 3'!F172+'дод 3'!F73</f>
        <v>0</v>
      </c>
      <c r="F105" s="62">
        <f>'дод 3'!G172+'дод 3'!G73</f>
        <v>0</v>
      </c>
      <c r="G105" s="62">
        <f>'дод 3'!H172+'дод 3'!H73</f>
        <v>0</v>
      </c>
      <c r="H105" s="62">
        <f>'дод 3'!I172+'дод 3'!I73</f>
        <v>0</v>
      </c>
      <c r="I105" s="62">
        <f>'дод 3'!J172+'дод 3'!J73</f>
        <v>4050000</v>
      </c>
      <c r="J105" s="62">
        <f>'дод 3'!K172+'дод 3'!K73</f>
        <v>4050000</v>
      </c>
      <c r="K105" s="62">
        <f>'дод 3'!L172+'дод 3'!L73</f>
        <v>0</v>
      </c>
      <c r="L105" s="62">
        <f>'дод 3'!M172+'дод 3'!M73</f>
        <v>0</v>
      </c>
      <c r="M105" s="62">
        <f>'дод 3'!N172+'дод 3'!N73</f>
        <v>0</v>
      </c>
      <c r="N105" s="62">
        <f>'дод 3'!O172+'дод 3'!O73</f>
        <v>4050000</v>
      </c>
      <c r="O105" s="62">
        <f>'дод 3'!P172+'дод 3'!P73</f>
        <v>4050000</v>
      </c>
    </row>
    <row r="106" spans="1:15" s="84" customFormat="1" ht="28.5" customHeight="1" x14ac:dyDescent="0.25">
      <c r="A106" s="49" t="s">
        <v>322</v>
      </c>
      <c r="B106" s="49" t="s">
        <v>132</v>
      </c>
      <c r="C106" s="3" t="s">
        <v>326</v>
      </c>
      <c r="D106" s="62">
        <f>'дод 3'!E173</f>
        <v>0</v>
      </c>
      <c r="E106" s="62">
        <f>'дод 3'!F173</f>
        <v>0</v>
      </c>
      <c r="F106" s="62">
        <f>'дод 3'!G173</f>
        <v>0</v>
      </c>
      <c r="G106" s="62">
        <f>'дод 3'!H173</f>
        <v>0</v>
      </c>
      <c r="H106" s="62">
        <f>'дод 3'!I173</f>
        <v>0</v>
      </c>
      <c r="I106" s="62">
        <f>'дод 3'!J173</f>
        <v>12454849</v>
      </c>
      <c r="J106" s="62">
        <f>'дод 3'!K173</f>
        <v>12454849</v>
      </c>
      <c r="K106" s="62">
        <f>'дод 3'!L173</f>
        <v>0</v>
      </c>
      <c r="L106" s="62">
        <f>'дод 3'!M173</f>
        <v>0</v>
      </c>
      <c r="M106" s="62">
        <f>'дод 3'!N173</f>
        <v>0</v>
      </c>
      <c r="N106" s="62">
        <f>'дод 3'!O173</f>
        <v>12454849</v>
      </c>
      <c r="O106" s="62">
        <f>'дод 3'!P173</f>
        <v>12454849</v>
      </c>
    </row>
    <row r="107" spans="1:15" s="84" customFormat="1" ht="31.5" x14ac:dyDescent="0.25">
      <c r="A107" s="49">
        <v>7325</v>
      </c>
      <c r="B107" s="49">
        <v>443</v>
      </c>
      <c r="C107" s="3" t="s">
        <v>422</v>
      </c>
      <c r="D107" s="62">
        <f>'дод 3'!E174</f>
        <v>0</v>
      </c>
      <c r="E107" s="62">
        <f>'дод 3'!F174</f>
        <v>0</v>
      </c>
      <c r="F107" s="62">
        <f>'дод 3'!G174</f>
        <v>0</v>
      </c>
      <c r="G107" s="62">
        <f>'дод 3'!H174</f>
        <v>0</v>
      </c>
      <c r="H107" s="62">
        <f>'дод 3'!I174</f>
        <v>0</v>
      </c>
      <c r="I107" s="62">
        <f>'дод 3'!J174</f>
        <v>500000</v>
      </c>
      <c r="J107" s="62">
        <f>'дод 3'!K174</f>
        <v>500000</v>
      </c>
      <c r="K107" s="62">
        <f>'дод 3'!L174</f>
        <v>0</v>
      </c>
      <c r="L107" s="62">
        <f>'дод 3'!M174</f>
        <v>0</v>
      </c>
      <c r="M107" s="62">
        <f>'дод 3'!N174</f>
        <v>0</v>
      </c>
      <c r="N107" s="62">
        <f>'дод 3'!O174</f>
        <v>500000</v>
      </c>
      <c r="O107" s="62">
        <f>'дод 3'!P174</f>
        <v>500000</v>
      </c>
    </row>
    <row r="108" spans="1:15" ht="32.25" customHeight="1" x14ac:dyDescent="0.25">
      <c r="A108" s="49" t="s">
        <v>317</v>
      </c>
      <c r="B108" s="49" t="s">
        <v>132</v>
      </c>
      <c r="C108" s="3" t="s">
        <v>389</v>
      </c>
      <c r="D108" s="62">
        <f>'дод 3'!E175+'дод 3'!E148</f>
        <v>0</v>
      </c>
      <c r="E108" s="62">
        <f>'дод 3'!F175+'дод 3'!F148</f>
        <v>0</v>
      </c>
      <c r="F108" s="62">
        <f>'дод 3'!G175+'дод 3'!G148</f>
        <v>0</v>
      </c>
      <c r="G108" s="62">
        <f>'дод 3'!H175+'дод 3'!H148</f>
        <v>0</v>
      </c>
      <c r="H108" s="62">
        <f>'дод 3'!I175+'дод 3'!I148</f>
        <v>0</v>
      </c>
      <c r="I108" s="62">
        <f>'дод 3'!J175+'дод 3'!J148</f>
        <v>48739821.769999996</v>
      </c>
      <c r="J108" s="62">
        <f>'дод 3'!K175+'дод 3'!K148</f>
        <v>48739821.769999996</v>
      </c>
      <c r="K108" s="62">
        <f>'дод 3'!L175+'дод 3'!L148</f>
        <v>0</v>
      </c>
      <c r="L108" s="62">
        <f>'дод 3'!M175+'дод 3'!M148</f>
        <v>0</v>
      </c>
      <c r="M108" s="62">
        <f>'дод 3'!N175+'дод 3'!N148</f>
        <v>0</v>
      </c>
      <c r="N108" s="62">
        <f>'дод 3'!O175+'дод 3'!O148</f>
        <v>48739821.769999996</v>
      </c>
      <c r="O108" s="62">
        <f>'дод 3'!P175+'дод 3'!P148</f>
        <v>48739821.769999996</v>
      </c>
    </row>
    <row r="109" spans="1:15" ht="35.25" customHeight="1" x14ac:dyDescent="0.25">
      <c r="A109" s="46" t="s">
        <v>168</v>
      </c>
      <c r="B109" s="46" t="s">
        <v>132</v>
      </c>
      <c r="C109" s="3" t="s">
        <v>1</v>
      </c>
      <c r="D109" s="62">
        <f>'дод 3'!E149</f>
        <v>0</v>
      </c>
      <c r="E109" s="62">
        <f>'дод 3'!F149</f>
        <v>0</v>
      </c>
      <c r="F109" s="62">
        <f>'дод 3'!G149</f>
        <v>0</v>
      </c>
      <c r="G109" s="62">
        <f>'дод 3'!H149</f>
        <v>0</v>
      </c>
      <c r="H109" s="62">
        <f>'дод 3'!I149</f>
        <v>0</v>
      </c>
      <c r="I109" s="62">
        <f>'дод 3'!J149</f>
        <v>3000000</v>
      </c>
      <c r="J109" s="62">
        <f>'дод 3'!K149</f>
        <v>3000000</v>
      </c>
      <c r="K109" s="62">
        <f>'дод 3'!L149</f>
        <v>0</v>
      </c>
      <c r="L109" s="62">
        <f>'дод 3'!M149</f>
        <v>0</v>
      </c>
      <c r="M109" s="62">
        <f>'дод 3'!N149</f>
        <v>0</v>
      </c>
      <c r="N109" s="62">
        <f>'дод 3'!O149</f>
        <v>3000000</v>
      </c>
      <c r="O109" s="62">
        <f>'дод 3'!P149</f>
        <v>3000000</v>
      </c>
    </row>
    <row r="110" spans="1:15" ht="51.75" customHeight="1" x14ac:dyDescent="0.25">
      <c r="A110" s="46">
        <v>7361</v>
      </c>
      <c r="B110" s="46" t="s">
        <v>102</v>
      </c>
      <c r="C110" s="3" t="s">
        <v>448</v>
      </c>
      <c r="D110" s="62">
        <f>'дод 3'!E150+'дод 3'!E176+'дод 3'!E95</f>
        <v>0</v>
      </c>
      <c r="E110" s="62">
        <f>'дод 3'!F150+'дод 3'!F176+'дод 3'!F95</f>
        <v>0</v>
      </c>
      <c r="F110" s="62">
        <f>'дод 3'!G150+'дод 3'!G176+'дод 3'!G95</f>
        <v>0</v>
      </c>
      <c r="G110" s="62">
        <f>'дод 3'!H150+'дод 3'!H176+'дод 3'!H95</f>
        <v>0</v>
      </c>
      <c r="H110" s="62">
        <f>'дод 3'!I150+'дод 3'!I176+'дод 3'!I95</f>
        <v>0</v>
      </c>
      <c r="I110" s="62">
        <f>'дод 3'!J150+'дод 3'!J176+'дод 3'!J95</f>
        <v>9386113</v>
      </c>
      <c r="J110" s="62">
        <f>'дод 3'!K150+'дод 3'!K176+'дод 3'!K95</f>
        <v>9386113</v>
      </c>
      <c r="K110" s="62">
        <f>'дод 3'!L150+'дод 3'!L176+'дод 3'!L95</f>
        <v>0</v>
      </c>
      <c r="L110" s="62">
        <f>'дод 3'!M150+'дод 3'!M176+'дод 3'!M95</f>
        <v>0</v>
      </c>
      <c r="M110" s="62">
        <f>'дод 3'!N150+'дод 3'!N176+'дод 3'!N95</f>
        <v>0</v>
      </c>
      <c r="N110" s="62">
        <f>'дод 3'!O150+'дод 3'!O176+'дод 3'!O95</f>
        <v>9386113</v>
      </c>
      <c r="O110" s="62">
        <f>'дод 3'!P150+'дод 3'!P176+'дод 3'!P95</f>
        <v>9386113</v>
      </c>
    </row>
    <row r="111" spans="1:15" s="84" customFormat="1" ht="46.5" customHeight="1" x14ac:dyDescent="0.25">
      <c r="A111" s="46">
        <v>7362</v>
      </c>
      <c r="B111" s="46" t="s">
        <v>102</v>
      </c>
      <c r="C111" s="3" t="s">
        <v>428</v>
      </c>
      <c r="D111" s="62">
        <f>'дод 3'!E151</f>
        <v>0</v>
      </c>
      <c r="E111" s="62">
        <f>'дод 3'!F151</f>
        <v>0</v>
      </c>
      <c r="F111" s="62">
        <f>'дод 3'!G151</f>
        <v>0</v>
      </c>
      <c r="G111" s="62">
        <f>'дод 3'!H151</f>
        <v>0</v>
      </c>
      <c r="H111" s="62">
        <f>'дод 3'!I151</f>
        <v>0</v>
      </c>
      <c r="I111" s="62">
        <f>'дод 3'!J151</f>
        <v>75600</v>
      </c>
      <c r="J111" s="62">
        <f>'дод 3'!K151</f>
        <v>75600</v>
      </c>
      <c r="K111" s="62">
        <f>'дод 3'!L151</f>
        <v>0</v>
      </c>
      <c r="L111" s="62">
        <f>'дод 3'!M151</f>
        <v>0</v>
      </c>
      <c r="M111" s="62">
        <f>'дод 3'!N151</f>
        <v>0</v>
      </c>
      <c r="N111" s="62">
        <f>'дод 3'!O151</f>
        <v>75600</v>
      </c>
      <c r="O111" s="62">
        <f>'дод 3'!P151</f>
        <v>75600</v>
      </c>
    </row>
    <row r="112" spans="1:15" s="84" customFormat="1" ht="46.5" customHeight="1" x14ac:dyDescent="0.25">
      <c r="A112" s="46">
        <v>7363</v>
      </c>
      <c r="B112" s="106" t="s">
        <v>102</v>
      </c>
      <c r="C112" s="107" t="s">
        <v>438</v>
      </c>
      <c r="D112" s="62">
        <f>'дод 3'!E74+'дод 3'!E152+'дод 3'!E177</f>
        <v>0</v>
      </c>
      <c r="E112" s="62">
        <f>'дод 3'!F74+'дод 3'!F152+'дод 3'!F177</f>
        <v>0</v>
      </c>
      <c r="F112" s="62">
        <f>'дод 3'!G74+'дод 3'!G152+'дод 3'!G177</f>
        <v>0</v>
      </c>
      <c r="G112" s="62">
        <f>'дод 3'!H74+'дод 3'!H152+'дод 3'!H177</f>
        <v>0</v>
      </c>
      <c r="H112" s="62">
        <f>'дод 3'!I74+'дод 3'!I152+'дод 3'!I177</f>
        <v>0</v>
      </c>
      <c r="I112" s="62">
        <f>'дод 3'!J74+'дод 3'!J152+'дод 3'!J177</f>
        <v>1308767.6000000001</v>
      </c>
      <c r="J112" s="62">
        <f>'дод 3'!K74+'дод 3'!K152+'дод 3'!K177</f>
        <v>1308767.6000000001</v>
      </c>
      <c r="K112" s="62">
        <f>'дод 3'!L74+'дод 3'!L152+'дод 3'!L177</f>
        <v>0</v>
      </c>
      <c r="L112" s="62">
        <f>'дод 3'!M74+'дод 3'!M152+'дод 3'!M177</f>
        <v>0</v>
      </c>
      <c r="M112" s="62">
        <f>'дод 3'!N74+'дод 3'!N152+'дод 3'!N177</f>
        <v>0</v>
      </c>
      <c r="N112" s="62">
        <f>'дод 3'!O74+'дод 3'!O152+'дод 3'!O177</f>
        <v>1308767.6000000001</v>
      </c>
      <c r="O112" s="62">
        <f>'дод 3'!P74+'дод 3'!P152+'дод 3'!P177</f>
        <v>1308767.6000000001</v>
      </c>
    </row>
    <row r="113" spans="1:15" s="84" customFormat="1" x14ac:dyDescent="0.25">
      <c r="A113" s="46"/>
      <c r="B113" s="106"/>
      <c r="C113" s="3" t="s">
        <v>308</v>
      </c>
      <c r="D113" s="62">
        <f>'дод 3'!E75+'дод 3'!E153</f>
        <v>0</v>
      </c>
      <c r="E113" s="62">
        <f>'дод 3'!F75+'дод 3'!F153</f>
        <v>0</v>
      </c>
      <c r="F113" s="62">
        <f>'дод 3'!G75+'дод 3'!G153</f>
        <v>0</v>
      </c>
      <c r="G113" s="62">
        <f>'дод 3'!H75+'дод 3'!H153</f>
        <v>0</v>
      </c>
      <c r="H113" s="62">
        <f>'дод 3'!I75+'дод 3'!I153</f>
        <v>0</v>
      </c>
      <c r="I113" s="62">
        <f>'дод 3'!J75+'дод 3'!J153</f>
        <v>1187498.93</v>
      </c>
      <c r="J113" s="62">
        <f>'дод 3'!K75+'дод 3'!K153</f>
        <v>1187498.93</v>
      </c>
      <c r="K113" s="62">
        <f>'дод 3'!L75+'дод 3'!L153</f>
        <v>0</v>
      </c>
      <c r="L113" s="62">
        <f>'дод 3'!M75+'дод 3'!M153</f>
        <v>0</v>
      </c>
      <c r="M113" s="62">
        <f>'дод 3'!N75+'дод 3'!N153</f>
        <v>0</v>
      </c>
      <c r="N113" s="62">
        <f>'дод 3'!O75+'дод 3'!O153</f>
        <v>1187498.93</v>
      </c>
      <c r="O113" s="62">
        <f>'дод 3'!P75+'дод 3'!P153</f>
        <v>1187498.93</v>
      </c>
    </row>
    <row r="114" spans="1:15" s="82" customFormat="1" ht="39.75" customHeight="1" x14ac:dyDescent="0.25">
      <c r="A114" s="47" t="s">
        <v>105</v>
      </c>
      <c r="B114" s="50"/>
      <c r="C114" s="2" t="s">
        <v>2</v>
      </c>
      <c r="D114" s="61">
        <f>D116+D119+D117+D118</f>
        <v>28000000</v>
      </c>
      <c r="E114" s="61">
        <f t="shared" ref="E114:O114" si="14">E116+E119+E117+E118</f>
        <v>0</v>
      </c>
      <c r="F114" s="61">
        <f t="shared" si="14"/>
        <v>0</v>
      </c>
      <c r="G114" s="61">
        <f t="shared" si="14"/>
        <v>0</v>
      </c>
      <c r="H114" s="61">
        <f t="shared" si="14"/>
        <v>28000000</v>
      </c>
      <c r="I114" s="61">
        <f t="shared" si="14"/>
        <v>80000000</v>
      </c>
      <c r="J114" s="61">
        <f t="shared" si="14"/>
        <v>0</v>
      </c>
      <c r="K114" s="61">
        <f t="shared" si="14"/>
        <v>80000000</v>
      </c>
      <c r="L114" s="61">
        <f t="shared" si="14"/>
        <v>0</v>
      </c>
      <c r="M114" s="61">
        <f t="shared" si="14"/>
        <v>0</v>
      </c>
      <c r="N114" s="61">
        <f t="shared" si="14"/>
        <v>0</v>
      </c>
      <c r="O114" s="61">
        <f t="shared" si="14"/>
        <v>108000000</v>
      </c>
    </row>
    <row r="115" spans="1:15" s="82" customFormat="1" ht="17.25" customHeight="1" x14ac:dyDescent="0.25">
      <c r="A115" s="47"/>
      <c r="B115" s="50"/>
      <c r="C115" s="2" t="s">
        <v>308</v>
      </c>
      <c r="D115" s="61">
        <f>D120</f>
        <v>0</v>
      </c>
      <c r="E115" s="61">
        <f t="shared" ref="E115:O115" si="15">E120</f>
        <v>0</v>
      </c>
      <c r="F115" s="61">
        <f t="shared" si="15"/>
        <v>0</v>
      </c>
      <c r="G115" s="61">
        <f t="shared" si="15"/>
        <v>0</v>
      </c>
      <c r="H115" s="61">
        <f t="shared" si="15"/>
        <v>0</v>
      </c>
      <c r="I115" s="61">
        <f t="shared" si="15"/>
        <v>80000000</v>
      </c>
      <c r="J115" s="61">
        <f t="shared" si="15"/>
        <v>0</v>
      </c>
      <c r="K115" s="61">
        <f t="shared" si="15"/>
        <v>80000000</v>
      </c>
      <c r="L115" s="61">
        <f t="shared" si="15"/>
        <v>0</v>
      </c>
      <c r="M115" s="61">
        <f t="shared" si="15"/>
        <v>0</v>
      </c>
      <c r="N115" s="61">
        <f t="shared" si="15"/>
        <v>0</v>
      </c>
      <c r="O115" s="61">
        <f t="shared" si="15"/>
        <v>80000000</v>
      </c>
    </row>
    <row r="116" spans="1:15" s="84" customFormat="1" ht="30" customHeight="1" x14ac:dyDescent="0.25">
      <c r="A116" s="46" t="s">
        <v>4</v>
      </c>
      <c r="B116" s="46" t="s">
        <v>104</v>
      </c>
      <c r="C116" s="3" t="s">
        <v>49</v>
      </c>
      <c r="D116" s="62">
        <f>'дод 3'!E38</f>
        <v>10000000</v>
      </c>
      <c r="E116" s="62">
        <f>'дод 3'!F38</f>
        <v>0</v>
      </c>
      <c r="F116" s="62">
        <f>'дод 3'!G38</f>
        <v>0</v>
      </c>
      <c r="G116" s="62">
        <f>'дод 3'!H38</f>
        <v>0</v>
      </c>
      <c r="H116" s="62">
        <f>'дод 3'!I38</f>
        <v>10000000</v>
      </c>
      <c r="I116" s="62">
        <f>'дод 3'!J38</f>
        <v>0</v>
      </c>
      <c r="J116" s="62">
        <f>'дод 3'!K38</f>
        <v>0</v>
      </c>
      <c r="K116" s="62">
        <f>'дод 3'!L38</f>
        <v>0</v>
      </c>
      <c r="L116" s="62">
        <f>'дод 3'!M38</f>
        <v>0</v>
      </c>
      <c r="M116" s="62">
        <f>'дод 3'!N38</f>
        <v>0</v>
      </c>
      <c r="N116" s="62">
        <f>'дод 3'!O38</f>
        <v>0</v>
      </c>
      <c r="O116" s="62">
        <f>'дод 3'!P38</f>
        <v>10000000</v>
      </c>
    </row>
    <row r="117" spans="1:15" s="84" customFormat="1" ht="30" customHeight="1" x14ac:dyDescent="0.25">
      <c r="A117" s="46">
        <v>7413</v>
      </c>
      <c r="B117" s="46" t="s">
        <v>104</v>
      </c>
      <c r="C117" s="3" t="s">
        <v>463</v>
      </c>
      <c r="D117" s="62">
        <f>'дод 3'!E39</f>
        <v>2800000</v>
      </c>
      <c r="E117" s="62">
        <f>'дод 3'!F39</f>
        <v>0</v>
      </c>
      <c r="F117" s="62">
        <f>'дод 3'!G39</f>
        <v>0</v>
      </c>
      <c r="G117" s="62">
        <f>'дод 3'!H39</f>
        <v>0</v>
      </c>
      <c r="H117" s="62">
        <f>'дод 3'!I39</f>
        <v>2800000</v>
      </c>
      <c r="I117" s="62">
        <f>'дод 3'!J39</f>
        <v>0</v>
      </c>
      <c r="J117" s="62">
        <f>'дод 3'!K39</f>
        <v>0</v>
      </c>
      <c r="K117" s="62">
        <f>'дод 3'!L39</f>
        <v>0</v>
      </c>
      <c r="L117" s="62">
        <f>'дод 3'!M39</f>
        <v>0</v>
      </c>
      <c r="M117" s="62">
        <f>'дод 3'!N39</f>
        <v>0</v>
      </c>
      <c r="N117" s="62">
        <f>'дод 3'!O39</f>
        <v>0</v>
      </c>
      <c r="O117" s="62">
        <f>'дод 3'!P39</f>
        <v>2800000</v>
      </c>
    </row>
    <row r="118" spans="1:15" s="84" customFormat="1" ht="30" customHeight="1" x14ac:dyDescent="0.25">
      <c r="A118" s="46">
        <v>7426</v>
      </c>
      <c r="B118" s="46">
        <v>453</v>
      </c>
      <c r="C118" s="3" t="s">
        <v>464</v>
      </c>
      <c r="D118" s="62">
        <f>'дод 3'!E40</f>
        <v>15200000</v>
      </c>
      <c r="E118" s="62">
        <f>'дод 3'!F40</f>
        <v>0</v>
      </c>
      <c r="F118" s="62">
        <f>'дод 3'!G40</f>
        <v>0</v>
      </c>
      <c r="G118" s="62">
        <f>'дод 3'!H40</f>
        <v>0</v>
      </c>
      <c r="H118" s="62">
        <f>'дод 3'!I40</f>
        <v>15200000</v>
      </c>
      <c r="I118" s="62">
        <f>'дод 3'!J40</f>
        <v>0</v>
      </c>
      <c r="J118" s="62">
        <f>'дод 3'!K40</f>
        <v>0</v>
      </c>
      <c r="K118" s="62">
        <f>'дод 3'!L40</f>
        <v>0</v>
      </c>
      <c r="L118" s="62">
        <f>'дод 3'!M40</f>
        <v>0</v>
      </c>
      <c r="M118" s="62">
        <f>'дод 3'!N40</f>
        <v>0</v>
      </c>
      <c r="N118" s="62">
        <f>'дод 3'!O40</f>
        <v>0</v>
      </c>
      <c r="O118" s="62">
        <f>'дод 3'!P40</f>
        <v>15200000</v>
      </c>
    </row>
    <row r="119" spans="1:15" s="84" customFormat="1" ht="53.25" customHeight="1" x14ac:dyDescent="0.25">
      <c r="A119" s="46">
        <v>7462</v>
      </c>
      <c r="B119" s="46">
        <v>456</v>
      </c>
      <c r="C119" s="3" t="s">
        <v>451</v>
      </c>
      <c r="D119" s="62">
        <f>'дод 3'!E154</f>
        <v>0</v>
      </c>
      <c r="E119" s="62">
        <f>'дод 3'!F154</f>
        <v>0</v>
      </c>
      <c r="F119" s="62">
        <f>'дод 3'!G154</f>
        <v>0</v>
      </c>
      <c r="G119" s="62">
        <f>'дод 3'!H154</f>
        <v>0</v>
      </c>
      <c r="H119" s="62">
        <f>'дод 3'!I154</f>
        <v>0</v>
      </c>
      <c r="I119" s="62">
        <f>'дод 3'!J154</f>
        <v>80000000</v>
      </c>
      <c r="J119" s="62">
        <f>'дод 3'!K154</f>
        <v>0</v>
      </c>
      <c r="K119" s="62">
        <f>'дод 3'!L154</f>
        <v>80000000</v>
      </c>
      <c r="L119" s="62">
        <f>'дод 3'!M154</f>
        <v>0</v>
      </c>
      <c r="M119" s="62">
        <f>'дод 3'!N154</f>
        <v>0</v>
      </c>
      <c r="N119" s="62">
        <f>'дод 3'!O154</f>
        <v>0</v>
      </c>
      <c r="O119" s="62">
        <f>'дод 3'!P154</f>
        <v>80000000</v>
      </c>
    </row>
    <row r="120" spans="1:15" s="84" customFormat="1" ht="17.25" customHeight="1" x14ac:dyDescent="0.25">
      <c r="A120" s="46"/>
      <c r="B120" s="46"/>
      <c r="C120" s="3" t="s">
        <v>308</v>
      </c>
      <c r="D120" s="62">
        <f>'дод 3'!E155</f>
        <v>0</v>
      </c>
      <c r="E120" s="62">
        <f>'дод 3'!F155</f>
        <v>0</v>
      </c>
      <c r="F120" s="62">
        <f>'дод 3'!G155</f>
        <v>0</v>
      </c>
      <c r="G120" s="62">
        <f>'дод 3'!H155</f>
        <v>0</v>
      </c>
      <c r="H120" s="62">
        <f>'дод 3'!I155</f>
        <v>0</v>
      </c>
      <c r="I120" s="62">
        <f>'дод 3'!J155</f>
        <v>80000000</v>
      </c>
      <c r="J120" s="62">
        <f>'дод 3'!K155</f>
        <v>0</v>
      </c>
      <c r="K120" s="62">
        <f>'дод 3'!L155</f>
        <v>80000000</v>
      </c>
      <c r="L120" s="62">
        <f>'дод 3'!M155</f>
        <v>0</v>
      </c>
      <c r="M120" s="62">
        <f>'дод 3'!N155</f>
        <v>0</v>
      </c>
      <c r="N120" s="62">
        <f>'дод 3'!O155</f>
        <v>0</v>
      </c>
      <c r="O120" s="62">
        <f>'дод 3'!P155</f>
        <v>80000000</v>
      </c>
    </row>
    <row r="121" spans="1:15" s="82" customFormat="1" ht="28.5" customHeight="1" x14ac:dyDescent="0.25">
      <c r="A121" s="48" t="s">
        <v>279</v>
      </c>
      <c r="B121" s="50"/>
      <c r="C121" s="2" t="s">
        <v>280</v>
      </c>
      <c r="D121" s="61">
        <f t="shared" ref="D121:O121" si="16">D122</f>
        <v>13450000</v>
      </c>
      <c r="E121" s="61">
        <f t="shared" si="16"/>
        <v>13450000</v>
      </c>
      <c r="F121" s="61">
        <f t="shared" si="16"/>
        <v>0</v>
      </c>
      <c r="G121" s="61">
        <f t="shared" si="16"/>
        <v>0</v>
      </c>
      <c r="H121" s="61">
        <f t="shared" si="16"/>
        <v>0</v>
      </c>
      <c r="I121" s="61">
        <f t="shared" si="16"/>
        <v>6050000</v>
      </c>
      <c r="J121" s="61">
        <f t="shared" si="16"/>
        <v>6050000</v>
      </c>
      <c r="K121" s="61">
        <f t="shared" si="16"/>
        <v>0</v>
      </c>
      <c r="L121" s="61">
        <f t="shared" si="16"/>
        <v>0</v>
      </c>
      <c r="M121" s="61">
        <f t="shared" si="16"/>
        <v>0</v>
      </c>
      <c r="N121" s="61">
        <f t="shared" si="16"/>
        <v>6050000</v>
      </c>
      <c r="O121" s="61">
        <f t="shared" si="16"/>
        <v>19500000</v>
      </c>
    </row>
    <row r="122" spans="1:15" ht="37.5" customHeight="1" x14ac:dyDescent="0.25">
      <c r="A122" s="49" t="s">
        <v>277</v>
      </c>
      <c r="B122" s="49" t="s">
        <v>278</v>
      </c>
      <c r="C122" s="11" t="s">
        <v>276</v>
      </c>
      <c r="D122" s="62">
        <f>'дод 3'!E41</f>
        <v>13450000</v>
      </c>
      <c r="E122" s="62">
        <f>'дод 3'!F41</f>
        <v>13450000</v>
      </c>
      <c r="F122" s="62">
        <f>'дод 3'!G41</f>
        <v>0</v>
      </c>
      <c r="G122" s="62">
        <f>'дод 3'!H41</f>
        <v>0</v>
      </c>
      <c r="H122" s="62">
        <f>'дод 3'!I41</f>
        <v>0</v>
      </c>
      <c r="I122" s="62">
        <f>'дод 3'!J41</f>
        <v>6050000</v>
      </c>
      <c r="J122" s="62">
        <f>'дод 3'!K41</f>
        <v>6050000</v>
      </c>
      <c r="K122" s="62">
        <f>'дод 3'!L41</f>
        <v>0</v>
      </c>
      <c r="L122" s="62">
        <f>'дод 3'!M41</f>
        <v>0</v>
      </c>
      <c r="M122" s="62">
        <f>'дод 3'!N41</f>
        <v>0</v>
      </c>
      <c r="N122" s="62">
        <f>'дод 3'!O41</f>
        <v>6050000</v>
      </c>
      <c r="O122" s="62">
        <f>'дод 3'!P41</f>
        <v>19500000</v>
      </c>
    </row>
    <row r="123" spans="1:15" s="82" customFormat="1" ht="38.25" customHeight="1" x14ac:dyDescent="0.25">
      <c r="A123" s="47" t="s">
        <v>108</v>
      </c>
      <c r="B123" s="50"/>
      <c r="C123" s="2" t="s">
        <v>5</v>
      </c>
      <c r="D123" s="61">
        <f t="shared" ref="D123:O123" si="17">D124+D125+D126+D127+D128+D129+D130+D131</f>
        <v>8599667</v>
      </c>
      <c r="E123" s="61">
        <f t="shared" si="17"/>
        <v>6782667</v>
      </c>
      <c r="F123" s="61">
        <f t="shared" si="17"/>
        <v>0</v>
      </c>
      <c r="G123" s="61">
        <f t="shared" si="17"/>
        <v>0</v>
      </c>
      <c r="H123" s="61">
        <f t="shared" si="17"/>
        <v>1817000</v>
      </c>
      <c r="I123" s="61">
        <f t="shared" si="17"/>
        <v>153039184.13</v>
      </c>
      <c r="J123" s="61">
        <f t="shared" si="17"/>
        <v>139415052</v>
      </c>
      <c r="K123" s="61">
        <f t="shared" si="17"/>
        <v>2171363.0100000002</v>
      </c>
      <c r="L123" s="61">
        <f t="shared" si="17"/>
        <v>0</v>
      </c>
      <c r="M123" s="61">
        <f t="shared" si="17"/>
        <v>0</v>
      </c>
      <c r="N123" s="61">
        <f t="shared" si="17"/>
        <v>150867821.12</v>
      </c>
      <c r="O123" s="61">
        <f t="shared" si="17"/>
        <v>161638851.13</v>
      </c>
    </row>
    <row r="124" spans="1:15" ht="30.75" customHeight="1" x14ac:dyDescent="0.25">
      <c r="A124" s="46" t="s">
        <v>6</v>
      </c>
      <c r="B124" s="46" t="s">
        <v>107</v>
      </c>
      <c r="C124" s="3" t="s">
        <v>32</v>
      </c>
      <c r="D124" s="62">
        <f>'дод 3'!E42+'дод 3'!E192</f>
        <v>1235000</v>
      </c>
      <c r="E124" s="62">
        <f>'дод 3'!F42+'дод 3'!F192</f>
        <v>617000</v>
      </c>
      <c r="F124" s="62">
        <f>'дод 3'!G42+'дод 3'!G192</f>
        <v>0</v>
      </c>
      <c r="G124" s="62">
        <f>'дод 3'!H42+'дод 3'!H192</f>
        <v>0</v>
      </c>
      <c r="H124" s="62">
        <f>'дод 3'!I42+'дод 3'!I192</f>
        <v>618000</v>
      </c>
      <c r="I124" s="62">
        <f>'дод 3'!J42+'дод 3'!J192</f>
        <v>0</v>
      </c>
      <c r="J124" s="62">
        <f>'дод 3'!K42+'дод 3'!K192</f>
        <v>0</v>
      </c>
      <c r="K124" s="62">
        <f>'дод 3'!L42+'дод 3'!L192</f>
        <v>0</v>
      </c>
      <c r="L124" s="62">
        <f>'дод 3'!M42+'дод 3'!M192</f>
        <v>0</v>
      </c>
      <c r="M124" s="62">
        <f>'дод 3'!N42+'дод 3'!N192</f>
        <v>0</v>
      </c>
      <c r="N124" s="62">
        <f>'дод 3'!O42+'дод 3'!O192</f>
        <v>0</v>
      </c>
      <c r="O124" s="62">
        <f>'дод 3'!P42+'дод 3'!P192</f>
        <v>1235000</v>
      </c>
    </row>
    <row r="125" spans="1:15" ht="24.75" customHeight="1" x14ac:dyDescent="0.25">
      <c r="A125" s="46" t="s">
        <v>3</v>
      </c>
      <c r="B125" s="46" t="s">
        <v>106</v>
      </c>
      <c r="C125" s="3" t="s">
        <v>45</v>
      </c>
      <c r="D125" s="62">
        <f>'дод 3'!E76+'дод 3'!E96+'дод 3'!E133+'дод 3'!E156+'дод 3'!E178+'дод 3'!E199</f>
        <v>4350811</v>
      </c>
      <c r="E125" s="62">
        <f>'дод 3'!F76+'дод 3'!F96+'дод 3'!F133+'дод 3'!F156+'дод 3'!F178+'дод 3'!F199</f>
        <v>3151811</v>
      </c>
      <c r="F125" s="62">
        <f>'дод 3'!G76+'дод 3'!G96+'дод 3'!G133+'дод 3'!G156+'дод 3'!G178+'дод 3'!G199</f>
        <v>0</v>
      </c>
      <c r="G125" s="62">
        <f>'дод 3'!H76+'дод 3'!H96+'дод 3'!H133+'дод 3'!H156+'дод 3'!H178+'дод 3'!H199</f>
        <v>0</v>
      </c>
      <c r="H125" s="62">
        <f>'дод 3'!I76+'дод 3'!I96+'дод 3'!I133+'дод 3'!I156+'дод 3'!I178+'дод 3'!I199</f>
        <v>1199000</v>
      </c>
      <c r="I125" s="62">
        <f>'дод 3'!J76+'дод 3'!J96+'дод 3'!J133+'дод 3'!J156+'дод 3'!J178+'дод 3'!J199</f>
        <v>109462174</v>
      </c>
      <c r="J125" s="62">
        <f>'дод 3'!K76+'дод 3'!K96+'дод 3'!K133+'дод 3'!K156+'дод 3'!K178+'дод 3'!K199</f>
        <v>99725722</v>
      </c>
      <c r="K125" s="62">
        <f>'дод 3'!L76+'дод 3'!L96+'дод 3'!L133+'дод 3'!L156+'дод 3'!L178+'дод 3'!L199</f>
        <v>0</v>
      </c>
      <c r="L125" s="62">
        <f>'дод 3'!M76+'дод 3'!M96+'дод 3'!M133+'дод 3'!M156+'дод 3'!M178+'дод 3'!M199</f>
        <v>0</v>
      </c>
      <c r="M125" s="62">
        <f>'дод 3'!N76+'дод 3'!N96+'дод 3'!N133+'дод 3'!N156+'дод 3'!N178+'дод 3'!N199</f>
        <v>0</v>
      </c>
      <c r="N125" s="62">
        <f>'дод 3'!O76+'дод 3'!O96+'дод 3'!O133+'дод 3'!O156+'дод 3'!O178+'дод 3'!O199</f>
        <v>109462174</v>
      </c>
      <c r="O125" s="62">
        <f>'дод 3'!P76+'дод 3'!P96+'дод 3'!P133+'дод 3'!P156+'дод 3'!P178+'дод 3'!P199</f>
        <v>113812985</v>
      </c>
    </row>
    <row r="126" spans="1:15" ht="33.75" customHeight="1" x14ac:dyDescent="0.25">
      <c r="A126" s="46" t="s">
        <v>310</v>
      </c>
      <c r="B126" s="46" t="s">
        <v>102</v>
      </c>
      <c r="C126" s="3" t="s">
        <v>407</v>
      </c>
      <c r="D126" s="62">
        <f>'дод 3'!E193</f>
        <v>0</v>
      </c>
      <c r="E126" s="62">
        <f>'дод 3'!F193</f>
        <v>0</v>
      </c>
      <c r="F126" s="62">
        <f>'дод 3'!G193</f>
        <v>0</v>
      </c>
      <c r="G126" s="62">
        <f>'дод 3'!H193</f>
        <v>0</v>
      </c>
      <c r="H126" s="62">
        <f>'дод 3'!I193</f>
        <v>0</v>
      </c>
      <c r="I126" s="62">
        <f>'дод 3'!J193</f>
        <v>30000</v>
      </c>
      <c r="J126" s="62">
        <f>'дод 3'!K193</f>
        <v>30000</v>
      </c>
      <c r="K126" s="62">
        <f>'дод 3'!L193</f>
        <v>0</v>
      </c>
      <c r="L126" s="62">
        <f>'дод 3'!M193</f>
        <v>0</v>
      </c>
      <c r="M126" s="62">
        <f>'дод 3'!N193</f>
        <v>0</v>
      </c>
      <c r="N126" s="62">
        <f>'дод 3'!O193</f>
        <v>30000</v>
      </c>
      <c r="O126" s="62">
        <f>'дод 3'!P193</f>
        <v>30000</v>
      </c>
    </row>
    <row r="127" spans="1:15" ht="59.25" customHeight="1" x14ac:dyDescent="0.25">
      <c r="A127" s="46" t="s">
        <v>312</v>
      </c>
      <c r="B127" s="46" t="s">
        <v>102</v>
      </c>
      <c r="C127" s="3" t="s">
        <v>313</v>
      </c>
      <c r="D127" s="62">
        <f>'дод 3'!E194</f>
        <v>0</v>
      </c>
      <c r="E127" s="62">
        <f>'дод 3'!F194</f>
        <v>0</v>
      </c>
      <c r="F127" s="62">
        <f>'дод 3'!G194</f>
        <v>0</v>
      </c>
      <c r="G127" s="62">
        <f>'дод 3'!H194</f>
        <v>0</v>
      </c>
      <c r="H127" s="62">
        <f>'дод 3'!I194</f>
        <v>0</v>
      </c>
      <c r="I127" s="62">
        <f>'дод 3'!J194</f>
        <v>45000</v>
      </c>
      <c r="J127" s="62">
        <f>'дод 3'!K194</f>
        <v>45000</v>
      </c>
      <c r="K127" s="62">
        <f>'дод 3'!L194</f>
        <v>0</v>
      </c>
      <c r="L127" s="62">
        <f>'дод 3'!M194</f>
        <v>0</v>
      </c>
      <c r="M127" s="62">
        <f>'дод 3'!N194</f>
        <v>0</v>
      </c>
      <c r="N127" s="62">
        <f>'дод 3'!O194</f>
        <v>45000</v>
      </c>
      <c r="O127" s="62">
        <f>'дод 3'!P194</f>
        <v>45000</v>
      </c>
    </row>
    <row r="128" spans="1:15" ht="30.75" customHeight="1" x14ac:dyDescent="0.25">
      <c r="A128" s="46" t="s">
        <v>7</v>
      </c>
      <c r="B128" s="46" t="s">
        <v>102</v>
      </c>
      <c r="C128" s="3" t="s">
        <v>33</v>
      </c>
      <c r="D128" s="62">
        <f>'дод 3'!E43+'дод 3'!E157</f>
        <v>0</v>
      </c>
      <c r="E128" s="62">
        <f>'дод 3'!F43+'дод 3'!F157</f>
        <v>0</v>
      </c>
      <c r="F128" s="62">
        <f>'дод 3'!G43+'дод 3'!G157</f>
        <v>0</v>
      </c>
      <c r="G128" s="62">
        <f>'дод 3'!H43+'дод 3'!H157</f>
        <v>0</v>
      </c>
      <c r="H128" s="62">
        <f>'дод 3'!I43+'дод 3'!I157</f>
        <v>0</v>
      </c>
      <c r="I128" s="62">
        <f>'дод 3'!J43+'дод 3'!J157</f>
        <v>39614330</v>
      </c>
      <c r="J128" s="62">
        <f>'дод 3'!K43+'дод 3'!K157</f>
        <v>39614330</v>
      </c>
      <c r="K128" s="62">
        <f>'дод 3'!L43+'дод 3'!L157</f>
        <v>0</v>
      </c>
      <c r="L128" s="62">
        <f>'дод 3'!M43+'дод 3'!M157</f>
        <v>0</v>
      </c>
      <c r="M128" s="62">
        <f>'дод 3'!N43+'дод 3'!N157</f>
        <v>0</v>
      </c>
      <c r="N128" s="62">
        <f>'дод 3'!O43+'дод 3'!O157</f>
        <v>39614330</v>
      </c>
      <c r="O128" s="62">
        <f>'дод 3'!P43+'дод 3'!P157</f>
        <v>39614330</v>
      </c>
    </row>
    <row r="129" spans="1:15" ht="36.75" customHeight="1" x14ac:dyDescent="0.25">
      <c r="A129" s="46" t="s">
        <v>290</v>
      </c>
      <c r="B129" s="46" t="s">
        <v>102</v>
      </c>
      <c r="C129" s="3" t="s">
        <v>291</v>
      </c>
      <c r="D129" s="62">
        <f>'дод 3'!E44</f>
        <v>241467</v>
      </c>
      <c r="E129" s="62">
        <f>'дод 3'!F44</f>
        <v>241467</v>
      </c>
      <c r="F129" s="62">
        <f>'дод 3'!G44</f>
        <v>0</v>
      </c>
      <c r="G129" s="62">
        <f>'дод 3'!H44</f>
        <v>0</v>
      </c>
      <c r="H129" s="62">
        <f>'дод 3'!I44</f>
        <v>0</v>
      </c>
      <c r="I129" s="62">
        <f>'дод 3'!J44</f>
        <v>0</v>
      </c>
      <c r="J129" s="62">
        <f>'дод 3'!K44</f>
        <v>0</v>
      </c>
      <c r="K129" s="62">
        <f>'дод 3'!L44</f>
        <v>0</v>
      </c>
      <c r="L129" s="62">
        <f>'дод 3'!M44</f>
        <v>0</v>
      </c>
      <c r="M129" s="62">
        <f>'дод 3'!N44</f>
        <v>0</v>
      </c>
      <c r="N129" s="62">
        <f>'дод 3'!O44</f>
        <v>0</v>
      </c>
      <c r="O129" s="62">
        <f>'дод 3'!P44</f>
        <v>241467</v>
      </c>
    </row>
    <row r="130" spans="1:15" s="84" customFormat="1" ht="108" customHeight="1" x14ac:dyDescent="0.25">
      <c r="A130" s="46" t="s">
        <v>346</v>
      </c>
      <c r="B130" s="46" t="s">
        <v>102</v>
      </c>
      <c r="C130" s="3" t="s">
        <v>367</v>
      </c>
      <c r="D130" s="62">
        <f>'дод 3'!E45+'дод 3'!E158+'дод 3'!E179+'дод 3'!E184</f>
        <v>0</v>
      </c>
      <c r="E130" s="62">
        <f>'дод 3'!F45+'дод 3'!F158+'дод 3'!F179+'дод 3'!F184</f>
        <v>0</v>
      </c>
      <c r="F130" s="62">
        <f>'дод 3'!G45+'дод 3'!G158+'дод 3'!G179+'дод 3'!G184</f>
        <v>0</v>
      </c>
      <c r="G130" s="62">
        <f>'дод 3'!H45+'дод 3'!H158+'дод 3'!H179+'дод 3'!H184</f>
        <v>0</v>
      </c>
      <c r="H130" s="62">
        <f>'дод 3'!I45+'дод 3'!I158+'дод 3'!I179+'дод 3'!I184</f>
        <v>0</v>
      </c>
      <c r="I130" s="62">
        <f>'дод 3'!J45+'дод 3'!J158+'дод 3'!J179+'дод 3'!J184</f>
        <v>3887680.13</v>
      </c>
      <c r="J130" s="62">
        <f>'дод 3'!K45+'дод 3'!K158+'дод 3'!K179+'дод 3'!K184</f>
        <v>0</v>
      </c>
      <c r="K130" s="62">
        <f>'дод 3'!L45+'дод 3'!L158+'дод 3'!L179+'дод 3'!L184</f>
        <v>2171363.0100000002</v>
      </c>
      <c r="L130" s="62">
        <f>'дод 3'!M45+'дод 3'!M158+'дод 3'!M179+'дод 3'!M184</f>
        <v>0</v>
      </c>
      <c r="M130" s="62">
        <f>'дод 3'!N45+'дод 3'!N158+'дод 3'!N179+'дод 3'!N184</f>
        <v>0</v>
      </c>
      <c r="N130" s="62">
        <f>'дод 3'!O45+'дод 3'!O158+'дод 3'!O179+'дод 3'!O184</f>
        <v>1716317.12</v>
      </c>
      <c r="O130" s="62">
        <f>'дод 3'!P45+'дод 3'!P158+'дод 3'!P179+'дод 3'!P184</f>
        <v>3887680.13</v>
      </c>
    </row>
    <row r="131" spans="1:15" s="84" customFormat="1" ht="30.75" customHeight="1" x14ac:dyDescent="0.25">
      <c r="A131" s="46" t="s">
        <v>281</v>
      </c>
      <c r="B131" s="46" t="s">
        <v>102</v>
      </c>
      <c r="C131" s="3" t="s">
        <v>23</v>
      </c>
      <c r="D131" s="62">
        <f>'дод 3'!E46+'дод 3'!E195+'дод 3'!E200</f>
        <v>2772389</v>
      </c>
      <c r="E131" s="62">
        <f>'дод 3'!F46+'дод 3'!F195+'дод 3'!F200</f>
        <v>2772389</v>
      </c>
      <c r="F131" s="62">
        <f>'дод 3'!G46+'дод 3'!G195+'дод 3'!G200</f>
        <v>0</v>
      </c>
      <c r="G131" s="62">
        <f>'дод 3'!H46+'дод 3'!H195+'дод 3'!H200</f>
        <v>0</v>
      </c>
      <c r="H131" s="62">
        <f>'дод 3'!I46+'дод 3'!I195+'дод 3'!I200</f>
        <v>0</v>
      </c>
      <c r="I131" s="62">
        <f>'дод 3'!J46+'дод 3'!J195+'дод 3'!J200</f>
        <v>0</v>
      </c>
      <c r="J131" s="62">
        <f>'дод 3'!K46+'дод 3'!K195+'дод 3'!K200</f>
        <v>0</v>
      </c>
      <c r="K131" s="62">
        <f>'дод 3'!L46+'дод 3'!L195+'дод 3'!L200</f>
        <v>0</v>
      </c>
      <c r="L131" s="62">
        <f>'дод 3'!M46+'дод 3'!M195+'дод 3'!M200</f>
        <v>0</v>
      </c>
      <c r="M131" s="62">
        <f>'дод 3'!N46+'дод 3'!N195+'дод 3'!N200</f>
        <v>0</v>
      </c>
      <c r="N131" s="62">
        <f>'дод 3'!O46+'дод 3'!O195+'дод 3'!O200</f>
        <v>0</v>
      </c>
      <c r="O131" s="62">
        <f>'дод 3'!P46+'дод 3'!P195+'дод 3'!P200</f>
        <v>2772389</v>
      </c>
    </row>
    <row r="132" spans="1:15" s="83" customFormat="1" ht="48.75" customHeight="1" x14ac:dyDescent="0.25">
      <c r="A132" s="47">
        <v>7700</v>
      </c>
      <c r="B132" s="47"/>
      <c r="C132" s="99" t="s">
        <v>426</v>
      </c>
      <c r="D132" s="61">
        <f>D133</f>
        <v>0</v>
      </c>
      <c r="E132" s="61">
        <f t="shared" ref="E132:O132" si="18">E133</f>
        <v>0</v>
      </c>
      <c r="F132" s="61">
        <f t="shared" si="18"/>
        <v>0</v>
      </c>
      <c r="G132" s="61">
        <f t="shared" si="18"/>
        <v>0</v>
      </c>
      <c r="H132" s="61">
        <f t="shared" si="18"/>
        <v>0</v>
      </c>
      <c r="I132" s="61">
        <f t="shared" si="18"/>
        <v>885000</v>
      </c>
      <c r="J132" s="61">
        <f t="shared" si="18"/>
        <v>0</v>
      </c>
      <c r="K132" s="61">
        <f t="shared" si="18"/>
        <v>0</v>
      </c>
      <c r="L132" s="61">
        <f t="shared" si="18"/>
        <v>0</v>
      </c>
      <c r="M132" s="61">
        <f t="shared" si="18"/>
        <v>0</v>
      </c>
      <c r="N132" s="61">
        <f t="shared" si="18"/>
        <v>885000</v>
      </c>
      <c r="O132" s="61">
        <f t="shared" si="18"/>
        <v>885000</v>
      </c>
    </row>
    <row r="133" spans="1:15" s="84" customFormat="1" ht="46.5" customHeight="1" x14ac:dyDescent="0.25">
      <c r="A133" s="46">
        <v>7700</v>
      </c>
      <c r="B133" s="98" t="s">
        <v>113</v>
      </c>
      <c r="C133" s="24" t="s">
        <v>426</v>
      </c>
      <c r="D133" s="62">
        <f>'дод 3'!E97</f>
        <v>0</v>
      </c>
      <c r="E133" s="62">
        <f>'дод 3'!F97</f>
        <v>0</v>
      </c>
      <c r="F133" s="62">
        <f>'дод 3'!G97</f>
        <v>0</v>
      </c>
      <c r="G133" s="62">
        <f>'дод 3'!H97</f>
        <v>0</v>
      </c>
      <c r="H133" s="62">
        <f>'дод 3'!I97</f>
        <v>0</v>
      </c>
      <c r="I133" s="62">
        <f>'дод 3'!J97</f>
        <v>885000</v>
      </c>
      <c r="J133" s="62">
        <f>'дод 3'!K97</f>
        <v>0</v>
      </c>
      <c r="K133" s="62">
        <f>'дод 3'!L97</f>
        <v>0</v>
      </c>
      <c r="L133" s="62">
        <f>'дод 3'!M97</f>
        <v>0</v>
      </c>
      <c r="M133" s="62">
        <f>'дод 3'!N97</f>
        <v>0</v>
      </c>
      <c r="N133" s="62">
        <f>'дод 3'!O97</f>
        <v>885000</v>
      </c>
      <c r="O133" s="62">
        <f>'дод 3'!P97</f>
        <v>885000</v>
      </c>
    </row>
    <row r="134" spans="1:15" s="82" customFormat="1" x14ac:dyDescent="0.25">
      <c r="A134" s="47" t="s">
        <v>114</v>
      </c>
      <c r="B134" s="48"/>
      <c r="C134" s="2" t="s">
        <v>9</v>
      </c>
      <c r="D134" s="61">
        <f t="shared" ref="D134:O134" si="19">D135+D138+D140+D143+D145+D146</f>
        <v>11880585</v>
      </c>
      <c r="E134" s="61">
        <f t="shared" si="19"/>
        <v>6273513</v>
      </c>
      <c r="F134" s="61">
        <f t="shared" si="19"/>
        <v>1542220</v>
      </c>
      <c r="G134" s="61">
        <f t="shared" si="19"/>
        <v>413540</v>
      </c>
      <c r="H134" s="61">
        <f t="shared" si="19"/>
        <v>0</v>
      </c>
      <c r="I134" s="61">
        <f t="shared" si="19"/>
        <v>8664643.4499999993</v>
      </c>
      <c r="J134" s="61">
        <f t="shared" si="19"/>
        <v>2299600</v>
      </c>
      <c r="K134" s="61">
        <f t="shared" si="19"/>
        <v>2552000</v>
      </c>
      <c r="L134" s="61">
        <f t="shared" si="19"/>
        <v>0</v>
      </c>
      <c r="M134" s="61">
        <f t="shared" si="19"/>
        <v>541400</v>
      </c>
      <c r="N134" s="61">
        <f t="shared" si="19"/>
        <v>6112643.4500000002</v>
      </c>
      <c r="O134" s="61">
        <f t="shared" si="19"/>
        <v>20545228.449999999</v>
      </c>
    </row>
    <row r="135" spans="1:15" s="82" customFormat="1" ht="39.75" customHeight="1" x14ac:dyDescent="0.25">
      <c r="A135" s="47" t="s">
        <v>116</v>
      </c>
      <c r="B135" s="48"/>
      <c r="C135" s="2" t="s">
        <v>10</v>
      </c>
      <c r="D135" s="61">
        <f t="shared" ref="D135:O135" si="20">D136+D137</f>
        <v>4703088</v>
      </c>
      <c r="E135" s="61">
        <f t="shared" si="20"/>
        <v>4703088</v>
      </c>
      <c r="F135" s="61">
        <f t="shared" si="20"/>
        <v>1542220</v>
      </c>
      <c r="G135" s="61">
        <f t="shared" si="20"/>
        <v>135380</v>
      </c>
      <c r="H135" s="61">
        <f t="shared" si="20"/>
        <v>0</v>
      </c>
      <c r="I135" s="61">
        <f t="shared" si="20"/>
        <v>2305100</v>
      </c>
      <c r="J135" s="61">
        <f t="shared" si="20"/>
        <v>2299600</v>
      </c>
      <c r="K135" s="61">
        <f t="shared" si="20"/>
        <v>5500</v>
      </c>
      <c r="L135" s="61">
        <f t="shared" si="20"/>
        <v>0</v>
      </c>
      <c r="M135" s="61">
        <f t="shared" si="20"/>
        <v>1400</v>
      </c>
      <c r="N135" s="61">
        <f t="shared" si="20"/>
        <v>2299600</v>
      </c>
      <c r="O135" s="61">
        <f t="shared" si="20"/>
        <v>7008188</v>
      </c>
    </row>
    <row r="136" spans="1:15" s="82" customFormat="1" ht="36.75" customHeight="1" x14ac:dyDescent="0.25">
      <c r="A136" s="49" t="s">
        <v>11</v>
      </c>
      <c r="B136" s="49" t="s">
        <v>109</v>
      </c>
      <c r="C136" s="3" t="s">
        <v>347</v>
      </c>
      <c r="D136" s="62">
        <f>'дод 3'!E47+'дод 3'!E159</f>
        <v>2672818</v>
      </c>
      <c r="E136" s="62">
        <f>'дод 3'!F47+'дод 3'!F159</f>
        <v>2672818</v>
      </c>
      <c r="F136" s="62">
        <f>'дод 3'!G47+'дод 3'!G159</f>
        <v>0</v>
      </c>
      <c r="G136" s="62">
        <f>'дод 3'!H47+'дод 3'!H159</f>
        <v>55500</v>
      </c>
      <c r="H136" s="62">
        <f>'дод 3'!I47+'дод 3'!I159</f>
        <v>0</v>
      </c>
      <c r="I136" s="62">
        <f>'дод 3'!J47+'дод 3'!J159</f>
        <v>2299600</v>
      </c>
      <c r="J136" s="62">
        <f>'дод 3'!K47+'дод 3'!K159</f>
        <v>2299600</v>
      </c>
      <c r="K136" s="62">
        <f>'дод 3'!L47+'дод 3'!L159</f>
        <v>0</v>
      </c>
      <c r="L136" s="62">
        <f>'дод 3'!M47+'дод 3'!M159</f>
        <v>0</v>
      </c>
      <c r="M136" s="62">
        <f>'дод 3'!N47+'дод 3'!N159</f>
        <v>0</v>
      </c>
      <c r="N136" s="62">
        <f>'дод 3'!O47+'дод 3'!O159</f>
        <v>2299600</v>
      </c>
      <c r="O136" s="62">
        <f>'дод 3'!P47+'дод 3'!P159</f>
        <v>4972418</v>
      </c>
    </row>
    <row r="137" spans="1:15" ht="24.75" customHeight="1" x14ac:dyDescent="0.25">
      <c r="A137" s="46" t="s">
        <v>179</v>
      </c>
      <c r="B137" s="51" t="s">
        <v>109</v>
      </c>
      <c r="C137" s="3" t="s">
        <v>12</v>
      </c>
      <c r="D137" s="62">
        <f>'дод 3'!E48</f>
        <v>2030270</v>
      </c>
      <c r="E137" s="62">
        <f>'дод 3'!F48</f>
        <v>2030270</v>
      </c>
      <c r="F137" s="62">
        <f>'дод 3'!G48</f>
        <v>1542220</v>
      </c>
      <c r="G137" s="62">
        <f>'дод 3'!H48</f>
        <v>79880</v>
      </c>
      <c r="H137" s="62">
        <f>'дод 3'!I48</f>
        <v>0</v>
      </c>
      <c r="I137" s="62">
        <f>'дод 3'!J48</f>
        <v>5500</v>
      </c>
      <c r="J137" s="62">
        <f>'дод 3'!K48</f>
        <v>0</v>
      </c>
      <c r="K137" s="62">
        <f>'дод 3'!L48</f>
        <v>5500</v>
      </c>
      <c r="L137" s="62">
        <f>'дод 3'!M48</f>
        <v>0</v>
      </c>
      <c r="M137" s="62">
        <f>'дод 3'!N48</f>
        <v>1400</v>
      </c>
      <c r="N137" s="62">
        <f>'дод 3'!O48</f>
        <v>0</v>
      </c>
      <c r="O137" s="62">
        <f>'дод 3'!P48</f>
        <v>2035770</v>
      </c>
    </row>
    <row r="138" spans="1:15" s="82" customFormat="1" ht="30" customHeight="1" x14ac:dyDescent="0.25">
      <c r="A138" s="47" t="s">
        <v>292</v>
      </c>
      <c r="B138" s="47"/>
      <c r="C138" s="12" t="s">
        <v>293</v>
      </c>
      <c r="D138" s="61">
        <f t="shared" ref="D138:O138" si="21">D139</f>
        <v>683360</v>
      </c>
      <c r="E138" s="61">
        <f t="shared" si="21"/>
        <v>683360</v>
      </c>
      <c r="F138" s="61">
        <f t="shared" si="21"/>
        <v>0</v>
      </c>
      <c r="G138" s="61">
        <f t="shared" si="21"/>
        <v>278160</v>
      </c>
      <c r="H138" s="61">
        <f t="shared" si="21"/>
        <v>0</v>
      </c>
      <c r="I138" s="61">
        <f t="shared" si="21"/>
        <v>0</v>
      </c>
      <c r="J138" s="61">
        <f t="shared" si="21"/>
        <v>0</v>
      </c>
      <c r="K138" s="61">
        <f t="shared" si="21"/>
        <v>0</v>
      </c>
      <c r="L138" s="61">
        <f t="shared" si="21"/>
        <v>0</v>
      </c>
      <c r="M138" s="61">
        <f t="shared" si="21"/>
        <v>0</v>
      </c>
      <c r="N138" s="61">
        <f t="shared" si="21"/>
        <v>0</v>
      </c>
      <c r="O138" s="61">
        <f t="shared" si="21"/>
        <v>683360</v>
      </c>
    </row>
    <row r="139" spans="1:15" ht="30" customHeight="1" x14ac:dyDescent="0.25">
      <c r="A139" s="46" t="s">
        <v>286</v>
      </c>
      <c r="B139" s="51" t="s">
        <v>287</v>
      </c>
      <c r="C139" s="3" t="s">
        <v>288</v>
      </c>
      <c r="D139" s="62">
        <f>'дод 3'!E49+'дод 3'!E160</f>
        <v>683360</v>
      </c>
      <c r="E139" s="62">
        <f>'дод 3'!F49+'дод 3'!F160</f>
        <v>683360</v>
      </c>
      <c r="F139" s="62">
        <f>'дод 3'!G49+'дод 3'!G160</f>
        <v>0</v>
      </c>
      <c r="G139" s="62">
        <f>'дод 3'!H49+'дод 3'!H160</f>
        <v>278160</v>
      </c>
      <c r="H139" s="62">
        <f>'дод 3'!I49+'дод 3'!I160</f>
        <v>0</v>
      </c>
      <c r="I139" s="62">
        <f>'дод 3'!J49+'дод 3'!J160</f>
        <v>0</v>
      </c>
      <c r="J139" s="62">
        <f>'дод 3'!K49+'дод 3'!K160</f>
        <v>0</v>
      </c>
      <c r="K139" s="62">
        <f>'дод 3'!L49+'дод 3'!L160</f>
        <v>0</v>
      </c>
      <c r="L139" s="62">
        <f>'дод 3'!M49+'дод 3'!M160</f>
        <v>0</v>
      </c>
      <c r="M139" s="62">
        <f>'дод 3'!N49+'дод 3'!N160</f>
        <v>0</v>
      </c>
      <c r="N139" s="62">
        <f>'дод 3'!O49+'дод 3'!O160</f>
        <v>0</v>
      </c>
      <c r="O139" s="62">
        <f>'дод 3'!P49+'дод 3'!P160</f>
        <v>683360</v>
      </c>
    </row>
    <row r="140" spans="1:15" s="82" customFormat="1" ht="22.5" customHeight="1" x14ac:dyDescent="0.25">
      <c r="A140" s="47" t="s">
        <v>8</v>
      </c>
      <c r="B140" s="48"/>
      <c r="C140" s="2" t="s">
        <v>13</v>
      </c>
      <c r="D140" s="61">
        <f t="shared" ref="D140:O140" si="22">D142+D141</f>
        <v>75000</v>
      </c>
      <c r="E140" s="61">
        <f t="shared" si="22"/>
        <v>75000</v>
      </c>
      <c r="F140" s="61">
        <f t="shared" si="22"/>
        <v>0</v>
      </c>
      <c r="G140" s="61">
        <f t="shared" si="22"/>
        <v>0</v>
      </c>
      <c r="H140" s="61">
        <f t="shared" si="22"/>
        <v>0</v>
      </c>
      <c r="I140" s="61">
        <f t="shared" si="22"/>
        <v>6359543.4500000002</v>
      </c>
      <c r="J140" s="61">
        <f t="shared" si="22"/>
        <v>0</v>
      </c>
      <c r="K140" s="61">
        <f t="shared" si="22"/>
        <v>2546500</v>
      </c>
      <c r="L140" s="61">
        <f t="shared" si="22"/>
        <v>0</v>
      </c>
      <c r="M140" s="61">
        <f t="shared" si="22"/>
        <v>540000</v>
      </c>
      <c r="N140" s="61">
        <f t="shared" si="22"/>
        <v>3813043.45</v>
      </c>
      <c r="O140" s="61">
        <f t="shared" si="22"/>
        <v>6434543.4500000002</v>
      </c>
    </row>
    <row r="141" spans="1:15" s="82" customFormat="1" ht="46.5" customHeight="1" x14ac:dyDescent="0.25">
      <c r="A141" s="46">
        <v>8330</v>
      </c>
      <c r="B141" s="46">
        <v>540</v>
      </c>
      <c r="C141" s="3" t="s">
        <v>409</v>
      </c>
      <c r="D141" s="62">
        <f>'дод 3'!E201</f>
        <v>75000</v>
      </c>
      <c r="E141" s="62">
        <f>'дод 3'!F201</f>
        <v>75000</v>
      </c>
      <c r="F141" s="62">
        <f>'дод 3'!G201</f>
        <v>0</v>
      </c>
      <c r="G141" s="62">
        <f>'дод 3'!H201</f>
        <v>0</v>
      </c>
      <c r="H141" s="62">
        <f>'дод 3'!I201</f>
        <v>0</v>
      </c>
      <c r="I141" s="62">
        <f>'дод 3'!J201</f>
        <v>0</v>
      </c>
      <c r="J141" s="62">
        <f>'дод 3'!K201</f>
        <v>0</v>
      </c>
      <c r="K141" s="62">
        <f>'дод 3'!L201</f>
        <v>0</v>
      </c>
      <c r="L141" s="62">
        <f>'дод 3'!M201</f>
        <v>0</v>
      </c>
      <c r="M141" s="62">
        <f>'дод 3'!N201</f>
        <v>0</v>
      </c>
      <c r="N141" s="62">
        <f>'дод 3'!O201</f>
        <v>0</v>
      </c>
      <c r="O141" s="62">
        <f>'дод 3'!P201</f>
        <v>75000</v>
      </c>
    </row>
    <row r="142" spans="1:15" s="82" customFormat="1" ht="25.5" customHeight="1" x14ac:dyDescent="0.25">
      <c r="A142" s="46" t="s">
        <v>14</v>
      </c>
      <c r="B142" s="46" t="s">
        <v>112</v>
      </c>
      <c r="C142" s="3" t="s">
        <v>15</v>
      </c>
      <c r="D142" s="62">
        <f>'дод 3'!E50+'дод 3'!E77+'дод 3'!E161+'дод 3'!E202+'дод 3'!E134</f>
        <v>0</v>
      </c>
      <c r="E142" s="62">
        <f>'дод 3'!F50+'дод 3'!F77+'дод 3'!F161+'дод 3'!F202+'дод 3'!F134</f>
        <v>0</v>
      </c>
      <c r="F142" s="62">
        <f>'дод 3'!G50+'дод 3'!G77+'дод 3'!G161+'дод 3'!G202+'дод 3'!G134</f>
        <v>0</v>
      </c>
      <c r="G142" s="62">
        <f>'дод 3'!H50+'дод 3'!H77+'дод 3'!H161+'дод 3'!H202+'дод 3'!H134</f>
        <v>0</v>
      </c>
      <c r="H142" s="62">
        <f>'дод 3'!I50+'дод 3'!I77+'дод 3'!I161+'дод 3'!I202+'дод 3'!I134</f>
        <v>0</v>
      </c>
      <c r="I142" s="62">
        <f>'дод 3'!J50+'дод 3'!J77+'дод 3'!J161+'дод 3'!J202+'дод 3'!J134</f>
        <v>6359543.4500000002</v>
      </c>
      <c r="J142" s="62">
        <f>'дод 3'!K50+'дод 3'!K77+'дод 3'!K161+'дод 3'!K202+'дод 3'!K134</f>
        <v>0</v>
      </c>
      <c r="K142" s="62">
        <f>'дод 3'!L50+'дод 3'!L77+'дод 3'!L161+'дод 3'!L202+'дод 3'!L134</f>
        <v>2546500</v>
      </c>
      <c r="L142" s="62">
        <f>'дод 3'!M50+'дод 3'!M77+'дод 3'!M161+'дод 3'!M202+'дод 3'!M134</f>
        <v>0</v>
      </c>
      <c r="M142" s="62">
        <f>'дод 3'!N50+'дод 3'!N77+'дод 3'!N161+'дод 3'!N202+'дод 3'!N134</f>
        <v>540000</v>
      </c>
      <c r="N142" s="62">
        <f>'дод 3'!O50+'дод 3'!O77+'дод 3'!O161+'дод 3'!O202+'дод 3'!O134</f>
        <v>3813043.45</v>
      </c>
      <c r="O142" s="62">
        <f>'дод 3'!P50+'дод 3'!P77+'дод 3'!P161+'дод 3'!P202+'дод 3'!P134</f>
        <v>6359543.4500000002</v>
      </c>
    </row>
    <row r="143" spans="1:15" s="82" customFormat="1" ht="26.25" customHeight="1" x14ac:dyDescent="0.25">
      <c r="A143" s="47" t="s">
        <v>161</v>
      </c>
      <c r="B143" s="48"/>
      <c r="C143" s="2" t="s">
        <v>95</v>
      </c>
      <c r="D143" s="61">
        <f t="shared" ref="D143:O143" si="23">D144</f>
        <v>100000</v>
      </c>
      <c r="E143" s="61">
        <f t="shared" si="23"/>
        <v>100000</v>
      </c>
      <c r="F143" s="61">
        <f t="shared" si="23"/>
        <v>0</v>
      </c>
      <c r="G143" s="61">
        <f t="shared" si="23"/>
        <v>0</v>
      </c>
      <c r="H143" s="61">
        <f t="shared" si="23"/>
        <v>0</v>
      </c>
      <c r="I143" s="61">
        <f t="shared" si="23"/>
        <v>0</v>
      </c>
      <c r="J143" s="61">
        <f t="shared" si="23"/>
        <v>0</v>
      </c>
      <c r="K143" s="61">
        <f t="shared" si="23"/>
        <v>0</v>
      </c>
      <c r="L143" s="61">
        <f t="shared" si="23"/>
        <v>0</v>
      </c>
      <c r="M143" s="61">
        <f t="shared" si="23"/>
        <v>0</v>
      </c>
      <c r="N143" s="61">
        <f t="shared" si="23"/>
        <v>0</v>
      </c>
      <c r="O143" s="61">
        <f t="shared" si="23"/>
        <v>100000</v>
      </c>
    </row>
    <row r="144" spans="1:15" s="82" customFormat="1" ht="25.5" customHeight="1" x14ac:dyDescent="0.25">
      <c r="A144" s="46" t="s">
        <v>297</v>
      </c>
      <c r="B144" s="51" t="s">
        <v>96</v>
      </c>
      <c r="C144" s="3" t="s">
        <v>298</v>
      </c>
      <c r="D144" s="62">
        <f>'дод 3'!E51</f>
        <v>100000</v>
      </c>
      <c r="E144" s="62">
        <f>'дод 3'!F51</f>
        <v>100000</v>
      </c>
      <c r="F144" s="62">
        <f>'дод 3'!G51</f>
        <v>0</v>
      </c>
      <c r="G144" s="62">
        <f>'дод 3'!H51</f>
        <v>0</v>
      </c>
      <c r="H144" s="62">
        <f>'дод 3'!I51</f>
        <v>0</v>
      </c>
      <c r="I144" s="62">
        <f>'дод 3'!J51</f>
        <v>0</v>
      </c>
      <c r="J144" s="62">
        <f>'дод 3'!K51</f>
        <v>0</v>
      </c>
      <c r="K144" s="62">
        <f>'дод 3'!L51</f>
        <v>0</v>
      </c>
      <c r="L144" s="62">
        <f>'дод 3'!M51</f>
        <v>0</v>
      </c>
      <c r="M144" s="62">
        <f>'дод 3'!N51</f>
        <v>0</v>
      </c>
      <c r="N144" s="62">
        <f>'дод 3'!O51</f>
        <v>0</v>
      </c>
      <c r="O144" s="62">
        <f>'дод 3'!P51</f>
        <v>100000</v>
      </c>
    </row>
    <row r="145" spans="1:15" s="82" customFormat="1" ht="26.25" customHeight="1" x14ac:dyDescent="0.25">
      <c r="A145" s="47" t="s">
        <v>115</v>
      </c>
      <c r="B145" s="47" t="s">
        <v>110</v>
      </c>
      <c r="C145" s="2" t="s">
        <v>16</v>
      </c>
      <c r="D145" s="61">
        <f>'дод 3'!E203</f>
        <v>712065</v>
      </c>
      <c r="E145" s="61">
        <f>'дод 3'!F203</f>
        <v>712065</v>
      </c>
      <c r="F145" s="61">
        <f>'дод 3'!G203</f>
        <v>0</v>
      </c>
      <c r="G145" s="61">
        <f>'дод 3'!H203</f>
        <v>0</v>
      </c>
      <c r="H145" s="61">
        <f>'дод 3'!I203</f>
        <v>0</v>
      </c>
      <c r="I145" s="61">
        <f>'дод 3'!J203</f>
        <v>0</v>
      </c>
      <c r="J145" s="61">
        <f>'дод 3'!K203</f>
        <v>0</v>
      </c>
      <c r="K145" s="61">
        <f>'дод 3'!L203</f>
        <v>0</v>
      </c>
      <c r="L145" s="61">
        <f>'дод 3'!M203</f>
        <v>0</v>
      </c>
      <c r="M145" s="61">
        <f>'дод 3'!N203</f>
        <v>0</v>
      </c>
      <c r="N145" s="61">
        <f>'дод 3'!O203</f>
        <v>0</v>
      </c>
      <c r="O145" s="61">
        <f>'дод 3'!P203</f>
        <v>712065</v>
      </c>
    </row>
    <row r="146" spans="1:15" s="82" customFormat="1" ht="26.25" customHeight="1" x14ac:dyDescent="0.25">
      <c r="A146" s="47" t="s">
        <v>17</v>
      </c>
      <c r="B146" s="47" t="s">
        <v>113</v>
      </c>
      <c r="C146" s="2" t="s">
        <v>26</v>
      </c>
      <c r="D146" s="61">
        <f>'дод 3'!E204</f>
        <v>5607072</v>
      </c>
      <c r="E146" s="61">
        <f>'дод 3'!F204</f>
        <v>0</v>
      </c>
      <c r="F146" s="61">
        <f>'дод 3'!G204</f>
        <v>0</v>
      </c>
      <c r="G146" s="61">
        <f>'дод 3'!H204</f>
        <v>0</v>
      </c>
      <c r="H146" s="61">
        <f>'дод 3'!I204</f>
        <v>0</v>
      </c>
      <c r="I146" s="61">
        <f>'дод 3'!J204</f>
        <v>0</v>
      </c>
      <c r="J146" s="61">
        <f>'дод 3'!K204</f>
        <v>0</v>
      </c>
      <c r="K146" s="61">
        <f>'дод 3'!L204</f>
        <v>0</v>
      </c>
      <c r="L146" s="61">
        <f>'дод 3'!M204</f>
        <v>0</v>
      </c>
      <c r="M146" s="61">
        <f>'дод 3'!N204</f>
        <v>0</v>
      </c>
      <c r="N146" s="61">
        <f>'дод 3'!O204</f>
        <v>0</v>
      </c>
      <c r="O146" s="61">
        <f>'дод 3'!P204</f>
        <v>5607072</v>
      </c>
    </row>
    <row r="147" spans="1:15" s="82" customFormat="1" ht="27.75" customHeight="1" x14ac:dyDescent="0.25">
      <c r="A147" s="47" t="s">
        <v>18</v>
      </c>
      <c r="B147" s="47"/>
      <c r="C147" s="2" t="s">
        <v>131</v>
      </c>
      <c r="D147" s="61">
        <f>D148+D150+D152</f>
        <v>109639485</v>
      </c>
      <c r="E147" s="61">
        <f t="shared" ref="E147:O147" si="24">E148+E150+E152</f>
        <v>109639485</v>
      </c>
      <c r="F147" s="61">
        <f t="shared" si="24"/>
        <v>0</v>
      </c>
      <c r="G147" s="61">
        <f t="shared" si="24"/>
        <v>0</v>
      </c>
      <c r="H147" s="61">
        <f t="shared" si="24"/>
        <v>0</v>
      </c>
      <c r="I147" s="61">
        <f t="shared" si="24"/>
        <v>7632000</v>
      </c>
      <c r="J147" s="61">
        <f t="shared" si="24"/>
        <v>7632000</v>
      </c>
      <c r="K147" s="61">
        <f t="shared" si="24"/>
        <v>0</v>
      </c>
      <c r="L147" s="61">
        <f t="shared" si="24"/>
        <v>0</v>
      </c>
      <c r="M147" s="61">
        <f t="shared" si="24"/>
        <v>0</v>
      </c>
      <c r="N147" s="61">
        <f t="shared" si="24"/>
        <v>7632000</v>
      </c>
      <c r="O147" s="61">
        <f t="shared" si="24"/>
        <v>117271485</v>
      </c>
    </row>
    <row r="148" spans="1:15" s="82" customFormat="1" ht="21.75" customHeight="1" x14ac:dyDescent="0.25">
      <c r="A148" s="47" t="s">
        <v>295</v>
      </c>
      <c r="B148" s="47"/>
      <c r="C148" s="2" t="s">
        <v>348</v>
      </c>
      <c r="D148" s="61">
        <f t="shared" ref="D148:O148" si="25">D149</f>
        <v>108116600</v>
      </c>
      <c r="E148" s="61">
        <f t="shared" si="25"/>
        <v>108116600</v>
      </c>
      <c r="F148" s="61">
        <f t="shared" si="25"/>
        <v>0</v>
      </c>
      <c r="G148" s="61">
        <f t="shared" si="25"/>
        <v>0</v>
      </c>
      <c r="H148" s="61">
        <f t="shared" si="25"/>
        <v>0</v>
      </c>
      <c r="I148" s="61">
        <f t="shared" si="25"/>
        <v>0</v>
      </c>
      <c r="J148" s="61">
        <f t="shared" si="25"/>
        <v>0</v>
      </c>
      <c r="K148" s="61">
        <f t="shared" si="25"/>
        <v>0</v>
      </c>
      <c r="L148" s="61">
        <f t="shared" si="25"/>
        <v>0</v>
      </c>
      <c r="M148" s="61">
        <f t="shared" si="25"/>
        <v>0</v>
      </c>
      <c r="N148" s="61">
        <f t="shared" si="25"/>
        <v>0</v>
      </c>
      <c r="O148" s="61">
        <f t="shared" si="25"/>
        <v>108116600</v>
      </c>
    </row>
    <row r="149" spans="1:15" s="82" customFormat="1" ht="21.75" customHeight="1" x14ac:dyDescent="0.25">
      <c r="A149" s="46" t="s">
        <v>111</v>
      </c>
      <c r="B149" s="51" t="s">
        <v>59</v>
      </c>
      <c r="C149" s="3" t="s">
        <v>130</v>
      </c>
      <c r="D149" s="62">
        <f>'дод 3'!E205</f>
        <v>108116600</v>
      </c>
      <c r="E149" s="62">
        <f>'дод 3'!F205</f>
        <v>108116600</v>
      </c>
      <c r="F149" s="62">
        <f>'дод 3'!G205</f>
        <v>0</v>
      </c>
      <c r="G149" s="62">
        <f>'дод 3'!H205</f>
        <v>0</v>
      </c>
      <c r="H149" s="62">
        <f>'дод 3'!I205</f>
        <v>0</v>
      </c>
      <c r="I149" s="62">
        <f>'дод 3'!J205</f>
        <v>0</v>
      </c>
      <c r="J149" s="62">
        <f>'дод 3'!K205</f>
        <v>0</v>
      </c>
      <c r="K149" s="62">
        <f>'дод 3'!L205</f>
        <v>0</v>
      </c>
      <c r="L149" s="62">
        <f>'дод 3'!M205</f>
        <v>0</v>
      </c>
      <c r="M149" s="62">
        <f>'дод 3'!N205</f>
        <v>0</v>
      </c>
      <c r="N149" s="62">
        <f>'дод 3'!O205</f>
        <v>0</v>
      </c>
      <c r="O149" s="62">
        <f>'дод 3'!P205</f>
        <v>108116600</v>
      </c>
    </row>
    <row r="150" spans="1:15" s="82" customFormat="1" ht="50.25" customHeight="1" x14ac:dyDescent="0.25">
      <c r="A150" s="47" t="s">
        <v>19</v>
      </c>
      <c r="B150" s="48"/>
      <c r="C150" s="2" t="s">
        <v>408</v>
      </c>
      <c r="D150" s="61">
        <f t="shared" ref="D150:O150" si="26">D151</f>
        <v>1438000</v>
      </c>
      <c r="E150" s="61">
        <f t="shared" si="26"/>
        <v>1438000</v>
      </c>
      <c r="F150" s="61">
        <f t="shared" si="26"/>
        <v>0</v>
      </c>
      <c r="G150" s="61">
        <f t="shared" si="26"/>
        <v>0</v>
      </c>
      <c r="H150" s="61">
        <f t="shared" si="26"/>
        <v>0</v>
      </c>
      <c r="I150" s="61">
        <f t="shared" si="26"/>
        <v>7632000</v>
      </c>
      <c r="J150" s="61">
        <f t="shared" si="26"/>
        <v>7632000</v>
      </c>
      <c r="K150" s="61">
        <f t="shared" si="26"/>
        <v>0</v>
      </c>
      <c r="L150" s="61">
        <f t="shared" si="26"/>
        <v>0</v>
      </c>
      <c r="M150" s="61">
        <f t="shared" si="26"/>
        <v>0</v>
      </c>
      <c r="N150" s="61">
        <f t="shared" si="26"/>
        <v>7632000</v>
      </c>
      <c r="O150" s="61">
        <f t="shared" si="26"/>
        <v>9070000</v>
      </c>
    </row>
    <row r="151" spans="1:15" s="82" customFormat="1" ht="30.75" customHeight="1" x14ac:dyDescent="0.25">
      <c r="A151" s="46" t="s">
        <v>20</v>
      </c>
      <c r="B151" s="51" t="s">
        <v>59</v>
      </c>
      <c r="C151" s="6" t="s">
        <v>417</v>
      </c>
      <c r="D151" s="62">
        <f>'дод 3'!E162+'дод 3'!E119</f>
        <v>1438000</v>
      </c>
      <c r="E151" s="62">
        <f>'дод 3'!F162+'дод 3'!F119</f>
        <v>1438000</v>
      </c>
      <c r="F151" s="62">
        <f>'дод 3'!G162+'дод 3'!G119</f>
        <v>0</v>
      </c>
      <c r="G151" s="62">
        <f>'дод 3'!H162+'дод 3'!H119</f>
        <v>0</v>
      </c>
      <c r="H151" s="62">
        <f>'дод 3'!I162+'дод 3'!I119</f>
        <v>0</v>
      </c>
      <c r="I151" s="62">
        <f>'дод 3'!J162+'дод 3'!J119</f>
        <v>7632000</v>
      </c>
      <c r="J151" s="62">
        <f>'дод 3'!K162+'дод 3'!K119</f>
        <v>7632000</v>
      </c>
      <c r="K151" s="62">
        <f>'дод 3'!L162+'дод 3'!L119</f>
        <v>0</v>
      </c>
      <c r="L151" s="62">
        <f>'дод 3'!M162+'дод 3'!M119</f>
        <v>0</v>
      </c>
      <c r="M151" s="62">
        <f>'дод 3'!N162+'дод 3'!N119</f>
        <v>0</v>
      </c>
      <c r="N151" s="62">
        <f>'дод 3'!O162+'дод 3'!O119</f>
        <v>7632000</v>
      </c>
      <c r="O151" s="62">
        <f>'дод 3'!P162+'дод 3'!P119</f>
        <v>9070000</v>
      </c>
    </row>
    <row r="152" spans="1:15" s="82" customFormat="1" ht="55.5" customHeight="1" x14ac:dyDescent="0.25">
      <c r="A152" s="47" t="s">
        <v>444</v>
      </c>
      <c r="B152" s="48" t="s">
        <v>59</v>
      </c>
      <c r="C152" s="9" t="s">
        <v>441</v>
      </c>
      <c r="D152" s="62">
        <f>'дод 3'!E78</f>
        <v>84885</v>
      </c>
      <c r="E152" s="62">
        <f>'дод 3'!F78</f>
        <v>84885</v>
      </c>
      <c r="F152" s="62">
        <f>'дод 3'!G78</f>
        <v>0</v>
      </c>
      <c r="G152" s="62">
        <f>'дод 3'!H78</f>
        <v>0</v>
      </c>
      <c r="H152" s="62">
        <f>'дод 3'!I78</f>
        <v>0</v>
      </c>
      <c r="I152" s="62">
        <f>'дод 3'!J78</f>
        <v>0</v>
      </c>
      <c r="J152" s="62">
        <f>'дод 3'!K78</f>
        <v>0</v>
      </c>
      <c r="K152" s="62">
        <f>'дод 3'!L78</f>
        <v>0</v>
      </c>
      <c r="L152" s="62">
        <f>'дод 3'!M78</f>
        <v>0</v>
      </c>
      <c r="M152" s="62">
        <f>'дод 3'!N78</f>
        <v>0</v>
      </c>
      <c r="N152" s="62">
        <f>'дод 3'!O78</f>
        <v>0</v>
      </c>
      <c r="O152" s="62">
        <f>'дод 3'!P78</f>
        <v>84885</v>
      </c>
    </row>
    <row r="153" spans="1:15" s="82" customFormat="1" ht="25.5" customHeight="1" x14ac:dyDescent="0.25">
      <c r="A153" s="7"/>
      <c r="B153" s="7"/>
      <c r="C153" s="2" t="s">
        <v>27</v>
      </c>
      <c r="D153" s="61">
        <f t="shared" ref="D153:O153" si="27">D19+D22+D39+D53+D77+D82+D89+D98+D134+D147</f>
        <v>2076398964.5900002</v>
      </c>
      <c r="E153" s="61">
        <f t="shared" si="27"/>
        <v>2007780454.5900002</v>
      </c>
      <c r="F153" s="61">
        <f t="shared" si="27"/>
        <v>908559932</v>
      </c>
      <c r="G153" s="61">
        <f t="shared" si="27"/>
        <v>119078887</v>
      </c>
      <c r="H153" s="61">
        <f t="shared" si="27"/>
        <v>63011438</v>
      </c>
      <c r="I153" s="61">
        <f t="shared" si="27"/>
        <v>607265101.11000001</v>
      </c>
      <c r="J153" s="61">
        <f t="shared" si="27"/>
        <v>446613854.46999997</v>
      </c>
      <c r="K153" s="61">
        <f t="shared" si="27"/>
        <v>144233011.00999999</v>
      </c>
      <c r="L153" s="61">
        <f t="shared" si="27"/>
        <v>9012497</v>
      </c>
      <c r="M153" s="61">
        <f t="shared" si="27"/>
        <v>3810541</v>
      </c>
      <c r="N153" s="61">
        <f t="shared" si="27"/>
        <v>463032090.09999996</v>
      </c>
      <c r="O153" s="61">
        <f t="shared" si="27"/>
        <v>2683664065.6999998</v>
      </c>
    </row>
    <row r="154" spans="1:15" s="82" customFormat="1" ht="25.5" customHeight="1" x14ac:dyDescent="0.25">
      <c r="A154" s="7"/>
      <c r="B154" s="7"/>
      <c r="C154" s="2" t="s">
        <v>308</v>
      </c>
      <c r="D154" s="61">
        <f>D23+D40+D99</f>
        <v>443759326</v>
      </c>
      <c r="E154" s="61">
        <f t="shared" ref="E154:O154" si="28">E23+E40+E99</f>
        <v>443759326</v>
      </c>
      <c r="F154" s="61">
        <f t="shared" si="28"/>
        <v>307191100</v>
      </c>
      <c r="G154" s="61">
        <f t="shared" si="28"/>
        <v>0</v>
      </c>
      <c r="H154" s="61">
        <f t="shared" si="28"/>
        <v>0</v>
      </c>
      <c r="I154" s="61">
        <f t="shared" si="28"/>
        <v>82674037.930000007</v>
      </c>
      <c r="J154" s="61">
        <f t="shared" si="28"/>
        <v>2674037.9299999997</v>
      </c>
      <c r="K154" s="61">
        <f t="shared" si="28"/>
        <v>80000000</v>
      </c>
      <c r="L154" s="61">
        <f t="shared" si="28"/>
        <v>0</v>
      </c>
      <c r="M154" s="61">
        <f t="shared" si="28"/>
        <v>0</v>
      </c>
      <c r="N154" s="61">
        <f t="shared" si="28"/>
        <v>2674037.9299999997</v>
      </c>
      <c r="O154" s="61">
        <f t="shared" si="28"/>
        <v>526433363.93000001</v>
      </c>
    </row>
    <row r="155" spans="1:15" s="82" customFormat="1" ht="25.5" customHeight="1" x14ac:dyDescent="0.25">
      <c r="A155" s="146"/>
      <c r="B155" s="146"/>
      <c r="C155" s="14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1:15" s="82" customFormat="1" ht="25.5" customHeight="1" x14ac:dyDescent="0.25">
      <c r="A156" s="146"/>
      <c r="B156" s="146"/>
      <c r="C156" s="147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</row>
    <row r="157" spans="1:15" s="82" customFormat="1" ht="25.5" customHeight="1" x14ac:dyDescent="0.25">
      <c r="A157" s="146"/>
      <c r="B157" s="146"/>
      <c r="C157" s="14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5" s="82" customFormat="1" ht="25.5" customHeight="1" x14ac:dyDescent="0.25">
      <c r="A158" s="146"/>
      <c r="B158" s="146"/>
      <c r="C158" s="147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</row>
    <row r="159" spans="1:15" s="54" customFormat="1" x14ac:dyDescent="0.25">
      <c r="A159" s="108"/>
      <c r="B159" s="53"/>
      <c r="C159" s="53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1:15" ht="15.75" customHeight="1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1:24" ht="28.5" customHeight="1" x14ac:dyDescent="0.45">
      <c r="A161" s="138" t="s">
        <v>457</v>
      </c>
      <c r="B161" s="138"/>
      <c r="C161" s="138"/>
      <c r="D161" s="138"/>
      <c r="E161" s="138"/>
      <c r="F161" s="138"/>
      <c r="G161" s="138"/>
      <c r="H161" s="138"/>
      <c r="I161" s="139"/>
      <c r="J161" s="139"/>
      <c r="K161" s="139"/>
      <c r="L161" s="140"/>
      <c r="M161" s="140"/>
      <c r="N161" s="154" t="s">
        <v>458</v>
      </c>
      <c r="O161" s="154"/>
      <c r="P161" s="154"/>
    </row>
    <row r="162" spans="1:24" ht="30" customHeight="1" x14ac:dyDescent="0.45">
      <c r="A162" s="141"/>
      <c r="B162" s="141"/>
      <c r="C162" s="141"/>
      <c r="D162" s="142"/>
      <c r="E162" s="143"/>
      <c r="F162" s="143"/>
      <c r="G162" s="143"/>
      <c r="H162" s="143"/>
      <c r="I162" s="143"/>
      <c r="J162" s="143"/>
      <c r="K162" s="144"/>
      <c r="L162" s="143"/>
      <c r="M162" s="143"/>
      <c r="N162" s="34"/>
      <c r="O162" s="34"/>
      <c r="P162" s="34"/>
    </row>
    <row r="163" spans="1:24" ht="30" customHeight="1" x14ac:dyDescent="0.4">
      <c r="A163" s="145" t="s">
        <v>459</v>
      </c>
      <c r="B163" s="112"/>
      <c r="C163" s="112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1:24" ht="15.75" customHeight="1" x14ac:dyDescent="0.4">
      <c r="A164" s="145" t="s">
        <v>460</v>
      </c>
      <c r="B164" s="112"/>
      <c r="C164" s="112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1:24" s="128" customFormat="1" ht="35.25" customHeight="1" x14ac:dyDescent="0.5">
      <c r="A165" s="126"/>
      <c r="B165" s="126"/>
      <c r="C165" s="126"/>
      <c r="D165" s="126"/>
      <c r="E165" s="126"/>
      <c r="F165" s="126"/>
      <c r="G165" s="126"/>
      <c r="H165" s="126"/>
      <c r="I165" s="127"/>
      <c r="J165" s="127"/>
      <c r="K165" s="127"/>
      <c r="M165" s="162"/>
      <c r="N165" s="162"/>
      <c r="O165" s="162"/>
      <c r="P165" s="105"/>
      <c r="Q165" s="129"/>
      <c r="R165" s="129"/>
      <c r="S165" s="129"/>
      <c r="T165" s="129"/>
      <c r="U165" s="129"/>
      <c r="V165" s="129"/>
      <c r="W165" s="130"/>
      <c r="X165" s="131"/>
    </row>
    <row r="166" spans="1:24" ht="23.25" customHeight="1" x14ac:dyDescent="0.25"/>
    <row r="168" spans="1:24" ht="22.5" customHeight="1" x14ac:dyDescent="0.25"/>
  </sheetData>
  <mergeCells count="23">
    <mergeCell ref="M165:O165"/>
    <mergeCell ref="N161:P161"/>
    <mergeCell ref="I16:N16"/>
    <mergeCell ref="H17:H18"/>
    <mergeCell ref="I17:I18"/>
    <mergeCell ref="J17:J18"/>
    <mergeCell ref="O16:O18"/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2020-05-13T10:37:06Z</cp:lastPrinted>
  <dcterms:created xsi:type="dcterms:W3CDTF">2014-01-17T10:52:16Z</dcterms:created>
  <dcterms:modified xsi:type="dcterms:W3CDTF">2020-05-14T10:28:31Z</dcterms:modified>
</cp:coreProperties>
</file>