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0" yWindow="0" windowWidth="19440" windowHeight="11760" firstSheet="1" activeTab="2"/>
  </bookViews>
  <sheets>
    <sheet name="Додаток 1" sheetId="10" state="hidden" r:id="rId1"/>
    <sheet name="Додаток 2" sheetId="24" r:id="rId2"/>
    <sheet name="Додаток 3" sheetId="25" r:id="rId3"/>
    <sheet name="Додаток 4" sheetId="14" r:id="rId4"/>
    <sheet name="Лист1" sheetId="26" r:id="rId5"/>
  </sheets>
  <externalReferences>
    <externalReference r:id="rId6"/>
  </externalReferences>
  <definedNames>
    <definedName name="_xlnm._FilterDatabase" localSheetId="2" hidden="1">'Додаток 3'!$A$7:$L$412</definedName>
    <definedName name="_xlnm.Print_Titles" localSheetId="2">'Додаток 3'!$7:$10</definedName>
    <definedName name="_xlnm.Print_Titles" localSheetId="3">'Додаток 4'!$6:$10</definedName>
    <definedName name="_xlnm.Print_Area" localSheetId="0">'Додаток 1'!$A$1:$C$28</definedName>
    <definedName name="_xlnm.Print_Area" localSheetId="1">'Додаток 2'!$A$1:$D$29</definedName>
    <definedName name="_xlnm.Print_Area" localSheetId="2">'Додаток 3'!$A$2:$L$423</definedName>
    <definedName name="_xlnm.Print_Area" localSheetId="3">'Додаток 4'!$A$1:$K$324</definedName>
  </definedNames>
  <calcPr calcId="144525"/>
</workbook>
</file>

<file path=xl/calcChain.xml><?xml version="1.0" encoding="utf-8"?>
<calcChain xmlns="http://schemas.openxmlformats.org/spreadsheetml/2006/main">
  <c r="C306" i="14" l="1"/>
  <c r="I229" i="25"/>
  <c r="I310" i="25"/>
  <c r="I309" i="25" l="1"/>
  <c r="I226" i="25"/>
  <c r="I29" i="25"/>
  <c r="I27" i="25"/>
  <c r="I216" i="25"/>
  <c r="I214" i="25"/>
  <c r="I212" i="25"/>
  <c r="E14" i="14"/>
  <c r="H14" i="14"/>
  <c r="K14" i="14"/>
  <c r="D120" i="14"/>
  <c r="C120" i="14" s="1"/>
  <c r="C122" i="14" s="1"/>
  <c r="I120" i="14"/>
  <c r="F120" i="14"/>
  <c r="I91" i="25"/>
  <c r="I136" i="25" s="1"/>
  <c r="I294" i="25" s="1"/>
  <c r="I405" i="25" s="1"/>
  <c r="J91" i="25"/>
  <c r="J136" i="25" s="1"/>
  <c r="J294" i="25" s="1"/>
  <c r="J405" i="25" s="1"/>
  <c r="K91" i="25"/>
  <c r="K136" i="25" s="1"/>
  <c r="K294" i="25" s="1"/>
  <c r="K405" i="25" s="1"/>
  <c r="H64" i="25"/>
  <c r="H91" i="25" s="1"/>
  <c r="H136" i="25" s="1"/>
  <c r="H294" i="25" s="1"/>
  <c r="H405" i="25" s="1"/>
  <c r="I194" i="25"/>
  <c r="I192" i="25"/>
  <c r="I193" i="25"/>
  <c r="I102" i="25"/>
  <c r="I217" i="25"/>
  <c r="I157" i="25"/>
  <c r="I186" i="25"/>
  <c r="I215" i="25"/>
  <c r="I218" i="25"/>
  <c r="I73" i="14"/>
  <c r="F73" i="14"/>
  <c r="C73" i="14"/>
  <c r="I72" i="14"/>
  <c r="F72" i="14"/>
  <c r="C72" i="14"/>
  <c r="I71" i="14"/>
  <c r="F71" i="14"/>
  <c r="C71" i="14"/>
  <c r="I70" i="14"/>
  <c r="F70" i="14"/>
  <c r="C70" i="14"/>
  <c r="B120" i="14" l="1"/>
  <c r="I82" i="14"/>
  <c r="F82" i="14"/>
  <c r="C82" i="14"/>
  <c r="I348" i="25"/>
  <c r="J348" i="25"/>
  <c r="K348" i="25"/>
  <c r="H348" i="25"/>
  <c r="I411" i="25"/>
  <c r="J411" i="25"/>
  <c r="K411" i="25"/>
  <c r="I241" i="25"/>
  <c r="J241" i="25"/>
  <c r="K241" i="25"/>
  <c r="I232" i="25"/>
  <c r="I248" i="25"/>
  <c r="I410" i="25" s="1"/>
  <c r="J248" i="25"/>
  <c r="J410" i="25" s="1"/>
  <c r="K248" i="25"/>
  <c r="K410" i="25" s="1"/>
  <c r="H316" i="25"/>
  <c r="H411" i="25" s="1"/>
  <c r="K315" i="25"/>
  <c r="J315" i="25"/>
  <c r="I315" i="25"/>
  <c r="H315" i="25"/>
  <c r="I233" i="25"/>
  <c r="I257" i="25" s="1"/>
  <c r="I299" i="25" s="1"/>
  <c r="J233" i="25"/>
  <c r="J257" i="25" s="1"/>
  <c r="J299" i="25" s="1"/>
  <c r="K233" i="25"/>
  <c r="K257" i="25" s="1"/>
  <c r="K299" i="25" s="1"/>
  <c r="H229" i="25"/>
  <c r="I14" i="25"/>
  <c r="I213" i="25"/>
  <c r="C133" i="14"/>
  <c r="C143" i="14"/>
  <c r="J263" i="14"/>
  <c r="G263" i="14"/>
  <c r="D263" i="14"/>
  <c r="C263" i="14" s="1"/>
  <c r="C185" i="14"/>
  <c r="C184" i="14"/>
  <c r="K347" i="25" l="1"/>
  <c r="J347" i="25"/>
  <c r="I347" i="25"/>
  <c r="C100" i="14"/>
  <c r="J232" i="25"/>
  <c r="K232" i="25"/>
  <c r="I211" i="25"/>
  <c r="J211" i="25"/>
  <c r="K211" i="25"/>
  <c r="I219" i="25"/>
  <c r="J219" i="25"/>
  <c r="K219" i="25"/>
  <c r="I204" i="25"/>
  <c r="J204" i="25"/>
  <c r="K204" i="25"/>
  <c r="H183" i="25"/>
  <c r="I197" i="25"/>
  <c r="J197" i="25"/>
  <c r="K197" i="25"/>
  <c r="I184" i="25"/>
  <c r="J184" i="25"/>
  <c r="K184" i="25"/>
  <c r="H186" i="25"/>
  <c r="I178" i="25"/>
  <c r="I156" i="25"/>
  <c r="I154" i="25" s="1"/>
  <c r="I150" i="25"/>
  <c r="I145" i="25"/>
  <c r="I141" i="25"/>
  <c r="I138" i="25"/>
  <c r="I58" i="25"/>
  <c r="D104" i="14" s="1"/>
  <c r="J210" i="25" l="1"/>
  <c r="K210" i="25"/>
  <c r="I210" i="25"/>
  <c r="E302" i="14" s="1"/>
  <c r="H30" i="25"/>
  <c r="I93" i="25"/>
  <c r="I92" i="25" s="1"/>
  <c r="D154" i="14" s="1"/>
  <c r="I28" i="25"/>
  <c r="I26" i="25"/>
  <c r="I101" i="25" l="1"/>
  <c r="I47" i="25"/>
  <c r="I329" i="25" l="1"/>
  <c r="I263" i="14"/>
  <c r="I267" i="14" s="1"/>
  <c r="F263" i="14"/>
  <c r="F267" i="14" l="1"/>
  <c r="B263" i="14"/>
  <c r="E249" i="14" l="1"/>
  <c r="H249" i="14"/>
  <c r="K249" i="14"/>
  <c r="D277" i="14" l="1"/>
  <c r="J270" i="14"/>
  <c r="G270" i="14"/>
  <c r="D270" i="14"/>
  <c r="C260" i="14"/>
  <c r="J253" i="14"/>
  <c r="G253" i="14"/>
  <c r="G249" i="14" s="1"/>
  <c r="D253" i="14"/>
  <c r="E163" i="14"/>
  <c r="H163" i="14"/>
  <c r="K163" i="14"/>
  <c r="F232" i="14"/>
  <c r="I232" i="14"/>
  <c r="C232" i="14"/>
  <c r="J249" i="14" l="1"/>
  <c r="J219" i="14"/>
  <c r="G219" i="14"/>
  <c r="D219" i="14"/>
  <c r="C216" i="14"/>
  <c r="J203" i="14"/>
  <c r="I203" i="14" s="1"/>
  <c r="I207" i="14" s="1"/>
  <c r="G203" i="14"/>
  <c r="F203" i="14" s="1"/>
  <c r="F207" i="14" s="1"/>
  <c r="D203" i="14"/>
  <c r="C203" i="14" s="1"/>
  <c r="D196" i="14"/>
  <c r="J188" i="14"/>
  <c r="G188" i="14"/>
  <c r="D188" i="14"/>
  <c r="C183" i="14"/>
  <c r="F177" i="14"/>
  <c r="F185" i="14" s="1"/>
  <c r="F176" i="14"/>
  <c r="F184" i="14" s="1"/>
  <c r="F175" i="14"/>
  <c r="F183" i="14" s="1"/>
  <c r="I143" i="14"/>
  <c r="F143" i="14"/>
  <c r="D137" i="14"/>
  <c r="C137" i="14" s="1"/>
  <c r="C144" i="14" s="1"/>
  <c r="C132" i="14"/>
  <c r="B203" i="14" l="1"/>
  <c r="C207" i="14"/>
  <c r="I175" i="14"/>
  <c r="I183" i="14" s="1"/>
  <c r="I176" i="14"/>
  <c r="I184" i="14" s="1"/>
  <c r="I177" i="14"/>
  <c r="I185" i="14" s="1"/>
  <c r="D125" i="14" l="1"/>
  <c r="C125" i="14" s="1"/>
  <c r="C134" i="14" s="1"/>
  <c r="F127" i="14"/>
  <c r="F126" i="14"/>
  <c r="F132" i="14" s="1"/>
  <c r="C117" i="14"/>
  <c r="F117" i="14" s="1"/>
  <c r="I117" i="14" s="1"/>
  <c r="J111" i="14"/>
  <c r="I111" i="14" s="1"/>
  <c r="I116" i="14" s="1"/>
  <c r="G111" i="14"/>
  <c r="F111" i="14" s="1"/>
  <c r="F116" i="14" s="1"/>
  <c r="D111" i="14"/>
  <c r="C111" i="14" s="1"/>
  <c r="I127" i="14" l="1"/>
  <c r="I133" i="14" s="1"/>
  <c r="F133" i="14"/>
  <c r="B111" i="14"/>
  <c r="I126" i="14"/>
  <c r="I132" i="14" s="1"/>
  <c r="C116" i="14"/>
  <c r="D76" i="14"/>
  <c r="C76" i="14" s="1"/>
  <c r="C81" i="14" s="1"/>
  <c r="D61" i="14"/>
  <c r="C61" i="14" s="1"/>
  <c r="F58" i="14"/>
  <c r="I58" i="14"/>
  <c r="C58" i="14"/>
  <c r="D52" i="14"/>
  <c r="C52" i="14" s="1"/>
  <c r="C57" i="14" s="1"/>
  <c r="F42" i="14"/>
  <c r="F34" i="14"/>
  <c r="I34" i="14"/>
  <c r="C34" i="14"/>
  <c r="J23" i="14" l="1"/>
  <c r="G23" i="14"/>
  <c r="F37" i="14"/>
  <c r="I18" i="14"/>
  <c r="F18" i="14"/>
  <c r="I174" i="25"/>
  <c r="I23" i="14" l="1"/>
  <c r="I25" i="14" s="1"/>
  <c r="F23" i="14"/>
  <c r="F25" i="14" s="1"/>
  <c r="I397" i="25"/>
  <c r="I395" i="25"/>
  <c r="I391" i="25"/>
  <c r="I389" i="25"/>
  <c r="I384" i="25"/>
  <c r="J384" i="25"/>
  <c r="K384" i="25"/>
  <c r="I383" i="25"/>
  <c r="J383" i="25"/>
  <c r="K383" i="25"/>
  <c r="I382" i="25"/>
  <c r="J382" i="25"/>
  <c r="K382" i="25"/>
  <c r="I380" i="25"/>
  <c r="I375" i="25"/>
  <c r="I373" i="25"/>
  <c r="I368" i="25"/>
  <c r="I366" i="25"/>
  <c r="I401" i="25"/>
  <c r="I404" i="25"/>
  <c r="I362" i="25"/>
  <c r="I360" i="25"/>
  <c r="I349" i="25"/>
  <c r="J349" i="25"/>
  <c r="K349" i="25"/>
  <c r="I350" i="25"/>
  <c r="J350" i="25"/>
  <c r="K350" i="25"/>
  <c r="I351" i="25"/>
  <c r="J351" i="25"/>
  <c r="K351" i="25"/>
  <c r="J302" i="25"/>
  <c r="K302" i="25"/>
  <c r="H305" i="25"/>
  <c r="H306" i="25"/>
  <c r="H307" i="25"/>
  <c r="H303" i="25"/>
  <c r="I304" i="25" l="1"/>
  <c r="H320" i="25"/>
  <c r="H321" i="25"/>
  <c r="H319" i="25"/>
  <c r="I279" i="25"/>
  <c r="I381" i="25" s="1"/>
  <c r="J279" i="25"/>
  <c r="J381" i="25" s="1"/>
  <c r="K279" i="25"/>
  <c r="K381" i="25" s="1"/>
  <c r="I236" i="25"/>
  <c r="J236" i="25"/>
  <c r="K236" i="25"/>
  <c r="I256" i="25"/>
  <c r="I345" i="25" s="1"/>
  <c r="J256" i="25"/>
  <c r="J345" i="25" s="1"/>
  <c r="K256" i="25"/>
  <c r="K345" i="25" s="1"/>
  <c r="I223" i="25"/>
  <c r="J223" i="25"/>
  <c r="K223" i="25"/>
  <c r="H212" i="25"/>
  <c r="H249" i="25" s="1"/>
  <c r="H300" i="25" s="1"/>
  <c r="I202" i="25"/>
  <c r="I291" i="25" s="1"/>
  <c r="I400" i="25" s="1"/>
  <c r="J202" i="25"/>
  <c r="K202" i="25"/>
  <c r="K291" i="25" s="1"/>
  <c r="K400" i="25" s="1"/>
  <c r="I203" i="25"/>
  <c r="J203" i="25"/>
  <c r="K203" i="25"/>
  <c r="I208" i="25"/>
  <c r="J208" i="25"/>
  <c r="K208" i="25"/>
  <c r="I207" i="25"/>
  <c r="J207" i="25"/>
  <c r="K207" i="25"/>
  <c r="I206" i="25"/>
  <c r="J206" i="25"/>
  <c r="K206" i="25"/>
  <c r="I205" i="25"/>
  <c r="J205" i="25"/>
  <c r="K205" i="25"/>
  <c r="I200" i="25"/>
  <c r="J200" i="25"/>
  <c r="K200" i="25"/>
  <c r="J234" i="25" l="1"/>
  <c r="J231" i="25"/>
  <c r="K234" i="25"/>
  <c r="K252" i="25" s="1"/>
  <c r="K341" i="25" s="1"/>
  <c r="K231" i="25"/>
  <c r="I234" i="25"/>
  <c r="I231" i="25"/>
  <c r="E301" i="14" s="1"/>
  <c r="C301" i="14" s="1"/>
  <c r="B301" i="14" s="1"/>
  <c r="J252" i="25"/>
  <c r="J341" i="25" s="1"/>
  <c r="J265" i="25"/>
  <c r="J361" i="25" s="1"/>
  <c r="K265" i="25"/>
  <c r="K361" i="25" s="1"/>
  <c r="I265" i="25"/>
  <c r="I361" i="25" s="1"/>
  <c r="I252" i="25"/>
  <c r="I341" i="25" s="1"/>
  <c r="I302" i="25"/>
  <c r="H304" i="25"/>
  <c r="H302" i="25" s="1"/>
  <c r="J201" i="25"/>
  <c r="K201" i="25"/>
  <c r="I201" i="25"/>
  <c r="J291" i="25"/>
  <c r="J400" i="25" s="1"/>
  <c r="J174" i="25"/>
  <c r="K174" i="25"/>
  <c r="I180" i="25"/>
  <c r="J180" i="25"/>
  <c r="J296" i="25" s="1"/>
  <c r="J407" i="25" s="1"/>
  <c r="K180" i="25"/>
  <c r="K296" i="25" s="1"/>
  <c r="K407" i="25" s="1"/>
  <c r="I179" i="25"/>
  <c r="I297" i="25" s="1"/>
  <c r="I409" i="25" s="1"/>
  <c r="J179" i="25"/>
  <c r="J297" i="25" s="1"/>
  <c r="J409" i="25" s="1"/>
  <c r="K179" i="25"/>
  <c r="K297" i="25" s="1"/>
  <c r="K409" i="25" s="1"/>
  <c r="I298" i="25"/>
  <c r="I408" i="25" s="1"/>
  <c r="J178" i="25"/>
  <c r="J298" i="25" s="1"/>
  <c r="J408" i="25" s="1"/>
  <c r="K178" i="25"/>
  <c r="K298" i="25" s="1"/>
  <c r="K408" i="25" s="1"/>
  <c r="I176" i="25"/>
  <c r="I175" i="25"/>
  <c r="I173" i="25"/>
  <c r="I172" i="25"/>
  <c r="I171" i="25"/>
  <c r="I170" i="25"/>
  <c r="I169" i="25"/>
  <c r="J169" i="25"/>
  <c r="K169" i="25"/>
  <c r="I165" i="25"/>
  <c r="I158" i="25"/>
  <c r="D243" i="14" s="1"/>
  <c r="D235" i="14"/>
  <c r="J154" i="25"/>
  <c r="K154" i="25"/>
  <c r="H153" i="25"/>
  <c r="D210" i="14"/>
  <c r="J150" i="25"/>
  <c r="G210" i="14" s="1"/>
  <c r="K150" i="25"/>
  <c r="J210" i="14" s="1"/>
  <c r="J145" i="25"/>
  <c r="G196" i="14" s="1"/>
  <c r="K145" i="25"/>
  <c r="J196" i="14" s="1"/>
  <c r="D174" i="14"/>
  <c r="C174" i="14" s="1"/>
  <c r="D167" i="14"/>
  <c r="J138" i="25"/>
  <c r="G167" i="14" s="1"/>
  <c r="K138" i="25"/>
  <c r="J167" i="14" s="1"/>
  <c r="I166" i="25"/>
  <c r="J166" i="25"/>
  <c r="K166" i="25"/>
  <c r="I167" i="25"/>
  <c r="I254" i="25" s="1"/>
  <c r="I344" i="25" s="1"/>
  <c r="J167" i="25"/>
  <c r="J254" i="25" s="1"/>
  <c r="J344" i="25" s="1"/>
  <c r="K167" i="25"/>
  <c r="K254" i="25" s="1"/>
  <c r="K344" i="25" s="1"/>
  <c r="I90" i="25"/>
  <c r="I127" i="25" s="1"/>
  <c r="I277" i="25" s="1"/>
  <c r="I378" i="25" s="1"/>
  <c r="J90" i="25"/>
  <c r="J127" i="25" s="1"/>
  <c r="J277" i="25" s="1"/>
  <c r="J378" i="25" s="1"/>
  <c r="K90" i="25"/>
  <c r="K127" i="25" s="1"/>
  <c r="K277" i="25" s="1"/>
  <c r="K378" i="25" s="1"/>
  <c r="I87" i="25"/>
  <c r="I124" i="25" s="1"/>
  <c r="I273" i="25" s="1"/>
  <c r="I372" i="25" s="1"/>
  <c r="J87" i="25"/>
  <c r="J124" i="25" s="1"/>
  <c r="J273" i="25" s="1"/>
  <c r="J372" i="25" s="1"/>
  <c r="I86" i="25"/>
  <c r="I123" i="25" s="1"/>
  <c r="I272" i="25" s="1"/>
  <c r="I371" i="25" s="1"/>
  <c r="J86" i="25"/>
  <c r="J123" i="25" s="1"/>
  <c r="J272" i="25" s="1"/>
  <c r="J371" i="25" s="1"/>
  <c r="K86" i="25"/>
  <c r="K123" i="25" s="1"/>
  <c r="K272" i="25" s="1"/>
  <c r="K371" i="25" s="1"/>
  <c r="I83" i="25"/>
  <c r="I120" i="25" s="1"/>
  <c r="I268" i="25" s="1"/>
  <c r="I365" i="25" s="1"/>
  <c r="J83" i="25"/>
  <c r="J120" i="25" s="1"/>
  <c r="J268" i="25" s="1"/>
  <c r="J365" i="25" s="1"/>
  <c r="K83" i="25"/>
  <c r="K120" i="25" s="1"/>
  <c r="K268" i="25" s="1"/>
  <c r="K365" i="25" s="1"/>
  <c r="I80" i="25"/>
  <c r="I116" i="25" s="1"/>
  <c r="I264" i="25" s="1"/>
  <c r="I359" i="25" s="1"/>
  <c r="J80" i="25"/>
  <c r="J116" i="25" s="1"/>
  <c r="J264" i="25" s="1"/>
  <c r="J359" i="25" s="1"/>
  <c r="K80" i="25"/>
  <c r="K116" i="25" s="1"/>
  <c r="K264" i="25" s="1"/>
  <c r="K359" i="25" s="1"/>
  <c r="I79" i="25"/>
  <c r="I115" i="25" s="1"/>
  <c r="J79" i="25"/>
  <c r="J115" i="25" s="1"/>
  <c r="K79" i="25"/>
  <c r="K115" i="25" s="1"/>
  <c r="I78" i="25"/>
  <c r="I117" i="25" s="1"/>
  <c r="I261" i="25" s="1"/>
  <c r="I356" i="25" s="1"/>
  <c r="J78" i="25"/>
  <c r="J117" i="25" s="1"/>
  <c r="J261" i="25" s="1"/>
  <c r="J356" i="25" s="1"/>
  <c r="K78" i="25"/>
  <c r="K117" i="25" s="1"/>
  <c r="K261" i="25" s="1"/>
  <c r="K356" i="25" s="1"/>
  <c r="I74" i="25"/>
  <c r="I112" i="25" s="1"/>
  <c r="I258" i="25" s="1"/>
  <c r="I346" i="25" s="1"/>
  <c r="J74" i="25"/>
  <c r="J112" i="25" s="1"/>
  <c r="J258" i="25" s="1"/>
  <c r="J346" i="25" s="1"/>
  <c r="K74" i="25"/>
  <c r="K112" i="25" s="1"/>
  <c r="K258" i="25" s="1"/>
  <c r="K346" i="25" s="1"/>
  <c r="I73" i="25"/>
  <c r="I111" i="25" s="1"/>
  <c r="J73" i="25"/>
  <c r="J111" i="25" s="1"/>
  <c r="I37" i="25"/>
  <c r="D42" i="14" s="1"/>
  <c r="C42" i="14" s="1"/>
  <c r="J37" i="25"/>
  <c r="K37" i="25"/>
  <c r="J25" i="25"/>
  <c r="K25" i="25"/>
  <c r="I32" i="25"/>
  <c r="I72" i="25" s="1"/>
  <c r="J32" i="25"/>
  <c r="J72" i="25" s="1"/>
  <c r="K32" i="25"/>
  <c r="K72" i="25" s="1"/>
  <c r="I107" i="25"/>
  <c r="I133" i="25" s="1"/>
  <c r="I287" i="25" s="1"/>
  <c r="I394" i="25" s="1"/>
  <c r="J107" i="25"/>
  <c r="J133" i="25" s="1"/>
  <c r="J287" i="25" s="1"/>
  <c r="J394" i="25" s="1"/>
  <c r="K107" i="25"/>
  <c r="K133" i="25" s="1"/>
  <c r="K287" i="25" s="1"/>
  <c r="K394" i="25" s="1"/>
  <c r="J106" i="25"/>
  <c r="J132" i="25" s="1"/>
  <c r="K106" i="25"/>
  <c r="K132" i="25" s="1"/>
  <c r="I100" i="25"/>
  <c r="I130" i="25" s="1"/>
  <c r="I282" i="25" s="1"/>
  <c r="I388" i="25" s="1"/>
  <c r="J100" i="25"/>
  <c r="J130" i="25" s="1"/>
  <c r="J282" i="25" s="1"/>
  <c r="J388" i="25" s="1"/>
  <c r="K100" i="25"/>
  <c r="K130" i="25" s="1"/>
  <c r="K282" i="25" s="1"/>
  <c r="K388" i="25" s="1"/>
  <c r="J101" i="25"/>
  <c r="J105" i="25" s="1"/>
  <c r="K101" i="25"/>
  <c r="K105" i="25" s="1"/>
  <c r="I23" i="25"/>
  <c r="I135" i="25" s="1"/>
  <c r="I67" i="25"/>
  <c r="D147" i="14" s="1"/>
  <c r="C147" i="14" s="1"/>
  <c r="C151" i="14" s="1"/>
  <c r="I54" i="25"/>
  <c r="D93" i="14" s="1"/>
  <c r="C104" i="14"/>
  <c r="C108" i="14" l="1"/>
  <c r="I293" i="25"/>
  <c r="I296" i="25"/>
  <c r="I407" i="25" s="1"/>
  <c r="D163" i="14"/>
  <c r="C44" i="14"/>
  <c r="B42" i="14"/>
  <c r="K131" i="25"/>
  <c r="K286" i="25"/>
  <c r="K393" i="25" s="1"/>
  <c r="I255" i="25"/>
  <c r="I343" i="25" s="1"/>
  <c r="J262" i="25"/>
  <c r="J357" i="25" s="1"/>
  <c r="J131" i="25"/>
  <c r="J286" i="25"/>
  <c r="J393" i="25" s="1"/>
  <c r="J255" i="25"/>
  <c r="J343" i="25" s="1"/>
  <c r="K262" i="25"/>
  <c r="K357" i="25" s="1"/>
  <c r="I262" i="25"/>
  <c r="I357" i="25" s="1"/>
  <c r="K177" i="25"/>
  <c r="I177" i="25"/>
  <c r="I168" i="25"/>
  <c r="J177" i="25"/>
  <c r="I164" i="25"/>
  <c r="J110" i="25"/>
  <c r="J253" i="25" s="1"/>
  <c r="J342" i="25" s="1"/>
  <c r="K110" i="25"/>
  <c r="K253" i="25" s="1"/>
  <c r="K342" i="25" s="1"/>
  <c r="I110" i="25"/>
  <c r="I253" i="25" s="1"/>
  <c r="I342" i="25" s="1"/>
  <c r="J24" i="25"/>
  <c r="K24" i="25"/>
  <c r="H95" i="25"/>
  <c r="J47" i="25"/>
  <c r="J46" i="25"/>
  <c r="J45" i="25"/>
  <c r="H44" i="25"/>
  <c r="I43" i="25"/>
  <c r="I292" i="25" l="1"/>
  <c r="I403" i="25"/>
  <c r="I402" i="25" s="1"/>
  <c r="I42" i="25"/>
  <c r="D47" i="14" s="1"/>
  <c r="C47" i="14" s="1"/>
  <c r="K45" i="25"/>
  <c r="J43" i="25"/>
  <c r="K46" i="25"/>
  <c r="K47" i="25"/>
  <c r="I333" i="25"/>
  <c r="I353" i="25" s="1"/>
  <c r="J317" i="25"/>
  <c r="K317" i="25"/>
  <c r="I317" i="25"/>
  <c r="H317" i="25"/>
  <c r="I313" i="25"/>
  <c r="J313" i="25"/>
  <c r="K313" i="25"/>
  <c r="I308" i="25"/>
  <c r="J308" i="25"/>
  <c r="K308" i="25"/>
  <c r="I189" i="25"/>
  <c r="I196" i="25" s="1"/>
  <c r="I199" i="25" s="1"/>
  <c r="J189" i="25"/>
  <c r="J196" i="25" s="1"/>
  <c r="J199" i="25" s="1"/>
  <c r="K189" i="25"/>
  <c r="K196" i="25" s="1"/>
  <c r="K199" i="25" s="1"/>
  <c r="H194" i="25"/>
  <c r="H208" i="25" s="1"/>
  <c r="H193" i="25"/>
  <c r="H207" i="25" s="1"/>
  <c r="H192" i="25"/>
  <c r="H206" i="25" s="1"/>
  <c r="H191" i="25"/>
  <c r="H205" i="25" s="1"/>
  <c r="H190" i="25"/>
  <c r="H203" i="25" s="1"/>
  <c r="H188" i="25"/>
  <c r="H157" i="25"/>
  <c r="H180" i="25" s="1"/>
  <c r="H156" i="25"/>
  <c r="H155" i="25"/>
  <c r="H178" i="25" s="1"/>
  <c r="H152" i="25"/>
  <c r="H174" i="25" s="1"/>
  <c r="H151" i="25"/>
  <c r="H149" i="25"/>
  <c r="H148" i="25"/>
  <c r="H147" i="25"/>
  <c r="H146" i="25"/>
  <c r="H144" i="25"/>
  <c r="J143" i="25"/>
  <c r="J142" i="25"/>
  <c r="J175" i="25" s="1"/>
  <c r="H140" i="25"/>
  <c r="H139" i="25"/>
  <c r="H104" i="25"/>
  <c r="H298" i="25" l="1"/>
  <c r="H408" i="25" s="1"/>
  <c r="H200" i="25"/>
  <c r="H197" i="25"/>
  <c r="C49" i="14"/>
  <c r="H145" i="25"/>
  <c r="H202" i="25"/>
  <c r="H291" i="25" s="1"/>
  <c r="K187" i="25"/>
  <c r="K195" i="25" s="1"/>
  <c r="K198" i="25" s="1"/>
  <c r="I187" i="25"/>
  <c r="I195" i="25" s="1"/>
  <c r="I198" i="25" s="1"/>
  <c r="J187" i="25"/>
  <c r="J195" i="25" s="1"/>
  <c r="J198" i="25" s="1"/>
  <c r="H167" i="25"/>
  <c r="H254" i="25" s="1"/>
  <c r="H179" i="25"/>
  <c r="H297" i="25" s="1"/>
  <c r="K143" i="25"/>
  <c r="J176" i="25"/>
  <c r="H138" i="25"/>
  <c r="J141" i="25"/>
  <c r="G174" i="14" s="1"/>
  <c r="H150" i="25"/>
  <c r="H154" i="25"/>
  <c r="H47" i="25"/>
  <c r="H46" i="25"/>
  <c r="H45" i="25"/>
  <c r="K43" i="25"/>
  <c r="J42" i="25"/>
  <c r="H189" i="25"/>
  <c r="K142" i="25"/>
  <c r="K175" i="25" s="1"/>
  <c r="J96" i="25"/>
  <c r="G154" i="14" s="1"/>
  <c r="H39" i="25"/>
  <c r="H40" i="25"/>
  <c r="H41" i="25"/>
  <c r="H38" i="25"/>
  <c r="H36" i="25"/>
  <c r="I15" i="25"/>
  <c r="D23" i="14" s="1"/>
  <c r="C23" i="14" s="1"/>
  <c r="J15" i="25"/>
  <c r="K15" i="25"/>
  <c r="H16" i="25"/>
  <c r="H17" i="25"/>
  <c r="I13" i="25"/>
  <c r="I22" i="25" s="1"/>
  <c r="I134" i="25" s="1"/>
  <c r="I290" i="25" s="1"/>
  <c r="J20" i="25"/>
  <c r="J23" i="25" s="1"/>
  <c r="J135" i="25" s="1"/>
  <c r="J293" i="25" s="1"/>
  <c r="J19" i="25"/>
  <c r="J22" i="25" s="1"/>
  <c r="J134" i="25" s="1"/>
  <c r="J290" i="25" s="1"/>
  <c r="I18" i="25"/>
  <c r="D28" i="14" s="1"/>
  <c r="C28" i="14" s="1"/>
  <c r="I98" i="25"/>
  <c r="C154" i="14" s="1"/>
  <c r="J69" i="25"/>
  <c r="K69" i="25" s="1"/>
  <c r="J68" i="25"/>
  <c r="K68" i="25" s="1"/>
  <c r="H68" i="25" s="1"/>
  <c r="J66" i="25"/>
  <c r="G137" i="14" s="1"/>
  <c r="F137" i="14" s="1"/>
  <c r="J65" i="25"/>
  <c r="G125" i="14" s="1"/>
  <c r="F125" i="14" s="1"/>
  <c r="H63" i="25"/>
  <c r="J92" i="25"/>
  <c r="K92" i="25"/>
  <c r="H60" i="25"/>
  <c r="J50" i="25"/>
  <c r="J49" i="25"/>
  <c r="J48" i="25"/>
  <c r="G52" i="14" s="1"/>
  <c r="F52" i="14" s="1"/>
  <c r="J338" i="25"/>
  <c r="J337" i="25"/>
  <c r="J391" i="25" s="1"/>
  <c r="J336" i="25"/>
  <c r="J375" i="25" s="1"/>
  <c r="J335" i="25"/>
  <c r="J368" i="25" s="1"/>
  <c r="J334" i="25"/>
  <c r="J362" i="25" s="1"/>
  <c r="J332" i="25"/>
  <c r="J330" i="25" s="1"/>
  <c r="J404" i="25" s="1"/>
  <c r="J331" i="25"/>
  <c r="I322" i="25"/>
  <c r="I352" i="25" s="1"/>
  <c r="J328" i="25"/>
  <c r="J395" i="25" s="1"/>
  <c r="J327" i="25"/>
  <c r="J326" i="25"/>
  <c r="J380" i="25" s="1"/>
  <c r="J325" i="25"/>
  <c r="J373" i="25" s="1"/>
  <c r="J324" i="25"/>
  <c r="J366" i="25" s="1"/>
  <c r="J323" i="25"/>
  <c r="J360" i="25" s="1"/>
  <c r="H314" i="25"/>
  <c r="H312" i="25"/>
  <c r="H311" i="25"/>
  <c r="H310" i="25"/>
  <c r="H309" i="25"/>
  <c r="K249" i="25"/>
  <c r="J249" i="25"/>
  <c r="I249" i="25"/>
  <c r="K246" i="25"/>
  <c r="K288" i="25" s="1"/>
  <c r="J246" i="25"/>
  <c r="J288" i="25" s="1"/>
  <c r="I246" i="25"/>
  <c r="I288" i="25" s="1"/>
  <c r="I396" i="25" s="1"/>
  <c r="K245" i="25"/>
  <c r="K283" i="25" s="1"/>
  <c r="K387" i="25" s="1"/>
  <c r="J245" i="25"/>
  <c r="J283" i="25" s="1"/>
  <c r="J387" i="25" s="1"/>
  <c r="I245" i="25"/>
  <c r="I283" i="25" s="1"/>
  <c r="I387" i="25" s="1"/>
  <c r="K244" i="25"/>
  <c r="K284" i="25" s="1"/>
  <c r="K390" i="25" s="1"/>
  <c r="J244" i="25"/>
  <c r="J284" i="25" s="1"/>
  <c r="J390" i="25" s="1"/>
  <c r="I244" i="25"/>
  <c r="I284" i="25" s="1"/>
  <c r="I390" i="25" s="1"/>
  <c r="K242" i="25"/>
  <c r="K278" i="25" s="1"/>
  <c r="K379" i="25" s="1"/>
  <c r="J242" i="25"/>
  <c r="J278" i="25" s="1"/>
  <c r="J379" i="25" s="1"/>
  <c r="I242" i="25"/>
  <c r="I278" i="25" s="1"/>
  <c r="I379" i="25" s="1"/>
  <c r="K239" i="25"/>
  <c r="K274" i="25" s="1"/>
  <c r="K374" i="25" s="1"/>
  <c r="J239" i="25"/>
  <c r="J274" i="25" s="1"/>
  <c r="J374" i="25" s="1"/>
  <c r="I239" i="25"/>
  <c r="I274" i="25" s="1"/>
  <c r="I374" i="25" s="1"/>
  <c r="K238" i="25"/>
  <c r="K269" i="25" s="1"/>
  <c r="K367" i="25" s="1"/>
  <c r="J238" i="25"/>
  <c r="J269" i="25" s="1"/>
  <c r="J367" i="25" s="1"/>
  <c r="I238" i="25"/>
  <c r="I269" i="25" s="1"/>
  <c r="I367" i="25" s="1"/>
  <c r="K237" i="25"/>
  <c r="J237" i="25"/>
  <c r="I237" i="25"/>
  <c r="H230" i="25"/>
  <c r="H248" i="25" s="1"/>
  <c r="H228" i="25"/>
  <c r="H227" i="25"/>
  <c r="H226" i="25"/>
  <c r="H225" i="25"/>
  <c r="H224" i="25"/>
  <c r="H222" i="25"/>
  <c r="H221" i="25"/>
  <c r="H220" i="25"/>
  <c r="H237" i="25" s="1"/>
  <c r="H263" i="25" s="1"/>
  <c r="H218" i="25"/>
  <c r="H246" i="25" s="1"/>
  <c r="H288" i="25" s="1"/>
  <c r="H217" i="25"/>
  <c r="H244" i="25" s="1"/>
  <c r="H216" i="25"/>
  <c r="H241" i="25" s="1"/>
  <c r="H215" i="25"/>
  <c r="H239" i="25" s="1"/>
  <c r="H274" i="25" s="1"/>
  <c r="H214" i="25"/>
  <c r="H213" i="25"/>
  <c r="H236" i="25" s="1"/>
  <c r="H412" i="25"/>
  <c r="H185" i="25"/>
  <c r="H182" i="25"/>
  <c r="J163" i="25"/>
  <c r="J173" i="25" s="1"/>
  <c r="J162" i="25"/>
  <c r="J161" i="25"/>
  <c r="H160" i="25"/>
  <c r="J159" i="25"/>
  <c r="G115" i="25"/>
  <c r="G262" i="25" s="1"/>
  <c r="H14" i="25"/>
  <c r="K12" i="25"/>
  <c r="J12" i="25"/>
  <c r="H103" i="25"/>
  <c r="H94" i="25"/>
  <c r="H35" i="25"/>
  <c r="H34" i="25"/>
  <c r="H33" i="25"/>
  <c r="H31" i="25"/>
  <c r="I6" i="25"/>
  <c r="G47" i="14" l="1"/>
  <c r="F47" i="14" s="1"/>
  <c r="H43" i="25"/>
  <c r="H247" i="25"/>
  <c r="H410" i="25"/>
  <c r="H235" i="25"/>
  <c r="H265" i="25"/>
  <c r="H284" i="25"/>
  <c r="H245" i="25"/>
  <c r="H283" i="25" s="1"/>
  <c r="H387" i="25" s="1"/>
  <c r="I300" i="25"/>
  <c r="I295" i="25" s="1"/>
  <c r="I247" i="25"/>
  <c r="K300" i="25"/>
  <c r="K247" i="25"/>
  <c r="H238" i="25"/>
  <c r="H269" i="25" s="1"/>
  <c r="H367" i="25" s="1"/>
  <c r="H279" i="25"/>
  <c r="H242" i="25"/>
  <c r="H278" i="25" s="1"/>
  <c r="H379" i="25" s="1"/>
  <c r="J300" i="25"/>
  <c r="J247" i="25"/>
  <c r="H204" i="25"/>
  <c r="H296" i="25" s="1"/>
  <c r="H184" i="25"/>
  <c r="I263" i="25"/>
  <c r="I358" i="25" s="1"/>
  <c r="I235" i="25"/>
  <c r="K263" i="25"/>
  <c r="K358" i="25" s="1"/>
  <c r="K235" i="25"/>
  <c r="H223" i="25"/>
  <c r="E303" i="14" s="1"/>
  <c r="E291" i="14" s="1"/>
  <c r="H232" i="25"/>
  <c r="H256" i="25" s="1"/>
  <c r="H219" i="25"/>
  <c r="H233" i="25"/>
  <c r="H257" i="25" s="1"/>
  <c r="J263" i="25"/>
  <c r="J358" i="25" s="1"/>
  <c r="J235" i="25"/>
  <c r="H187" i="25"/>
  <c r="H195" i="25" s="1"/>
  <c r="H196" i="25"/>
  <c r="H199" i="25" s="1"/>
  <c r="H374" i="25"/>
  <c r="H211" i="25"/>
  <c r="H42" i="25"/>
  <c r="H15" i="25"/>
  <c r="H344" i="25"/>
  <c r="H345" i="25"/>
  <c r="J285" i="25"/>
  <c r="J396" i="25"/>
  <c r="K295" i="25"/>
  <c r="K412" i="25"/>
  <c r="K406" i="25" s="1"/>
  <c r="H350" i="25"/>
  <c r="H383" i="25"/>
  <c r="F57" i="14"/>
  <c r="K285" i="25"/>
  <c r="K396" i="25"/>
  <c r="J295" i="25"/>
  <c r="J412" i="25"/>
  <c r="J406" i="25" s="1"/>
  <c r="H349" i="25"/>
  <c r="H382" i="25"/>
  <c r="H313" i="25"/>
  <c r="H351" i="25"/>
  <c r="H384" i="25"/>
  <c r="K49" i="25"/>
  <c r="J61" i="14" s="1"/>
  <c r="I61" i="14" s="1"/>
  <c r="G61" i="14"/>
  <c r="F61" i="14" s="1"/>
  <c r="F144" i="14"/>
  <c r="I289" i="25"/>
  <c r="I399" i="25"/>
  <c r="I398" i="25" s="1"/>
  <c r="F49" i="14"/>
  <c r="F174" i="14"/>
  <c r="H407" i="25"/>
  <c r="K50" i="25"/>
  <c r="J76" i="14" s="1"/>
  <c r="I76" i="14" s="1"/>
  <c r="I81" i="14" s="1"/>
  <c r="G76" i="14"/>
  <c r="F76" i="14" s="1"/>
  <c r="F81" i="14" s="1"/>
  <c r="F134" i="14"/>
  <c r="C156" i="14"/>
  <c r="C33" i="14"/>
  <c r="C25" i="14"/>
  <c r="B23" i="14"/>
  <c r="D285" i="14"/>
  <c r="J292" i="25"/>
  <c r="J403" i="25"/>
  <c r="J402" i="25" s="1"/>
  <c r="J289" i="25"/>
  <c r="J399" i="25"/>
  <c r="K327" i="25"/>
  <c r="K389" i="25" s="1"/>
  <c r="J389" i="25"/>
  <c r="K338" i="25"/>
  <c r="K397" i="25" s="1"/>
  <c r="J397" i="25"/>
  <c r="J392" i="25" s="1"/>
  <c r="H177" i="25"/>
  <c r="H201" i="25"/>
  <c r="H400" i="25"/>
  <c r="I240" i="25"/>
  <c r="K240" i="25"/>
  <c r="J243" i="25"/>
  <c r="J240" i="25"/>
  <c r="I243" i="25"/>
  <c r="K243" i="25"/>
  <c r="H143" i="25"/>
  <c r="H176" i="25" s="1"/>
  <c r="K176" i="25"/>
  <c r="J165" i="25"/>
  <c r="H169" i="25"/>
  <c r="H166" i="25"/>
  <c r="K162" i="25"/>
  <c r="K172" i="25" s="1"/>
  <c r="J172" i="25"/>
  <c r="K141" i="25"/>
  <c r="J174" i="14" s="1"/>
  <c r="J170" i="25"/>
  <c r="J168" i="25" s="1"/>
  <c r="J158" i="25"/>
  <c r="K161" i="25"/>
  <c r="K171" i="25" s="1"/>
  <c r="J171" i="25"/>
  <c r="J98" i="25"/>
  <c r="F154" i="14" s="1"/>
  <c r="H78" i="25"/>
  <c r="H117" i="25" s="1"/>
  <c r="H261" i="25" s="1"/>
  <c r="J89" i="25"/>
  <c r="I82" i="25"/>
  <c r="H29" i="25"/>
  <c r="I89" i="25"/>
  <c r="H90" i="25"/>
  <c r="H127" i="25" s="1"/>
  <c r="K42" i="25"/>
  <c r="J77" i="25"/>
  <c r="H79" i="25"/>
  <c r="H115" i="25" s="1"/>
  <c r="H86" i="25"/>
  <c r="H123" i="25" s="1"/>
  <c r="H80" i="25"/>
  <c r="H116" i="25" s="1"/>
  <c r="H74" i="25"/>
  <c r="H112" i="25" s="1"/>
  <c r="H83" i="25"/>
  <c r="H120" i="25" s="1"/>
  <c r="J82" i="25"/>
  <c r="I25" i="25"/>
  <c r="I71" i="25" s="1"/>
  <c r="I77" i="25"/>
  <c r="H28" i="25"/>
  <c r="I85" i="25"/>
  <c r="I84" i="25" s="1"/>
  <c r="K87" i="25"/>
  <c r="K124" i="25" s="1"/>
  <c r="K273" i="25" s="1"/>
  <c r="K372" i="25" s="1"/>
  <c r="K73" i="25"/>
  <c r="K111" i="25" s="1"/>
  <c r="K255" i="25" s="1"/>
  <c r="K343" i="25" s="1"/>
  <c r="H100" i="25"/>
  <c r="H130" i="25" s="1"/>
  <c r="I106" i="25"/>
  <c r="I132" i="25" s="1"/>
  <c r="I105" i="25"/>
  <c r="D159" i="14" s="1"/>
  <c r="C159" i="14" s="1"/>
  <c r="H32" i="25"/>
  <c r="H72" i="25" s="1"/>
  <c r="I99" i="25"/>
  <c r="I129" i="25" s="1"/>
  <c r="I281" i="25" s="1"/>
  <c r="K96" i="25"/>
  <c r="J99" i="25"/>
  <c r="J129" i="25" s="1"/>
  <c r="H37" i="25"/>
  <c r="H107" i="25"/>
  <c r="K334" i="25"/>
  <c r="J333" i="25"/>
  <c r="J353" i="25" s="1"/>
  <c r="H308" i="25"/>
  <c r="H390" i="25"/>
  <c r="H142" i="25"/>
  <c r="H175" i="25" s="1"/>
  <c r="H97" i="25"/>
  <c r="H13" i="25"/>
  <c r="H12" i="25" s="1"/>
  <c r="H396" i="25"/>
  <c r="I12" i="25"/>
  <c r="H26" i="25"/>
  <c r="H27" i="25"/>
  <c r="H93" i="25"/>
  <c r="H92" i="25" s="1"/>
  <c r="K65" i="25"/>
  <c r="J125" i="14" s="1"/>
  <c r="I125" i="14" s="1"/>
  <c r="I134" i="14" s="1"/>
  <c r="J67" i="25"/>
  <c r="G147" i="14" s="1"/>
  <c r="F147" i="14" s="1"/>
  <c r="K19" i="25"/>
  <c r="K22" i="25" s="1"/>
  <c r="K134" i="25" s="1"/>
  <c r="K290" i="25" s="1"/>
  <c r="J18" i="25"/>
  <c r="K20" i="25"/>
  <c r="K23" i="25" s="1"/>
  <c r="K135" i="25" s="1"/>
  <c r="H102" i="25"/>
  <c r="H101" i="25" s="1"/>
  <c r="H105" i="25" s="1"/>
  <c r="K66" i="25"/>
  <c r="J137" i="14" s="1"/>
  <c r="I137" i="14" s="1"/>
  <c r="I144" i="14" s="1"/>
  <c r="K67" i="25"/>
  <c r="J147" i="14" s="1"/>
  <c r="I147" i="14" s="1"/>
  <c r="I151" i="14" s="1"/>
  <c r="H69" i="25"/>
  <c r="H67" i="25" s="1"/>
  <c r="H59" i="25"/>
  <c r="H61" i="25"/>
  <c r="J58" i="25"/>
  <c r="K332" i="25"/>
  <c r="K330" i="25" s="1"/>
  <c r="K404" i="25" s="1"/>
  <c r="H327" i="25"/>
  <c r="H389" i="25" s="1"/>
  <c r="H49" i="25"/>
  <c r="H52" i="25"/>
  <c r="K48" i="25"/>
  <c r="J52" i="14" s="1"/>
  <c r="I52" i="14" s="1"/>
  <c r="I57" i="14" s="1"/>
  <c r="I51" i="25"/>
  <c r="D85" i="14" s="1"/>
  <c r="C85" i="14" s="1"/>
  <c r="C90" i="14" s="1"/>
  <c r="J85" i="25"/>
  <c r="J84" i="25" s="1"/>
  <c r="J54" i="25"/>
  <c r="J71" i="25" s="1"/>
  <c r="H57" i="25"/>
  <c r="K326" i="25"/>
  <c r="K380" i="25" s="1"/>
  <c r="K337" i="25"/>
  <c r="K391" i="25" s="1"/>
  <c r="K159" i="25"/>
  <c r="K163" i="25"/>
  <c r="K328" i="25"/>
  <c r="K395" i="25" s="1"/>
  <c r="K331" i="25"/>
  <c r="H331" i="25" s="1"/>
  <c r="H338" i="25"/>
  <c r="H397" i="25" s="1"/>
  <c r="J329" i="25"/>
  <c r="K324" i="25"/>
  <c r="K366" i="25" s="1"/>
  <c r="K336" i="25"/>
  <c r="K375" i="25" s="1"/>
  <c r="K325" i="25"/>
  <c r="K373" i="25" s="1"/>
  <c r="K335" i="25"/>
  <c r="K368" i="25" s="1"/>
  <c r="K323" i="25"/>
  <c r="K360" i="25" s="1"/>
  <c r="J47" i="14" l="1"/>
  <c r="I47" i="14" s="1"/>
  <c r="I49" i="14" s="1"/>
  <c r="I412" i="25"/>
  <c r="I406" i="25" s="1"/>
  <c r="H299" i="25"/>
  <c r="H347" i="25"/>
  <c r="H295" i="25"/>
  <c r="F156" i="14"/>
  <c r="H282" i="25"/>
  <c r="H388" i="25" s="1"/>
  <c r="H268" i="25"/>
  <c r="H365" i="25" s="1"/>
  <c r="H264" i="25"/>
  <c r="H359" i="25" s="1"/>
  <c r="H262" i="25"/>
  <c r="H357" i="25" s="1"/>
  <c r="H210" i="25"/>
  <c r="H231" i="25" s="1"/>
  <c r="H234" i="25"/>
  <c r="H252" i="25" s="1"/>
  <c r="H341" i="25" s="1"/>
  <c r="H240" i="25"/>
  <c r="H243" i="25"/>
  <c r="H258" i="25"/>
  <c r="H346" i="25" s="1"/>
  <c r="H371" i="25"/>
  <c r="H272" i="25"/>
  <c r="H277" i="25"/>
  <c r="H378" i="25" s="1"/>
  <c r="K293" i="25"/>
  <c r="H293" i="25" s="1"/>
  <c r="K98" i="25"/>
  <c r="J154" i="14"/>
  <c r="H361" i="25"/>
  <c r="G104" i="14"/>
  <c r="F104" i="14" s="1"/>
  <c r="F108" i="14" s="1"/>
  <c r="H198" i="25"/>
  <c r="B47" i="14"/>
  <c r="H25" i="25"/>
  <c r="I280" i="25"/>
  <c r="I386" i="25"/>
  <c r="I385" i="25" s="1"/>
  <c r="C161" i="14"/>
  <c r="B159" i="14"/>
  <c r="H409" i="25"/>
  <c r="H406" i="25" s="1"/>
  <c r="B61" i="14"/>
  <c r="J21" i="25"/>
  <c r="G28" i="14"/>
  <c r="F151" i="14"/>
  <c r="B147" i="14"/>
  <c r="I21" i="25"/>
  <c r="D18" i="14"/>
  <c r="J164" i="25"/>
  <c r="G243" i="14"/>
  <c r="G163" i="14" s="1"/>
  <c r="I174" i="14"/>
  <c r="B174" i="14" s="1"/>
  <c r="C285" i="14"/>
  <c r="D249" i="14"/>
  <c r="B76" i="14"/>
  <c r="B137" i="14"/>
  <c r="H161" i="25"/>
  <c r="H171" i="25" s="1"/>
  <c r="H50" i="25"/>
  <c r="K392" i="25"/>
  <c r="B125" i="14"/>
  <c r="B52" i="14"/>
  <c r="J322" i="25"/>
  <c r="J401" i="25"/>
  <c r="J398" i="25" s="1"/>
  <c r="H334" i="25"/>
  <c r="H362" i="25" s="1"/>
  <c r="K362" i="25"/>
  <c r="K292" i="25"/>
  <c r="K289" i="25"/>
  <c r="K399" i="25"/>
  <c r="J352" i="25"/>
  <c r="H358" i="25"/>
  <c r="J128" i="25"/>
  <c r="J281" i="25"/>
  <c r="H162" i="25"/>
  <c r="H172" i="25" s="1"/>
  <c r="I131" i="25"/>
  <c r="I286" i="25"/>
  <c r="H381" i="25"/>
  <c r="H356" i="25"/>
  <c r="H163" i="25"/>
  <c r="H173" i="25" s="1"/>
  <c r="K173" i="25"/>
  <c r="K170" i="25"/>
  <c r="K168" i="25" s="1"/>
  <c r="K158" i="25"/>
  <c r="H141" i="25"/>
  <c r="K165" i="25"/>
  <c r="I128" i="25"/>
  <c r="K54" i="25"/>
  <c r="J122" i="25"/>
  <c r="J271" i="25" s="1"/>
  <c r="H133" i="25"/>
  <c r="H110" i="25"/>
  <c r="J76" i="25"/>
  <c r="J114" i="25"/>
  <c r="I88" i="25"/>
  <c r="I126" i="25"/>
  <c r="I276" i="25" s="1"/>
  <c r="I81" i="25"/>
  <c r="I119" i="25"/>
  <c r="I267" i="25" s="1"/>
  <c r="I122" i="25"/>
  <c r="I76" i="25"/>
  <c r="I114" i="25"/>
  <c r="J81" i="25"/>
  <c r="J119" i="25"/>
  <c r="J267" i="25" s="1"/>
  <c r="J88" i="25"/>
  <c r="J126" i="25"/>
  <c r="J276" i="25" s="1"/>
  <c r="I24" i="25"/>
  <c r="I70" i="25" s="1"/>
  <c r="H56" i="25"/>
  <c r="H82" i="25" s="1"/>
  <c r="K82" i="25"/>
  <c r="K77" i="25"/>
  <c r="H62" i="25"/>
  <c r="H58" i="25" s="1"/>
  <c r="K89" i="25"/>
  <c r="H87" i="25"/>
  <c r="H124" i="25" s="1"/>
  <c r="H73" i="25"/>
  <c r="H111" i="25" s="1"/>
  <c r="H96" i="25"/>
  <c r="H99" i="25" s="1"/>
  <c r="H129" i="25" s="1"/>
  <c r="H281" i="25" s="1"/>
  <c r="H280" i="25" s="1"/>
  <c r="K99" i="25"/>
  <c r="K129" i="25" s="1"/>
  <c r="K281" i="25" s="1"/>
  <c r="H106" i="25"/>
  <c r="H132" i="25" s="1"/>
  <c r="H286" i="25" s="1"/>
  <c r="H20" i="25"/>
  <c r="H23" i="25" s="1"/>
  <c r="H135" i="25" s="1"/>
  <c r="H292" i="25" s="1"/>
  <c r="H19" i="25"/>
  <c r="K333" i="25"/>
  <c r="K353" i="25" s="1"/>
  <c r="H65" i="25"/>
  <c r="K18" i="25"/>
  <c r="K21" i="25" s="1"/>
  <c r="J28" i="14" s="1"/>
  <c r="H66" i="25"/>
  <c r="K58" i="25"/>
  <c r="H337" i="25"/>
  <c r="H391" i="25" s="1"/>
  <c r="H332" i="25"/>
  <c r="H326" i="25"/>
  <c r="H380" i="25" s="1"/>
  <c r="H324" i="25"/>
  <c r="H366" i="25" s="1"/>
  <c r="H330" i="25"/>
  <c r="H55" i="25"/>
  <c r="K53" i="25"/>
  <c r="K71" i="25" s="1"/>
  <c r="J51" i="25"/>
  <c r="J70" i="25" s="1"/>
  <c r="H48" i="25"/>
  <c r="H328" i="25"/>
  <c r="H395" i="25" s="1"/>
  <c r="H323" i="25"/>
  <c r="H360" i="25" s="1"/>
  <c r="H325" i="25"/>
  <c r="H373" i="25" s="1"/>
  <c r="H336" i="25"/>
  <c r="H375" i="25" s="1"/>
  <c r="H335" i="25"/>
  <c r="H368" i="25" s="1"/>
  <c r="K329" i="25"/>
  <c r="H159" i="25"/>
  <c r="K403" i="25" l="1"/>
  <c r="K402" i="25" s="1"/>
  <c r="H24" i="25"/>
  <c r="H255" i="25"/>
  <c r="H343" i="25" s="1"/>
  <c r="H287" i="25"/>
  <c r="H285" i="25" s="1"/>
  <c r="H273" i="25"/>
  <c r="H372" i="25" s="1"/>
  <c r="H253" i="25"/>
  <c r="H342" i="25" s="1"/>
  <c r="J104" i="14"/>
  <c r="I104" i="14" s="1"/>
  <c r="I154" i="14"/>
  <c r="H158" i="25"/>
  <c r="H164" i="25" s="1"/>
  <c r="J109" i="25"/>
  <c r="J251" i="25" s="1"/>
  <c r="J340" i="25" s="1"/>
  <c r="I109" i="25"/>
  <c r="I251" i="25" s="1"/>
  <c r="I340" i="25" s="1"/>
  <c r="H22" i="25"/>
  <c r="H134" i="25" s="1"/>
  <c r="H290" i="25" s="1"/>
  <c r="H289" i="25" s="1"/>
  <c r="H18" i="25"/>
  <c r="H21" i="25" s="1"/>
  <c r="H54" i="25"/>
  <c r="H77" i="25"/>
  <c r="H76" i="25" s="1"/>
  <c r="H98" i="25"/>
  <c r="J108" i="25"/>
  <c r="J250" i="25" s="1"/>
  <c r="J339" i="25" s="1"/>
  <c r="G85" i="14"/>
  <c r="F85" i="14" s="1"/>
  <c r="I28" i="14"/>
  <c r="I33" i="14"/>
  <c r="K280" i="25"/>
  <c r="K386" i="25"/>
  <c r="K385" i="25" s="1"/>
  <c r="I108" i="25"/>
  <c r="I250" i="25" s="1"/>
  <c r="I339" i="25" s="1"/>
  <c r="D37" i="14"/>
  <c r="I285" i="25"/>
  <c r="I393" i="25"/>
  <c r="I392" i="25" s="1"/>
  <c r="C18" i="14"/>
  <c r="C20" i="14" s="1"/>
  <c r="F33" i="14"/>
  <c r="F28" i="14"/>
  <c r="F14" i="14" s="1"/>
  <c r="H393" i="25"/>
  <c r="J275" i="25"/>
  <c r="J377" i="25"/>
  <c r="J376" i="25" s="1"/>
  <c r="J266" i="25"/>
  <c r="J364" i="25"/>
  <c r="J363" i="25" s="1"/>
  <c r="I260" i="25"/>
  <c r="I266" i="25"/>
  <c r="I364" i="25"/>
  <c r="I363" i="25" s="1"/>
  <c r="I275" i="25"/>
  <c r="I377" i="25"/>
  <c r="I376" i="25" s="1"/>
  <c r="J270" i="25"/>
  <c r="J370" i="25"/>
  <c r="J369" i="25" s="1"/>
  <c r="K164" i="25"/>
  <c r="J243" i="14"/>
  <c r="J163" i="14" s="1"/>
  <c r="J280" i="25"/>
  <c r="J386" i="25"/>
  <c r="J385" i="25" s="1"/>
  <c r="B285" i="14"/>
  <c r="C289" i="14"/>
  <c r="K322" i="25"/>
  <c r="K352" i="25" s="1"/>
  <c r="K401" i="25"/>
  <c r="K398" i="25" s="1"/>
  <c r="H403" i="25"/>
  <c r="H399" i="25"/>
  <c r="H404" i="25"/>
  <c r="H128" i="25"/>
  <c r="I121" i="25"/>
  <c r="I271" i="25"/>
  <c r="J113" i="25"/>
  <c r="J260" i="25"/>
  <c r="J259" i="25" s="1"/>
  <c r="H131" i="25"/>
  <c r="H170" i="25"/>
  <c r="H168" i="25" s="1"/>
  <c r="H165" i="25"/>
  <c r="J125" i="25"/>
  <c r="J118" i="25"/>
  <c r="I113" i="25"/>
  <c r="I118" i="25"/>
  <c r="I125" i="25"/>
  <c r="J121" i="25"/>
  <c r="K128" i="25"/>
  <c r="K88" i="25"/>
  <c r="K126" i="25"/>
  <c r="K81" i="25"/>
  <c r="K119" i="25"/>
  <c r="H81" i="25"/>
  <c r="H119" i="25"/>
  <c r="H267" i="25" s="1"/>
  <c r="H266" i="25" s="1"/>
  <c r="K76" i="25"/>
  <c r="K114" i="25"/>
  <c r="H89" i="25"/>
  <c r="H126" i="25" s="1"/>
  <c r="H276" i="25" s="1"/>
  <c r="H275" i="25" s="1"/>
  <c r="K51" i="25"/>
  <c r="K70" i="25" s="1"/>
  <c r="K85" i="25"/>
  <c r="K84" i="25" s="1"/>
  <c r="K109" i="25"/>
  <c r="K251" i="25" s="1"/>
  <c r="K340" i="25" s="1"/>
  <c r="H333" i="25"/>
  <c r="H353" i="25" s="1"/>
  <c r="H53" i="25"/>
  <c r="H71" i="25" s="1"/>
  <c r="H329" i="25"/>
  <c r="G14" i="14" l="1"/>
  <c r="C37" i="14"/>
  <c r="B37" i="14" s="1"/>
  <c r="D14" i="14"/>
  <c r="I355" i="25"/>
  <c r="I354" i="25" s="1"/>
  <c r="I259" i="25"/>
  <c r="H394" i="25"/>
  <c r="H392" i="25" s="1"/>
  <c r="I108" i="14"/>
  <c r="B104" i="14"/>
  <c r="I156" i="14"/>
  <c r="B154" i="14"/>
  <c r="B28" i="14"/>
  <c r="K108" i="25"/>
  <c r="K250" i="25" s="1"/>
  <c r="K339" i="25" s="1"/>
  <c r="J85" i="14"/>
  <c r="J14" i="14" s="1"/>
  <c r="B18" i="14"/>
  <c r="H377" i="25"/>
  <c r="H376" i="25" s="1"/>
  <c r="H364" i="25"/>
  <c r="H363" i="25" s="1"/>
  <c r="J355" i="25"/>
  <c r="J354" i="25" s="1"/>
  <c r="I270" i="25"/>
  <c r="I370" i="25"/>
  <c r="I369" i="25" s="1"/>
  <c r="H386" i="25"/>
  <c r="H385" i="25" s="1"/>
  <c r="H322" i="25"/>
  <c r="H352" i="25" s="1"/>
  <c r="H401" i="25"/>
  <c r="H398" i="25" s="1"/>
  <c r="H402" i="25"/>
  <c r="K118" i="25"/>
  <c r="K267" i="25"/>
  <c r="K125" i="25"/>
  <c r="K276" i="25"/>
  <c r="K113" i="25"/>
  <c r="K260" i="25"/>
  <c r="K259" i="25" s="1"/>
  <c r="H118" i="25"/>
  <c r="H88" i="25"/>
  <c r="H125" i="25"/>
  <c r="H114" i="25"/>
  <c r="H260" i="25" s="1"/>
  <c r="H259" i="25" s="1"/>
  <c r="K122" i="25"/>
  <c r="K271" i="25" s="1"/>
  <c r="H51" i="25"/>
  <c r="H85" i="25"/>
  <c r="H84" i="25" s="1"/>
  <c r="H109" i="25"/>
  <c r="H70" i="25" l="1"/>
  <c r="H108" i="25" s="1"/>
  <c r="H250" i="25" s="1"/>
  <c r="H339" i="25" s="1"/>
  <c r="C39" i="14"/>
  <c r="H251" i="25"/>
  <c r="H340" i="25" s="1"/>
  <c r="K270" i="25"/>
  <c r="K370" i="25"/>
  <c r="K369" i="25" s="1"/>
  <c r="K355" i="25"/>
  <c r="K354" i="25" s="1"/>
  <c r="K275" i="25"/>
  <c r="K377" i="25"/>
  <c r="K376" i="25" s="1"/>
  <c r="K266" i="25"/>
  <c r="K364" i="25"/>
  <c r="K363" i="25" s="1"/>
  <c r="I85" i="14"/>
  <c r="I14" i="14" s="1"/>
  <c r="H113" i="25"/>
  <c r="K121" i="25"/>
  <c r="H122" i="25"/>
  <c r="H271" i="25" s="1"/>
  <c r="H270" i="25" s="1"/>
  <c r="G291" i="14"/>
  <c r="G11" i="14" s="1"/>
  <c r="H291" i="14"/>
  <c r="H11" i="14" s="1"/>
  <c r="J291" i="14"/>
  <c r="K291" i="14"/>
  <c r="K11" i="14" s="1"/>
  <c r="D291" i="14"/>
  <c r="D11" i="14" l="1"/>
  <c r="C291" i="14"/>
  <c r="J11" i="14"/>
  <c r="H370" i="25"/>
  <c r="H369" i="25" s="1"/>
  <c r="B85" i="14"/>
  <c r="H355" i="25"/>
  <c r="H354" i="25" s="1"/>
  <c r="H121" i="25"/>
  <c r="F291" i="14"/>
  <c r="I291" i="14"/>
  <c r="F260" i="14" l="1"/>
  <c r="I260" i="14"/>
  <c r="F196" i="14" l="1"/>
  <c r="F200" i="14" s="1"/>
  <c r="I196" i="14"/>
  <c r="I200" i="14" s="1"/>
  <c r="F219" i="14" l="1"/>
  <c r="F231" i="14" s="1"/>
  <c r="I219" i="14"/>
  <c r="I231" i="14" s="1"/>
  <c r="C305" i="14"/>
  <c r="C313" i="14" l="1"/>
  <c r="C302" i="14"/>
  <c r="C310" i="14" l="1"/>
  <c r="B302" i="14"/>
  <c r="C303" i="14"/>
  <c r="E11" i="14"/>
  <c r="B291" i="14" l="1"/>
  <c r="B303" i="14"/>
  <c r="C311" i="14"/>
  <c r="C228" i="14"/>
  <c r="C219" i="14"/>
  <c r="C231" i="14" s="1"/>
  <c r="F223" i="14"/>
  <c r="I223" i="14" s="1"/>
  <c r="F212" i="14"/>
  <c r="C196" i="14"/>
  <c r="C188" i="14"/>
  <c r="C192" i="14" s="1"/>
  <c r="I212" i="14" l="1"/>
  <c r="I216" i="14" s="1"/>
  <c r="F216" i="14"/>
  <c r="B196" i="14"/>
  <c r="C200" i="14"/>
  <c r="C226" i="14"/>
  <c r="B219" i="14"/>
  <c r="D320" i="14" l="1"/>
  <c r="D319" i="14" s="1"/>
  <c r="A320" i="14"/>
  <c r="E319" i="14"/>
  <c r="B318" i="14"/>
  <c r="A317" i="14"/>
  <c r="E316" i="14"/>
  <c r="E315" i="14" s="1"/>
  <c r="D315" i="14"/>
  <c r="C315" i="14" l="1"/>
  <c r="B315" i="14" s="1"/>
  <c r="C319" i="14"/>
  <c r="B319" i="14" s="1"/>
  <c r="F270" i="14" l="1"/>
  <c r="F274" i="14" s="1"/>
  <c r="I270" i="14"/>
  <c r="I274" i="14" s="1"/>
  <c r="F253" i="14"/>
  <c r="I253" i="14"/>
  <c r="I258" i="14" l="1"/>
  <c r="I249" i="14"/>
  <c r="F258" i="14"/>
  <c r="F249" i="14"/>
  <c r="C253" i="14"/>
  <c r="C235" i="14"/>
  <c r="C277" i="14"/>
  <c r="C270" i="14"/>
  <c r="C258" i="14" l="1"/>
  <c r="C249" i="14"/>
  <c r="B270" i="14"/>
  <c r="C274" i="14"/>
  <c r="B235" i="14"/>
  <c r="C240" i="14"/>
  <c r="C281" i="14"/>
  <c r="B277" i="14"/>
  <c r="B253" i="14"/>
  <c r="F210" i="14"/>
  <c r="F215" i="14" s="1"/>
  <c r="I210" i="14"/>
  <c r="I215" i="14" s="1"/>
  <c r="F188" i="14"/>
  <c r="F192" i="14" s="1"/>
  <c r="I188" i="14"/>
  <c r="I192" i="14" s="1"/>
  <c r="B249" i="14" l="1"/>
  <c r="B188" i="14"/>
  <c r="C243" i="14"/>
  <c r="C247" i="14" s="1"/>
  <c r="C210" i="14"/>
  <c r="C215" i="14" s="1"/>
  <c r="C167" i="14"/>
  <c r="C171" i="14" l="1"/>
  <c r="C163" i="14"/>
  <c r="B210" i="14"/>
  <c r="C93" i="14"/>
  <c r="I243" i="14"/>
  <c r="I247" i="14" s="1"/>
  <c r="F243" i="14"/>
  <c r="F247" i="14" s="1"/>
  <c r="C98" i="14" l="1"/>
  <c r="C14" i="14"/>
  <c r="C11" i="14" s="1"/>
  <c r="B243" i="14"/>
  <c r="B93" i="14" l="1"/>
  <c r="B14" i="14" s="1"/>
  <c r="F167" i="14"/>
  <c r="F171" i="14" l="1"/>
  <c r="F163" i="14"/>
  <c r="F11" i="14" s="1"/>
  <c r="I167" i="14"/>
  <c r="I171" i="14" l="1"/>
  <c r="I163" i="14"/>
  <c r="I11" i="14" s="1"/>
  <c r="B167" i="14"/>
  <c r="B163" i="14" s="1"/>
  <c r="B11" i="14" s="1"/>
</calcChain>
</file>

<file path=xl/sharedStrings.xml><?xml version="1.0" encoding="utf-8"?>
<sst xmlns="http://schemas.openxmlformats.org/spreadsheetml/2006/main" count="1255" uniqueCount="455">
  <si>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</si>
  <si>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</si>
  <si>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</si>
  <si>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</si>
  <si>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</si>
  <si>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</si>
  <si>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Додаток 2</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</si>
  <si>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</si>
  <si>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</si>
  <si>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</si>
  <si>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</si>
  <si>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</si>
  <si>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</si>
  <si>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</si>
  <si>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</si>
  <si>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</si>
  <si>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</si>
  <si>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</si>
  <si>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Відділ охорони здоров’я Сумської міської ради</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</si>
  <si>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</si>
  <si>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</si>
  <si>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</si>
  <si>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</si>
  <si>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</si>
  <si>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</si>
  <si>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</si>
  <si>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</si>
  <si>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</si>
  <si>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</si>
  <si>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</si>
  <si>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</si>
  <si>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</si>
  <si>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</si>
  <si>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</si>
  <si>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</si>
  <si>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</si>
  <si>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</si>
  <si>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</si>
  <si>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</si>
  <si>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</si>
  <si>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</si>
  <si>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</si>
  <si>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</si>
  <si>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</si>
  <si>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</si>
  <si>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</si>
  <si>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</si>
  <si>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</si>
  <si>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</si>
  <si>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</si>
  <si>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</si>
  <si>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Кошти бюджету ОТГ (загальний фонд)</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</si>
  <si>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</si>
  <si>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</si>
  <si>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</si>
  <si>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</si>
  <si>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Відділ охорони здоров'я Сумської міської ради</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</si>
  <si>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</si>
  <si>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</si>
  <si>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</si>
  <si>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Кошти бюджету ОТГ (спеціальний фонд)</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</si>
  <si>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</si>
  <si>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</si>
  <si>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</si>
  <si>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</si>
  <si>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</si>
  <si>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</si>
  <si>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</si>
  <si>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</si>
  <si>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</si>
  <si>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</si>
  <si>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</si>
  <si>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 xml:space="preserve">Кошти бюджету ОТГ (загальний фонд) </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</si>
  <si>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</si>
  <si>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</si>
  <si>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</si>
  <si>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</si>
  <si>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</si>
  <si>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</si>
  <si>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</si>
  <si>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</si>
  <si>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</si>
  <si>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</si>
  <si>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</si>
  <si>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</si>
  <si>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</si>
  <si>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</si>
  <si>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</si>
  <si>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</si>
  <si>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</si>
  <si>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</si>
  <si>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</si>
  <si>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</si>
  <si>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</si>
  <si>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</si>
  <si>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</si>
  <si>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</si>
  <si>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</si>
  <si>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</si>
  <si>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</si>
  <si>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</si>
  <si>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</si>
  <si>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</si>
  <si>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</si>
  <si>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</si>
  <si>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</si>
  <si>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</si>
  <si>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</si>
  <si>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</si>
  <si>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</si>
  <si>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</si>
  <si>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</si>
  <si>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</si>
  <si>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</si>
  <si>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</si>
  <si>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</si>
  <si>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</si>
  <si>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</si>
  <si>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</si>
  <si>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</si>
  <si>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</si>
  <si>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</si>
  <si>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</si>
  <si>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</si>
  <si>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</si>
  <si>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</si>
  <si>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</si>
  <si>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</si>
  <si>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</si>
  <si>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</si>
  <si>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</si>
  <si>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</si>
  <si>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</si>
  <si>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</si>
  <si>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</si>
  <si>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</si>
  <si>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</si>
  <si>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</si>
  <si>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</si>
  <si>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</si>
  <si>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</si>
  <si>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</si>
  <si>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</si>
  <si>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</si>
  <si>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</si>
  <si>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</si>
  <si>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</si>
  <si>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</si>
  <si>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</si>
  <si>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</si>
  <si>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</si>
  <si>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Всього на виконання підпрограми, грн</t>
  </si>
  <si>
    <t>КПКВК 0712152</t>
  </si>
  <si>
    <t>Будівництво та реконструкція медичних установ та закладів</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</si>
  <si>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</si>
  <si>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Забезпечення надання стоматологічної допомоги відповідно до галузевих стандартів та виплата винагороди працівникам за виконану ними роботу, відсутність заборгованості по оплаті праці.</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</si>
  <si>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</si>
  <si>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</si>
  <si>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</si>
  <si>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</si>
  <si>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</si>
  <si>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</si>
  <si>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</si>
  <si>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</si>
  <si>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</si>
  <si>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</si>
  <si>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</si>
  <si>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</si>
  <si>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</si>
  <si>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</si>
  <si>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</si>
  <si>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</si>
  <si>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</si>
  <si>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</si>
  <si>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</si>
  <si>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</si>
  <si>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</si>
  <si>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</si>
  <si>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</si>
  <si>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</si>
  <si>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</si>
  <si>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</si>
  <si>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</si>
  <si>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</si>
  <si>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</si>
  <si>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</si>
  <si>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</si>
  <si>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</si>
  <si>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</si>
  <si>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</si>
  <si>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</si>
  <si>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</si>
  <si>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</si>
  <si>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</si>
  <si>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</si>
  <si>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</si>
  <si>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</si>
  <si>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</si>
  <si>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</si>
  <si>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</si>
  <si>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</si>
  <si>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</si>
  <si>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</si>
  <si>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</si>
  <si>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одиниць необхідного обладнання</t>
  </si>
  <si>
    <t>Кількість одиниць обладнання, що планується придбати</t>
  </si>
  <si>
    <t>кількість площі, що потребують капітального ремонту</t>
  </si>
  <si>
    <t>кількість площі, що планується ремонтувати</t>
  </si>
  <si>
    <t>питома вага відремонтованої площо до загальної потреби</t>
  </si>
  <si>
    <t>питома вага обладнання, що планується придбати до загальної кількості необхідного обладнання</t>
  </si>
  <si>
    <t>відсоток охоплення, %</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</si>
  <si>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</si>
  <si>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</si>
  <si>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</si>
  <si>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середня вартість ремонту 1 кв.м приміщень</t>
  </si>
  <si>
    <t>0712150</t>
  </si>
  <si>
    <t>Відділ охорони здоров'я Сумської міської ради                                                                         Інші програми, заклади та заходи у сфері охорони здоров'я</t>
  </si>
  <si>
    <t>Відділ охорони здоров'я Сумської міської ради                                                           Інші програми та  заходи у сфері охорони здоров'я</t>
  </si>
  <si>
    <t>0712140</t>
  </si>
  <si>
    <t>Відділ охорони здоров'я Сумської міської ради                                                                   Програми і централізовані заходи у галузі охорони здоров'я</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</si>
  <si>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</si>
  <si>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 xml:space="preserve">Відділ охорони здоров'я Сумської міської ради                                                           Співфінансування інвестиційних проєктів, що реалізуються за рахунок коштів державного фонду регіонального розвитку </t>
  </si>
  <si>
    <t>Відділ охорони здоров'я Сумської міської ради                                                           Будівництво медичних установ та закладів</t>
  </si>
  <si>
    <t>_____________ "___"______________ 2020 р.</t>
  </si>
  <si>
    <t>Відділ охорони здоров'я Сумської міської ради                                                         Виконання інвестиційних проєктів в рамках здійснення заходів щодо соціально-економічного розвитку окремих територій</t>
  </si>
  <si>
    <t>Розвиток первинної медико-санітарної допомоги</t>
  </si>
  <si>
    <t>Розвиток вторинної (спеціалізованої) медичної допомоги</t>
  </si>
  <si>
    <t>Відділ охорони здоров’я СМР</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</si>
  <si>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</si>
  <si>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</si>
  <si>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</si>
  <si>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</si>
  <si>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</si>
  <si>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</si>
  <si>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1.1.2. Співфінансування покриття вартості комунальних послуг та енергоносіїв</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</si>
  <si>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</si>
  <si>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</si>
  <si>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</si>
  <si>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</si>
  <si>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</si>
  <si>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</si>
  <si>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</si>
  <si>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</si>
  <si>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</si>
  <si>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</si>
  <si>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</si>
  <si>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</si>
  <si>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</si>
  <si>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</si>
  <si>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</si>
  <si>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</si>
  <si>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</si>
  <si>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</si>
  <si>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</si>
  <si>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</si>
  <si>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</si>
  <si>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</si>
  <si>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</si>
  <si>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3.3.</t>
  </si>
  <si>
    <t xml:space="preserve">3.2.1.Забезпечення діяльності централізованої бухгалтерії  та інформаційно-аналітичного центру медичної статистики відділу охорони здоров'я СМР                   </t>
  </si>
  <si>
    <t>3.3.1. Закупівля лікарських засобів, медичних виробів, засобів індивідуального захисту, антисептиків</t>
  </si>
  <si>
    <t>3.3.2.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</si>
  <si>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</si>
  <si>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</si>
  <si>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</si>
  <si>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</si>
  <si>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</si>
  <si>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</si>
  <si>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</si>
  <si>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</si>
  <si>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</si>
  <si>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</si>
  <si>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</si>
  <si>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</si>
  <si>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</si>
  <si>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</si>
  <si>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</si>
  <si>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</si>
  <si>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</si>
  <si>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</si>
  <si>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</si>
  <si>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</si>
  <si>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</si>
  <si>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</si>
  <si>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</si>
  <si>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</si>
  <si>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</si>
  <si>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</si>
  <si>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</si>
  <si>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</si>
  <si>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</si>
  <si>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</si>
  <si>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</si>
  <si>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</si>
  <si>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</si>
  <si>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</si>
  <si>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</si>
  <si>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</si>
  <si>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</si>
  <si>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</si>
  <si>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</si>
  <si>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Відділ охорони здоров'я Сумської міської ради                                            Централізовані заходи з лікування хворих на цукровий та нецукровий діабет</t>
  </si>
  <si>
    <t xml:space="preserve">Сприяння в утриманні закладів первинного рівня  </t>
  </si>
  <si>
    <t>Співфінансування покриття вартості комунальних послуг та енергоносіїв</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</si>
  <si>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</si>
  <si>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</si>
  <si>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</si>
  <si>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</si>
  <si>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</si>
  <si>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</si>
  <si>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</si>
  <si>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</si>
  <si>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кількість осіб, які потребують вакцинації</t>
  </si>
  <si>
    <t>кількість осіб, яким планується провести вакцинацію</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</si>
  <si>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</si>
  <si>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</si>
  <si>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</si>
  <si>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</si>
  <si>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молочної кухні</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</si>
  <si>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</si>
  <si>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</si>
  <si>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</si>
  <si>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</si>
  <si>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</si>
  <si>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</si>
  <si>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</si>
  <si>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</si>
  <si>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</si>
  <si>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</si>
  <si>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</si>
  <si>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</si>
  <si>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</si>
  <si>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</si>
  <si>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</si>
  <si>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</si>
  <si>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</si>
  <si>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</si>
  <si>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</si>
  <si>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Закупівля лікарських засобів, медичних виробів, засобів індивідуального захисту, антисептиків</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</si>
  <si>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</si>
  <si>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</si>
  <si>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</si>
  <si>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</si>
  <si>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</si>
  <si>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</si>
  <si>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</si>
  <si>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</si>
  <si>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</si>
  <si>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</si>
  <si>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</si>
  <si>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</si>
  <si>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</si>
  <si>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</si>
  <si>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</si>
  <si>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</si>
  <si>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</si>
  <si>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</si>
  <si>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</si>
  <si>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</si>
  <si>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</si>
  <si>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</si>
  <si>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</si>
  <si>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</si>
  <si>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</si>
  <si>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</si>
  <si>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</si>
  <si>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</si>
  <si>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</si>
  <si>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</si>
  <si>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</si>
  <si>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</si>
  <si>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</si>
  <si>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</si>
  <si>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</si>
  <si>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</si>
  <si>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</si>
  <si>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</si>
  <si>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Разом по заходу 3.3.2.</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</si>
  <si>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</si>
  <si>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</si>
  <si>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</si>
  <si>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</si>
  <si>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</si>
  <si>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</si>
  <si>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</si>
  <si>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</si>
  <si>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</si>
  <si>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 xml:space="preserve">Показник продукту: </t>
    </r>
    <r>
      <rPr>
        <sz val="18"/>
        <rFont val="Times New Roman"/>
        <family val="1"/>
        <charset val="204"/>
      </rPr>
      <t>кількість ліжко-днів у стаціонарах, од.</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</si>
  <si>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</si>
  <si>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</si>
  <si>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</si>
  <si>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</si>
  <si>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</si>
  <si>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кількість осіб, які мають пройти профілактичний медичний огляд</t>
  </si>
  <si>
    <t xml:space="preserve">кількість осіб, яким будуть надані послуги  </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</si>
  <si>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</si>
  <si>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</si>
  <si>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</si>
  <si>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</si>
  <si>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</si>
  <si>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</si>
  <si>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</si>
  <si>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</si>
  <si>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</si>
  <si>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</si>
  <si>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</si>
  <si>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</si>
  <si>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</si>
  <si>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</si>
  <si>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</si>
  <si>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</si>
  <si>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</si>
  <si>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</si>
  <si>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</si>
  <si>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</si>
  <si>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</si>
  <si>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</si>
  <si>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</si>
  <si>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</si>
  <si>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</si>
  <si>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</si>
  <si>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</si>
  <si>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Співфінансування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</si>
  <si>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</si>
  <si>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</si>
  <si>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Відділ охорони здоров'я Сумської міської ради                                                         Інші субвенції з місцевого бюджету</t>
  </si>
  <si>
    <t xml:space="preserve">Розвиток лікарсько-акушерської допомоги </t>
  </si>
  <si>
    <t>0712020</t>
  </si>
  <si>
    <t>Відділ охорони здоров'я Сумської міської ради                                                              Спеціалізована стаціонарна медична допомога населенню</t>
  </si>
  <si>
    <t xml:space="preserve">1.2.11. Забезпечення надання психіатричної медичної допомоги </t>
  </si>
  <si>
    <t>КНП СОР "Обласна клінічна спеціалізована лікарня"</t>
  </si>
  <si>
    <t>1.2.12. Забезпечення функціонування молочної кухні</t>
  </si>
  <si>
    <t>1.2.13. Забезпечення функціонування відділення медико-соціальної допомоги дітям та молоді "Клініка, дружня до молоді"</t>
  </si>
  <si>
    <t>1.2.14. Сприяння організації призову громадян на військову службу</t>
  </si>
  <si>
    <t>Разом по заходу 1.2.14</t>
  </si>
  <si>
    <t>Забезпечення надання медичної допомоги мешканцям Сумської міської ОТГ з психіатричними розладами</t>
  </si>
  <si>
    <t>КПКВК 0712020</t>
  </si>
  <si>
    <t>Забезпечення надання психіатричної медичної допомоги мешканцям ОТГ</t>
  </si>
  <si>
    <t>Спеціалізована стаціонарна медична допомога населенню</t>
  </si>
  <si>
    <t>2021 (прогноз)</t>
  </si>
  <si>
    <t>2021 рік (прогноз)</t>
  </si>
  <si>
    <t>Додаток 2                                                                                                      до рішення Сумської міської ради "Про затвердження комплексної Програми Cумської міської територіальної громади «Охорона здоров'я» на 2020-2022 роки»</t>
  </si>
  <si>
    <t>бюджетних програм до комплексної Програми Cумської міської територіальної громади «Охорона здоров'я» на 2020-2022 роки»</t>
  </si>
  <si>
    <t xml:space="preserve">Додаток 3                                                                                                       до рішення Сумської міської ради "Про затвердження комплексної Програми Cумської міської територіальної громади «Охорона здоров'я» на 2020-2022 роки» </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</si>
  <si>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</si>
  <si>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Додаток 4                                                                                                       до рішення Сумської міської ради "Про затвердження комплексної Програми Cумської міської територіальної громади «Охорона здоров'я» на 2020-2022 роки» </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</si>
  <si>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</si>
  <si>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</si>
  <si>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</si>
  <si>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 xml:space="preserve">Секретар Сумської міської ради </t>
  </si>
  <si>
    <t>А.В.Баранов</t>
  </si>
  <si>
    <r>
      <t xml:space="preserve">від </t>
    </r>
    <r>
      <rPr>
        <u/>
        <sz val="20"/>
        <rFont val="Times New Roman"/>
        <family val="1"/>
        <charset val="204"/>
      </rPr>
      <t>21 жовтня</t>
    </r>
    <r>
      <rPr>
        <sz val="20"/>
        <rFont val="Times New Roman"/>
        <family val="1"/>
        <charset val="204"/>
      </rPr>
      <t xml:space="preserve"> 2020 року № </t>
    </r>
    <r>
      <rPr>
        <u/>
        <sz val="20"/>
        <rFont val="Times New Roman"/>
        <family val="1"/>
        <charset val="204"/>
      </rPr>
      <t>7548</t>
    </r>
    <r>
      <rPr>
        <sz val="20"/>
        <rFont val="Times New Roman"/>
        <family val="1"/>
        <charset val="204"/>
      </rPr>
      <t>-МР</t>
    </r>
  </si>
  <si>
    <r>
      <t xml:space="preserve">від </t>
    </r>
    <r>
      <rPr>
        <u/>
        <sz val="22"/>
        <rFont val="Times New Roman"/>
        <family val="1"/>
        <charset val="204"/>
      </rPr>
      <t>21 жовтня</t>
    </r>
    <r>
      <rPr>
        <sz val="22"/>
        <rFont val="Times New Roman"/>
        <family val="1"/>
        <charset val="204"/>
      </rPr>
      <t xml:space="preserve"> 2020 року № </t>
    </r>
    <r>
      <rPr>
        <u/>
        <sz val="22"/>
        <rFont val="Times New Roman"/>
        <family val="1"/>
        <charset val="204"/>
      </rPr>
      <t>7548</t>
    </r>
    <r>
      <rPr>
        <sz val="22"/>
        <rFont val="Times New Roman"/>
        <family val="1"/>
        <charset val="204"/>
      </rPr>
      <t>-МР</t>
    </r>
  </si>
  <si>
    <t>Секретар Сумської міської ради</t>
  </si>
  <si>
    <t>А.В. Баранов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</si>
</sst>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43" x14ac:knownFonts="1">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12"/>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4"/>
      <color rgb="FFFF0000"/>
      <name val="Times New Roman"/>
      <family val="1"/>
      <charset val="204"/>
    </font>
    <font>
      <b/>
      <sz val="14"/>
      <color rgb="FF7030A0"/>
      <name val="Times New Roman"/>
      <family val="1"/>
      <charset val="204"/>
    </font>
    <font>
      <sz val="10"/>
      <color rgb="FF7030A0"/>
      <name val="Arial"/>
      <family val="2"/>
      <charset val="204"/>
    </font>
    <font>
      <sz val="18"/>
      <name val="Times New Roman"/>
      <family val="1"/>
      <charset val="204"/>
    </font>
    <font>
      <b/>
      <sz val="20"/>
      <name val="Times New Roman"/>
      <family val="1"/>
      <charset val="204"/>
    </font>
    <font>
      <sz val="8"/>
      <name val="Arial"/>
      <family val="2"/>
      <charset val="204"/>
    </font>
    <font>
      <b/>
      <sz val="12"/>
      <name val="Arial"/>
      <family val="2"/>
      <charset val="204"/>
    </font>
    <font>
      <b/>
      <i/>
      <sz val="18"/>
      <name val="Times New Roman"/>
      <family val="1"/>
      <charset val="204"/>
    </font>
    <font>
      <sz val="20"/>
      <name val="Times New Roman"/>
      <family val="1"/>
      <charset val="204"/>
    </font>
    <font>
      <b/>
      <sz val="25"/>
      <name val="Times New Roman"/>
      <family val="1"/>
      <charset val="204"/>
    </font>
    <font>
      <sz val="14"/>
      <color rgb="FF7030A0"/>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sz val="16"/>
      <name val="Arial"/>
      <family val="2"/>
      <charset val="204"/>
    </font>
    <font>
      <b/>
      <sz val="28"/>
      <name val="Times New Roman"/>
      <family val="1"/>
      <charset val="204"/>
    </font>
    <font>
      <sz val="20"/>
      <name val="Arial"/>
      <family val="2"/>
      <charset val="204"/>
    </font>
    <font>
      <sz val="28"/>
      <name val="Times New Roman"/>
      <family val="1"/>
      <charset val="204"/>
    </font>
    <font>
      <u/>
      <sz val="20"/>
      <name val="Times New Roman"/>
      <family val="1"/>
      <charset val="204"/>
    </font>
    <font>
      <u/>
      <sz val="22"/>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9">
    <xf numFmtId="0" fontId="0" fillId="0" borderId="0"/>
    <xf numFmtId="0" fontId="7" fillId="0" borderId="0"/>
    <xf numFmtId="0" fontId="5" fillId="0" borderId="0"/>
    <xf numFmtId="0" fontId="4" fillId="0" borderId="0"/>
    <xf numFmtId="9" fontId="5" fillId="0" borderId="0" applyFont="0" applyFill="0" applyBorder="0" applyAlignment="0" applyProtection="0"/>
    <xf numFmtId="0" fontId="8" fillId="0" borderId="0"/>
    <xf numFmtId="0" fontId="19" fillId="0" borderId="0">
      <alignment horizontal="left"/>
    </xf>
    <xf numFmtId="0" fontId="2" fillId="0" borderId="0"/>
    <xf numFmtId="0" fontId="19" fillId="0" borderId="0">
      <alignment horizontal="left"/>
    </xf>
  </cellStyleXfs>
  <cellXfs count="634">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164" fontId="3" fillId="2" borderId="0" xfId="0" applyNumberFormat="1" applyFont="1" applyFill="1"/>
    <xf numFmtId="0" fontId="10" fillId="2" borderId="0" xfId="0" applyFont="1" applyFill="1"/>
    <xf numFmtId="164" fontId="10" fillId="2" borderId="0" xfId="0" applyNumberFormat="1" applyFont="1" applyFill="1"/>
    <xf numFmtId="0" fontId="3" fillId="2" borderId="0" xfId="0" applyFont="1" applyFill="1" applyBorder="1" applyAlignment="1">
      <alignment horizontal="left" vertical="top" wrapText="1"/>
    </xf>
    <xf numFmtId="0" fontId="10" fillId="2" borderId="0" xfId="0" applyFont="1" applyFill="1" applyAlignment="1">
      <alignment horizontal="center" vertical="center"/>
    </xf>
    <xf numFmtId="0" fontId="10" fillId="2" borderId="0" xfId="0" applyFont="1" applyFill="1" applyAlignment="1">
      <alignment wrapText="1"/>
    </xf>
    <xf numFmtId="0" fontId="10" fillId="2" borderId="0" xfId="0" applyFont="1" applyFill="1" applyAlignment="1">
      <alignment horizontal="center"/>
    </xf>
    <xf numFmtId="0" fontId="13"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9" fillId="0" borderId="1" xfId="0" applyNumberFormat="1" applyFont="1" applyBorder="1" applyAlignment="1">
      <alignment horizontal="center" vertical="center" wrapText="1"/>
    </xf>
    <xf numFmtId="1" fontId="14" fillId="0" borderId="0" xfId="0" applyNumberFormat="1" applyFont="1" applyFill="1" applyAlignment="1">
      <alignment vertical="top"/>
    </xf>
    <xf numFmtId="0" fontId="3" fillId="0" borderId="0" xfId="0" applyFont="1" applyFill="1"/>
    <xf numFmtId="0" fontId="6" fillId="0" borderId="0" xfId="0" applyFont="1" applyFill="1"/>
    <xf numFmtId="164" fontId="15" fillId="0" borderId="0" xfId="0" applyNumberFormat="1" applyFont="1" applyFill="1" applyBorder="1" applyAlignment="1">
      <alignment horizontal="center" wrapText="1"/>
    </xf>
    <xf numFmtId="0" fontId="14" fillId="0" borderId="0" xfId="0" applyFont="1" applyFill="1" applyAlignment="1">
      <alignment vertical="top"/>
    </xf>
    <xf numFmtId="0" fontId="5" fillId="0" borderId="0" xfId="0" applyFont="1" applyFill="1"/>
    <xf numFmtId="0" fontId="16" fillId="0" borderId="0" xfId="0" applyFont="1" applyFill="1"/>
    <xf numFmtId="164" fontId="10" fillId="0" borderId="0" xfId="0" applyNumberFormat="1" applyFont="1" applyFill="1"/>
    <xf numFmtId="164" fontId="3" fillId="0" borderId="0" xfId="0" applyNumberFormat="1" applyFont="1" applyFill="1"/>
    <xf numFmtId="0" fontId="3" fillId="0" borderId="0" xfId="0" applyFont="1" applyFill="1" applyAlignment="1">
      <alignment horizontal="center" vertical="center"/>
    </xf>
    <xf numFmtId="1" fontId="3" fillId="0" borderId="0" xfId="0" applyNumberFormat="1" applyFont="1" applyFill="1" applyAlignment="1">
      <alignment horizontal="center" vertical="center"/>
    </xf>
    <xf numFmtId="0" fontId="10" fillId="0" borderId="0" xfId="0" applyFont="1" applyFill="1"/>
    <xf numFmtId="0" fontId="3" fillId="0" borderId="0" xfId="0" applyFont="1" applyFill="1" applyAlignment="1">
      <alignment horizontal="center"/>
    </xf>
    <xf numFmtId="0" fontId="1" fillId="0" borderId="0" xfId="0" applyFont="1" applyFill="1" applyAlignment="1">
      <alignment horizontal="center"/>
    </xf>
    <xf numFmtId="0" fontId="11" fillId="0" borderId="9"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9"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3" fillId="0" borderId="0" xfId="0" applyFont="1" applyAlignment="1">
      <alignment horizontal="right"/>
    </xf>
    <xf numFmtId="166" fontId="11" fillId="0" borderId="1" xfId="0" applyNumberFormat="1" applyFont="1" applyFill="1" applyBorder="1" applyAlignment="1">
      <alignment horizontal="center" vertical="top" wrapText="1"/>
    </xf>
    <xf numFmtId="0" fontId="1" fillId="0" borderId="0" xfId="0" applyFont="1" applyFill="1" applyAlignment="1">
      <alignment horizontal="center" vertical="center"/>
    </xf>
    <xf numFmtId="0" fontId="20" fillId="0" borderId="0" xfId="0" applyFont="1" applyFill="1"/>
    <xf numFmtId="1" fontId="1" fillId="0" borderId="0" xfId="0" applyNumberFormat="1" applyFont="1" applyFill="1" applyAlignment="1">
      <alignment horizontal="center" vertical="center"/>
    </xf>
    <xf numFmtId="49" fontId="17" fillId="0" borderId="1" xfId="0" applyNumberFormat="1" applyFont="1" applyFill="1" applyBorder="1" applyAlignment="1">
      <alignment vertical="center" wrapText="1"/>
    </xf>
    <xf numFmtId="0" fontId="17" fillId="0" borderId="0" xfId="0" applyFont="1" applyFill="1" applyAlignment="1">
      <alignment horizontal="center" vertical="center"/>
    </xf>
    <xf numFmtId="0" fontId="17" fillId="0" borderId="0" xfId="0" applyFont="1" applyFill="1" applyAlignment="1">
      <alignment horizontal="center"/>
    </xf>
    <xf numFmtId="0" fontId="17" fillId="0" borderId="0" xfId="3" applyFont="1" applyFill="1" applyAlignment="1">
      <alignment horizontal="center" wrapText="1"/>
    </xf>
    <xf numFmtId="0" fontId="17" fillId="0" borderId="0" xfId="0" applyFont="1" applyFill="1" applyAlignment="1">
      <alignment horizontal="center" wrapText="1"/>
    </xf>
    <xf numFmtId="0" fontId="11" fillId="0" borderId="0" xfId="0" applyFont="1" applyFill="1" applyBorder="1" applyAlignment="1">
      <alignment horizontal="left" vertical="center" wrapText="1"/>
    </xf>
    <xf numFmtId="49" fontId="17" fillId="0" borderId="2" xfId="0" applyNumberFormat="1" applyFont="1" applyFill="1" applyBorder="1" applyAlignment="1">
      <alignment vertical="center" wrapText="1"/>
    </xf>
    <xf numFmtId="0" fontId="17" fillId="0" borderId="9" xfId="3" applyFont="1" applyFill="1" applyBorder="1" applyAlignment="1">
      <alignment horizontal="center" vertical="top" wrapText="1"/>
    </xf>
    <xf numFmtId="0" fontId="11" fillId="0" borderId="0" xfId="0" applyFont="1" applyFill="1" applyBorder="1" applyAlignment="1">
      <alignment horizontal="center" vertical="center" wrapText="1"/>
    </xf>
    <xf numFmtId="166" fontId="11" fillId="0" borderId="0" xfId="0" applyNumberFormat="1" applyFont="1" applyFill="1" applyBorder="1" applyAlignment="1">
      <alignment horizontal="center" vertical="center" wrapText="1"/>
    </xf>
    <xf numFmtId="49" fontId="17" fillId="0" borderId="1" xfId="0" applyNumberFormat="1" applyFont="1" applyFill="1" applyBorder="1" applyAlignment="1">
      <alignment vertical="top" wrapText="1"/>
    </xf>
    <xf numFmtId="49" fontId="17" fillId="0" borderId="8" xfId="0" applyNumberFormat="1" applyFont="1" applyFill="1" applyBorder="1" applyAlignment="1">
      <alignment horizontal="left" vertical="top"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top" wrapText="1"/>
    </xf>
    <xf numFmtId="49" fontId="17" fillId="2" borderId="1" xfId="0" applyNumberFormat="1" applyFont="1" applyFill="1" applyBorder="1" applyAlignment="1">
      <alignment vertical="center" wrapText="1"/>
    </xf>
    <xf numFmtId="0" fontId="1" fillId="2" borderId="1" xfId="0" applyFont="1" applyFill="1" applyBorder="1" applyAlignment="1">
      <alignment horizontal="center"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vertical="top" wrapText="1"/>
    </xf>
    <xf numFmtId="49" fontId="17" fillId="2" borderId="1" xfId="0" applyNumberFormat="1" applyFont="1" applyFill="1" applyBorder="1" applyAlignment="1">
      <alignment horizontal="left" vertical="top" wrapText="1"/>
    </xf>
    <xf numFmtId="164" fontId="24" fillId="0" borderId="0" xfId="0" applyNumberFormat="1" applyFont="1" applyFill="1" applyBorder="1" applyAlignment="1">
      <alignment horizont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4" xfId="0" applyFont="1" applyFill="1" applyBorder="1" applyAlignment="1">
      <alignment vertical="center"/>
    </xf>
    <xf numFmtId="0" fontId="18" fillId="0" borderId="3" xfId="0" applyFont="1" applyFill="1" applyBorder="1" applyAlignment="1">
      <alignment horizontal="center" vertical="center"/>
    </xf>
    <xf numFmtId="49" fontId="17" fillId="0" borderId="1" xfId="0" applyNumberFormat="1" applyFont="1" applyFill="1" applyBorder="1" applyAlignment="1">
      <alignment horizontal="left" vertical="top" wrapText="1"/>
    </xf>
    <xf numFmtId="0" fontId="17" fillId="0" borderId="1" xfId="0" applyFont="1" applyFill="1" applyBorder="1" applyAlignment="1">
      <alignment horizontal="center" vertical="top" wrapText="1"/>
    </xf>
    <xf numFmtId="49" fontId="17" fillId="0" borderId="2" xfId="0" applyNumberFormat="1" applyFont="1" applyFill="1" applyBorder="1" applyAlignment="1">
      <alignment horizontal="left" vertical="top" wrapText="1"/>
    </xf>
    <xf numFmtId="49" fontId="17" fillId="0" borderId="2" xfId="0" applyNumberFormat="1" applyFont="1" applyFill="1" applyBorder="1" applyAlignment="1">
      <alignment horizontal="left" vertical="top" wrapText="1"/>
    </xf>
    <xf numFmtId="0" fontId="12" fillId="2" borderId="6" xfId="0" applyFont="1" applyFill="1" applyBorder="1" applyAlignment="1">
      <alignment vertical="top"/>
    </xf>
    <xf numFmtId="0" fontId="18"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18" fillId="0" borderId="1" xfId="0" applyFont="1" applyFill="1" applyBorder="1" applyAlignment="1">
      <alignment vertical="top" wrapText="1"/>
    </xf>
    <xf numFmtId="166" fontId="3" fillId="0" borderId="0" xfId="0" applyNumberFormat="1" applyFont="1" applyFill="1"/>
    <xf numFmtId="0" fontId="17" fillId="2" borderId="0" xfId="0" applyFont="1" applyFill="1" applyAlignment="1">
      <alignment wrapText="1"/>
    </xf>
    <xf numFmtId="0" fontId="22" fillId="2" borderId="0" xfId="0" applyFont="1" applyFill="1"/>
    <xf numFmtId="0" fontId="22" fillId="2" borderId="0" xfId="0" applyFont="1" applyFill="1" applyAlignment="1">
      <alignment horizontal="center" vertical="center"/>
    </xf>
    <xf numFmtId="0" fontId="22" fillId="2" borderId="0" xfId="0" applyFont="1" applyFill="1" applyAlignment="1">
      <alignment wrapText="1"/>
    </xf>
    <xf numFmtId="0" fontId="22" fillId="2" borderId="0" xfId="0" applyFont="1" applyFill="1" applyAlignment="1">
      <alignment horizontal="center"/>
    </xf>
    <xf numFmtId="0" fontId="11" fillId="0" borderId="1" xfId="0" applyFont="1" applyFill="1" applyBorder="1" applyAlignment="1">
      <alignment horizontal="center" vertical="center" wrapText="1"/>
    </xf>
    <xf numFmtId="0" fontId="17" fillId="0" borderId="1" xfId="0" applyFont="1" applyFill="1" applyBorder="1" applyAlignment="1">
      <alignment horizontal="center" vertical="top" wrapText="1"/>
    </xf>
    <xf numFmtId="0" fontId="18" fillId="0" borderId="1" xfId="0" applyFont="1" applyFill="1" applyBorder="1" applyAlignment="1">
      <alignment horizontal="center" vertical="center" wrapText="1"/>
    </xf>
    <xf numFmtId="0" fontId="17" fillId="0" borderId="6" xfId="0" applyFont="1" applyFill="1" applyBorder="1" applyAlignment="1">
      <alignment horizontal="center" vertical="top" wrapText="1"/>
    </xf>
    <xf numFmtId="0" fontId="17" fillId="0" borderId="9" xfId="0" applyFont="1" applyFill="1" applyBorder="1" applyAlignment="1">
      <alignment horizontal="center"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center" wrapText="1"/>
    </xf>
    <xf numFmtId="0" fontId="28" fillId="0" borderId="0" xfId="0" applyFont="1" applyFill="1" applyAlignment="1">
      <alignment vertical="top"/>
    </xf>
    <xf numFmtId="0" fontId="28" fillId="2" borderId="0" xfId="0" applyFont="1" applyFill="1" applyAlignment="1">
      <alignment vertical="top"/>
    </xf>
    <xf numFmtId="0" fontId="25" fillId="0" borderId="1" xfId="0" applyFont="1" applyFill="1" applyBorder="1" applyAlignment="1">
      <alignment horizontal="center" vertical="center" wrapText="1"/>
    </xf>
    <xf numFmtId="0" fontId="28" fillId="0" borderId="1" xfId="0" applyFont="1" applyFill="1" applyBorder="1" applyAlignment="1">
      <alignment horizontal="left" vertical="top" wrapText="1"/>
    </xf>
    <xf numFmtId="0" fontId="28" fillId="0" borderId="1" xfId="0" applyFont="1" applyFill="1" applyBorder="1" applyAlignment="1">
      <alignment vertical="top" wrapText="1"/>
    </xf>
    <xf numFmtId="0" fontId="28" fillId="0" borderId="1" xfId="3" applyFont="1" applyFill="1" applyBorder="1" applyAlignment="1">
      <alignment horizontal="left" vertical="top" wrapText="1"/>
    </xf>
    <xf numFmtId="0" fontId="28" fillId="0" borderId="6" xfId="3" applyFont="1" applyFill="1" applyBorder="1" applyAlignment="1">
      <alignment vertical="top" wrapText="1"/>
    </xf>
    <xf numFmtId="0" fontId="28" fillId="0" borderId="0" xfId="0" applyFont="1" applyFill="1" applyAlignment="1">
      <alignment horizontal="center" vertical="center"/>
    </xf>
    <xf numFmtId="0" fontId="25" fillId="0" borderId="0" xfId="0" applyFont="1" applyFill="1" applyBorder="1" applyAlignment="1">
      <alignment horizontal="left" vertical="center" wrapText="1"/>
    </xf>
    <xf numFmtId="0" fontId="28" fillId="2" borderId="1" xfId="0" applyNumberFormat="1" applyFont="1" applyFill="1" applyBorder="1" applyAlignment="1">
      <alignment horizontal="left" vertical="top" wrapText="1"/>
    </xf>
    <xf numFmtId="49" fontId="28" fillId="0" borderId="1" xfId="0" applyNumberFormat="1" applyFont="1" applyFill="1" applyBorder="1" applyAlignment="1">
      <alignment vertical="top" wrapText="1"/>
    </xf>
    <xf numFmtId="0" fontId="25" fillId="0" borderId="4" xfId="0" applyFont="1" applyFill="1" applyBorder="1" applyAlignment="1">
      <alignment vertical="center"/>
    </xf>
    <xf numFmtId="0" fontId="28" fillId="2" borderId="0" xfId="0" applyFont="1" applyFill="1" applyAlignment="1">
      <alignment horizontal="right"/>
    </xf>
    <xf numFmtId="0" fontId="26"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6" xfId="0" applyFont="1" applyFill="1" applyBorder="1" applyAlignment="1">
      <alignment vertical="top" wrapText="1"/>
    </xf>
    <xf numFmtId="0" fontId="28" fillId="2" borderId="1" xfId="3" applyFont="1" applyFill="1" applyBorder="1" applyAlignment="1">
      <alignment horizontal="left" vertical="top" wrapText="1"/>
    </xf>
    <xf numFmtId="0" fontId="28" fillId="2" borderId="1" xfId="0" applyFont="1" applyFill="1" applyBorder="1" applyAlignment="1">
      <alignment horizontal="left" vertical="top" wrapText="1"/>
    </xf>
    <xf numFmtId="0" fontId="28" fillId="0" borderId="6" xfId="0" applyFont="1" applyFill="1" applyBorder="1" applyAlignment="1">
      <alignment horizontal="left" vertical="top" wrapText="1"/>
    </xf>
    <xf numFmtId="0" fontId="28" fillId="2" borderId="0" xfId="0" applyFont="1" applyFill="1"/>
    <xf numFmtId="0" fontId="22" fillId="0" borderId="0" xfId="3" applyFont="1" applyFill="1" applyAlignment="1">
      <alignment horizontal="center" wrapText="1"/>
    </xf>
    <xf numFmtId="0" fontId="22" fillId="0" borderId="0" xfId="0" applyFont="1" applyFill="1" applyAlignment="1">
      <alignment horizontal="center" wrapText="1"/>
    </xf>
    <xf numFmtId="0" fontId="31" fillId="0" borderId="0" xfId="0" applyFont="1" applyFill="1" applyAlignment="1">
      <alignment horizontal="center" wrapText="1"/>
    </xf>
    <xf numFmtId="165" fontId="31" fillId="0" borderId="0" xfId="0" applyNumberFormat="1" applyFont="1" applyFill="1" applyAlignment="1">
      <alignment horizontal="center" wrapText="1"/>
    </xf>
    <xf numFmtId="166" fontId="22" fillId="0" borderId="1" xfId="0" applyNumberFormat="1" applyFont="1" applyFill="1" applyBorder="1" applyAlignment="1">
      <alignment horizontal="center" vertical="top" wrapText="1"/>
    </xf>
    <xf numFmtId="166" fontId="18" fillId="0" borderId="1" xfId="0" applyNumberFormat="1" applyFont="1" applyFill="1" applyBorder="1" applyAlignment="1">
      <alignment horizontal="center" vertical="center" wrapText="1"/>
    </xf>
    <xf numFmtId="166" fontId="18" fillId="0" borderId="9" xfId="0" applyNumberFormat="1" applyFont="1" applyFill="1" applyBorder="1" applyAlignment="1">
      <alignment horizontal="center" vertical="top" wrapText="1"/>
    </xf>
    <xf numFmtId="166" fontId="22" fillId="0" borderId="9" xfId="0" applyNumberFormat="1" applyFont="1" applyFill="1" applyBorder="1" applyAlignment="1">
      <alignment horizontal="center" vertical="top" wrapText="1"/>
    </xf>
    <xf numFmtId="166" fontId="18" fillId="2" borderId="9"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top" wrapText="1"/>
    </xf>
    <xf numFmtId="166" fontId="18" fillId="2" borderId="1" xfId="0" applyNumberFormat="1" applyFont="1" applyFill="1" applyBorder="1" applyAlignment="1">
      <alignment horizontal="center" vertical="top" wrapText="1"/>
    </xf>
    <xf numFmtId="166" fontId="22" fillId="0" borderId="6" xfId="0" applyNumberFormat="1" applyFont="1" applyFill="1" applyBorder="1" applyAlignment="1">
      <alignment horizontal="center" vertical="top" wrapText="1"/>
    </xf>
    <xf numFmtId="166" fontId="22" fillId="0" borderId="0" xfId="0" applyNumberFormat="1" applyFont="1" applyFill="1" applyAlignment="1">
      <alignment horizontal="center" wrapText="1"/>
    </xf>
    <xf numFmtId="0" fontId="22" fillId="0" borderId="0" xfId="0" applyFont="1" applyFill="1" applyAlignment="1">
      <alignment wrapText="1"/>
    </xf>
    <xf numFmtId="0" fontId="22" fillId="0" borderId="0" xfId="0" applyFont="1" applyFill="1" applyAlignment="1">
      <alignment vertical="top" wrapText="1"/>
    </xf>
    <xf numFmtId="166" fontId="22" fillId="0" borderId="12" xfId="0" applyNumberFormat="1"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9" xfId="0" applyFont="1" applyFill="1" applyBorder="1" applyAlignment="1">
      <alignment horizontal="center" vertical="top"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wrapText="1"/>
    </xf>
    <xf numFmtId="0" fontId="21" fillId="0" borderId="1" xfId="0" applyFont="1" applyFill="1" applyBorder="1" applyAlignment="1">
      <alignment horizontal="center" vertical="center" wrapText="1"/>
    </xf>
    <xf numFmtId="0" fontId="21" fillId="0" borderId="6" xfId="0" applyFont="1" applyFill="1" applyBorder="1" applyAlignment="1">
      <alignment horizontal="center" vertical="top" wrapText="1"/>
    </xf>
    <xf numFmtId="0" fontId="21" fillId="0" borderId="1" xfId="0" applyFont="1" applyFill="1" applyBorder="1" applyAlignment="1">
      <alignment horizontal="center" vertical="top" wrapText="1"/>
    </xf>
    <xf numFmtId="0" fontId="11" fillId="0" borderId="1" xfId="0" applyFont="1" applyFill="1" applyBorder="1" applyAlignment="1">
      <alignment horizontal="center" vertical="center"/>
    </xf>
    <xf numFmtId="0" fontId="17" fillId="2" borderId="1" xfId="0" applyFont="1" applyFill="1" applyBorder="1" applyAlignment="1">
      <alignment horizontal="center" vertical="top" wrapText="1"/>
    </xf>
    <xf numFmtId="0" fontId="11" fillId="0" borderId="6" xfId="0" applyFont="1" applyFill="1" applyBorder="1" applyAlignment="1">
      <alignment horizontal="center" vertical="top" wrapText="1"/>
    </xf>
    <xf numFmtId="0" fontId="17" fillId="0" borderId="3" xfId="0" applyFont="1" applyFill="1" applyBorder="1" applyAlignment="1">
      <alignment horizontal="center" vertical="top" wrapText="1"/>
    </xf>
    <xf numFmtId="0" fontId="25" fillId="0" borderId="3" xfId="0" applyFont="1" applyFill="1" applyBorder="1" applyAlignment="1">
      <alignment vertical="top" wrapText="1"/>
    </xf>
    <xf numFmtId="0" fontId="25" fillId="0" borderId="4" xfId="0" applyFont="1" applyFill="1" applyBorder="1" applyAlignment="1">
      <alignment vertical="top" wrapText="1"/>
    </xf>
    <xf numFmtId="0" fontId="25" fillId="0" borderId="2" xfId="0" applyFont="1" applyFill="1" applyBorder="1" applyAlignment="1">
      <alignment vertical="top" wrapText="1"/>
    </xf>
    <xf numFmtId="49" fontId="17" fillId="0" borderId="6" xfId="0" applyNumberFormat="1" applyFont="1" applyFill="1" applyBorder="1" applyAlignment="1">
      <alignment vertical="top" wrapText="1"/>
    </xf>
    <xf numFmtId="0" fontId="17" fillId="0" borderId="9" xfId="0" applyFont="1" applyFill="1" applyBorder="1" applyAlignment="1">
      <alignment horizontal="center" vertical="top" wrapText="1"/>
    </xf>
    <xf numFmtId="0" fontId="17" fillId="0" borderId="1" xfId="3" applyFont="1" applyFill="1" applyBorder="1" applyAlignment="1">
      <alignment horizontal="center" vertical="top" wrapText="1"/>
    </xf>
    <xf numFmtId="0" fontId="17" fillId="0" borderId="1" xfId="0" applyFont="1" applyFill="1" applyBorder="1" applyAlignment="1">
      <alignment horizontal="center" vertical="top" wrapText="1"/>
    </xf>
    <xf numFmtId="49" fontId="17" fillId="0" borderId="1" xfId="0" applyNumberFormat="1" applyFont="1" applyFill="1" applyBorder="1" applyAlignment="1">
      <alignment horizontal="left" vertical="top" wrapText="1"/>
    </xf>
    <xf numFmtId="0" fontId="25" fillId="0" borderId="1" xfId="0" applyFont="1" applyFill="1" applyBorder="1" applyAlignment="1">
      <alignment horizontal="left" vertical="top" wrapText="1"/>
    </xf>
    <xf numFmtId="0" fontId="11" fillId="0" borderId="1" xfId="0" applyFont="1" applyFill="1" applyBorder="1" applyAlignment="1">
      <alignment horizontal="center" vertical="top" wrapText="1"/>
    </xf>
    <xf numFmtId="0" fontId="28" fillId="0" borderId="1" xfId="0" applyFont="1" applyFill="1" applyBorder="1" applyAlignment="1">
      <alignment vertical="top" wrapText="1"/>
    </xf>
    <xf numFmtId="0" fontId="28" fillId="2" borderId="1" xfId="0" applyFont="1" applyFill="1" applyBorder="1" applyAlignment="1">
      <alignment horizontal="left" vertical="top" wrapText="1"/>
    </xf>
    <xf numFmtId="0" fontId="28" fillId="2" borderId="1" xfId="0" applyFont="1" applyFill="1" applyBorder="1" applyAlignment="1">
      <alignment horizontal="left" vertical="top" wrapText="1"/>
    </xf>
    <xf numFmtId="0" fontId="28" fillId="0" borderId="1" xfId="0" applyFont="1" applyFill="1" applyBorder="1" applyAlignment="1">
      <alignment vertical="top" wrapText="1"/>
    </xf>
    <xf numFmtId="0" fontId="28" fillId="0" borderId="1" xfId="0" applyFont="1" applyFill="1" applyBorder="1" applyAlignment="1">
      <alignment horizontal="left" vertical="top" wrapText="1"/>
    </xf>
    <xf numFmtId="49" fontId="25" fillId="2" borderId="6" xfId="0" applyNumberFormat="1" applyFont="1" applyFill="1" applyBorder="1" applyAlignment="1">
      <alignment vertical="top" wrapText="1"/>
    </xf>
    <xf numFmtId="0" fontId="17" fillId="0" borderId="0" xfId="3" applyFont="1" applyFill="1" applyBorder="1" applyAlignment="1">
      <alignment horizontal="center" vertical="top" wrapText="1"/>
    </xf>
    <xf numFmtId="0" fontId="28" fillId="0" borderId="8" xfId="0" applyFont="1" applyFill="1" applyBorder="1" applyAlignment="1">
      <alignment horizontal="left" vertical="top" wrapText="1"/>
    </xf>
    <xf numFmtId="0" fontId="12" fillId="0" borderId="12" xfId="0" applyFont="1" applyFill="1" applyBorder="1" applyAlignment="1">
      <alignment vertical="top"/>
    </xf>
    <xf numFmtId="0" fontId="28" fillId="2" borderId="6" xfId="0" applyFont="1" applyFill="1" applyBorder="1" applyAlignment="1">
      <alignment vertical="top" wrapText="1"/>
    </xf>
    <xf numFmtId="0" fontId="17" fillId="2" borderId="1" xfId="0" applyFont="1" applyFill="1" applyBorder="1" applyAlignment="1">
      <alignment horizontal="center"/>
    </xf>
    <xf numFmtId="166" fontId="18" fillId="0" borderId="8" xfId="0" applyNumberFormat="1" applyFont="1" applyFill="1" applyBorder="1" applyAlignment="1">
      <alignment horizontal="center" vertical="top" wrapText="1"/>
    </xf>
    <xf numFmtId="166" fontId="18" fillId="2" borderId="2" xfId="0" applyNumberFormat="1" applyFont="1" applyFill="1" applyBorder="1" applyAlignment="1">
      <alignment horizontal="center" vertical="top" wrapText="1"/>
    </xf>
    <xf numFmtId="49" fontId="25" fillId="0" borderId="1" xfId="0" applyNumberFormat="1" applyFont="1" applyFill="1" applyBorder="1" applyAlignment="1">
      <alignment vertical="top" wrapText="1"/>
    </xf>
    <xf numFmtId="4" fontId="18" fillId="0" borderId="1" xfId="0" applyNumberFormat="1" applyFont="1" applyFill="1" applyBorder="1" applyAlignment="1">
      <alignment horizontal="center" vertical="top" wrapText="1"/>
    </xf>
    <xf numFmtId="0" fontId="17" fillId="0" borderId="6" xfId="0" applyFont="1" applyFill="1" applyBorder="1" applyAlignment="1">
      <alignment horizontal="center" vertical="top" wrapText="1"/>
    </xf>
    <xf numFmtId="0" fontId="11" fillId="0" borderId="6" xfId="0" applyFont="1" applyFill="1" applyBorder="1" applyAlignment="1">
      <alignment horizontal="center" vertical="top" wrapText="1"/>
    </xf>
    <xf numFmtId="0" fontId="18" fillId="0" borderId="6" xfId="0" applyFont="1" applyFill="1" applyBorder="1" applyAlignment="1">
      <alignment horizontal="center" vertical="center" wrapText="1"/>
    </xf>
    <xf numFmtId="0" fontId="28" fillId="0" borderId="1" xfId="0" applyFont="1" applyFill="1" applyBorder="1" applyAlignment="1">
      <alignment horizontal="left" vertical="top" wrapText="1"/>
    </xf>
    <xf numFmtId="0" fontId="17" fillId="0" borderId="1" xfId="0" applyFont="1" applyFill="1" applyBorder="1" applyAlignment="1">
      <alignment horizontal="center" vertical="top" wrapText="1"/>
    </xf>
    <xf numFmtId="0" fontId="17" fillId="0" borderId="1" xfId="3" applyFont="1" applyFill="1" applyBorder="1" applyAlignment="1">
      <alignment horizontal="center" vertical="top" wrapText="1"/>
    </xf>
    <xf numFmtId="0" fontId="17" fillId="0" borderId="6" xfId="3" applyFont="1" applyFill="1" applyBorder="1" applyAlignment="1">
      <alignment horizontal="center" vertical="top" wrapText="1"/>
    </xf>
    <xf numFmtId="0" fontId="28" fillId="0" borderId="1" xfId="3" applyFont="1" applyFill="1" applyBorder="1" applyAlignment="1">
      <alignment horizontal="left" vertical="top" wrapText="1"/>
    </xf>
    <xf numFmtId="0" fontId="28" fillId="0" borderId="1" xfId="0" applyFont="1" applyFill="1" applyBorder="1" applyAlignment="1">
      <alignment vertical="top" wrapText="1"/>
    </xf>
    <xf numFmtId="2" fontId="22" fillId="0" borderId="1" xfId="0" applyNumberFormat="1" applyFont="1" applyFill="1" applyBorder="1" applyAlignment="1">
      <alignment horizontal="center" vertical="top" wrapText="1"/>
    </xf>
    <xf numFmtId="2" fontId="18" fillId="0" borderId="1" xfId="0" applyNumberFormat="1" applyFont="1" applyFill="1" applyBorder="1" applyAlignment="1">
      <alignment horizontal="center" vertical="top" wrapText="1"/>
    </xf>
    <xf numFmtId="4" fontId="22" fillId="0" borderId="1" xfId="0" applyNumberFormat="1" applyFont="1" applyFill="1" applyBorder="1" applyAlignment="1">
      <alignment horizontal="center" vertical="top" wrapText="1"/>
    </xf>
    <xf numFmtId="166" fontId="17" fillId="0" borderId="6" xfId="0" applyNumberFormat="1" applyFont="1" applyFill="1" applyBorder="1" applyAlignment="1">
      <alignment horizontal="center" vertical="top" wrapText="1"/>
    </xf>
    <xf numFmtId="0" fontId="26" fillId="0" borderId="3" xfId="0" applyFont="1" applyFill="1" applyBorder="1" applyAlignment="1">
      <alignment vertical="center"/>
    </xf>
    <xf numFmtId="166" fontId="25" fillId="0" borderId="1" xfId="0" applyNumberFormat="1" applyFont="1" applyFill="1" applyBorder="1" applyAlignment="1">
      <alignment horizontal="center" vertical="top" wrapText="1"/>
    </xf>
    <xf numFmtId="166" fontId="28" fillId="0" borderId="1" xfId="0" applyNumberFormat="1" applyFont="1" applyFill="1" applyBorder="1" applyAlignment="1">
      <alignment horizontal="center" vertical="top" wrapText="1"/>
    </xf>
    <xf numFmtId="166" fontId="25" fillId="0" borderId="9" xfId="0" applyNumberFormat="1" applyFont="1" applyFill="1" applyBorder="1" applyAlignment="1">
      <alignment horizontal="center" vertical="top" wrapText="1"/>
    </xf>
    <xf numFmtId="166" fontId="25" fillId="0" borderId="6" xfId="0" applyNumberFormat="1" applyFont="1" applyFill="1" applyBorder="1" applyAlignment="1">
      <alignment horizontal="center" vertical="top" wrapText="1"/>
    </xf>
    <xf numFmtId="166" fontId="28" fillId="0" borderId="6" xfId="0" applyNumberFormat="1" applyFont="1" applyFill="1" applyBorder="1" applyAlignment="1">
      <alignment horizontal="center" vertical="top" wrapText="1"/>
    </xf>
    <xf numFmtId="0" fontId="28" fillId="0" borderId="1" xfId="0" applyFont="1" applyFill="1" applyBorder="1" applyAlignment="1">
      <alignment horizontal="center" vertical="top" wrapText="1"/>
    </xf>
    <xf numFmtId="166" fontId="25" fillId="0" borderId="1" xfId="0" applyNumberFormat="1" applyFont="1" applyFill="1" applyBorder="1" applyAlignment="1">
      <alignment horizontal="center" vertical="top"/>
    </xf>
    <xf numFmtId="166" fontId="28" fillId="0" borderId="9" xfId="0" applyNumberFormat="1" applyFont="1" applyFill="1" applyBorder="1" applyAlignment="1">
      <alignment horizontal="center" vertical="top" wrapText="1"/>
    </xf>
    <xf numFmtId="166" fontId="25" fillId="0" borderId="1" xfId="0" applyNumberFormat="1" applyFont="1" applyFill="1" applyBorder="1" applyAlignment="1">
      <alignment horizontal="center" vertical="center" wrapText="1"/>
    </xf>
    <xf numFmtId="166" fontId="25" fillId="0" borderId="9" xfId="0" applyNumberFormat="1" applyFont="1" applyFill="1" applyBorder="1" applyAlignment="1">
      <alignment horizontal="center" vertical="center" wrapText="1"/>
    </xf>
    <xf numFmtId="166" fontId="33" fillId="0" borderId="1" xfId="0" applyNumberFormat="1" applyFont="1" applyFill="1" applyBorder="1" applyAlignment="1">
      <alignment horizontal="center" vertical="top" wrapText="1"/>
    </xf>
    <xf numFmtId="166" fontId="25" fillId="0" borderId="1" xfId="0" applyNumberFormat="1" applyFont="1" applyFill="1" applyBorder="1" applyAlignment="1">
      <alignment horizontal="center" wrapText="1"/>
    </xf>
    <xf numFmtId="166" fontId="33" fillId="0" borderId="1" xfId="0" applyNumberFormat="1" applyFont="1" applyFill="1" applyBorder="1" applyAlignment="1">
      <alignment horizontal="center" vertical="center" wrapText="1"/>
    </xf>
    <xf numFmtId="166" fontId="33" fillId="0" borderId="6" xfId="0" applyNumberFormat="1" applyFont="1" applyFill="1" applyBorder="1" applyAlignment="1">
      <alignment horizontal="center" vertical="center" wrapText="1"/>
    </xf>
    <xf numFmtId="166" fontId="28" fillId="0" borderId="1" xfId="0" applyNumberFormat="1" applyFont="1" applyFill="1" applyBorder="1" applyAlignment="1">
      <alignment horizontal="center" vertical="top"/>
    </xf>
    <xf numFmtId="0" fontId="34" fillId="0" borderId="1" xfId="0" applyFont="1" applyFill="1" applyBorder="1" applyAlignment="1">
      <alignment horizontal="left" vertical="top" wrapText="1"/>
    </xf>
    <xf numFmtId="166" fontId="28" fillId="0" borderId="3" xfId="0" applyNumberFormat="1" applyFont="1" applyFill="1" applyBorder="1" applyAlignment="1">
      <alignment horizontal="center" vertical="top" wrapText="1"/>
    </xf>
    <xf numFmtId="166" fontId="28" fillId="0" borderId="1" xfId="0" applyNumberFormat="1" applyFont="1" applyFill="1" applyBorder="1" applyAlignment="1">
      <alignment horizontal="center" vertical="center" wrapText="1"/>
    </xf>
    <xf numFmtId="166" fontId="25" fillId="0" borderId="6" xfId="0" applyNumberFormat="1" applyFont="1" applyFill="1" applyBorder="1" applyAlignment="1">
      <alignment horizontal="center" vertical="center" wrapText="1"/>
    </xf>
    <xf numFmtId="3" fontId="11" fillId="2" borderId="1" xfId="0" applyNumberFormat="1" applyFont="1" applyFill="1" applyBorder="1" applyAlignment="1">
      <alignment horizontal="justify" vertical="top" wrapText="1"/>
    </xf>
    <xf numFmtId="3" fontId="11" fillId="5" borderId="1" xfId="0" applyNumberFormat="1" applyFont="1" applyFill="1" applyBorder="1" applyAlignment="1">
      <alignment horizontal="justify" vertical="top" wrapText="1"/>
    </xf>
    <xf numFmtId="3" fontId="11" fillId="2" borderId="1" xfId="0" applyNumberFormat="1" applyFont="1" applyFill="1" applyBorder="1" applyAlignment="1">
      <alignment horizontal="center" vertical="top" wrapText="1"/>
    </xf>
    <xf numFmtId="3" fontId="17" fillId="2" borderId="1" xfId="0" applyNumberFormat="1" applyFont="1" applyFill="1" applyBorder="1" applyAlignment="1">
      <alignment horizontal="center" vertical="top" wrapText="1"/>
    </xf>
    <xf numFmtId="3" fontId="17" fillId="0" borderId="1" xfId="0" applyNumberFormat="1" applyFont="1" applyFill="1" applyBorder="1" applyAlignment="1">
      <alignment horizontal="justify" vertical="top" wrapText="1"/>
    </xf>
    <xf numFmtId="3" fontId="17" fillId="0" borderId="1" xfId="0" applyNumberFormat="1" applyFont="1" applyFill="1" applyBorder="1" applyAlignment="1">
      <alignment horizontal="center" vertical="top" wrapText="1"/>
    </xf>
    <xf numFmtId="3" fontId="17" fillId="2" borderId="1" xfId="0" applyNumberFormat="1" applyFont="1" applyFill="1" applyBorder="1"/>
    <xf numFmtId="3" fontId="17" fillId="2" borderId="1" xfId="0" applyNumberFormat="1" applyFont="1" applyFill="1" applyBorder="1" applyAlignment="1">
      <alignment horizontal="justify" vertical="top" wrapText="1"/>
    </xf>
    <xf numFmtId="3" fontId="17" fillId="0" borderId="1" xfId="0" applyNumberFormat="1" applyFont="1" applyFill="1" applyBorder="1" applyAlignment="1">
      <alignment horizontal="center" wrapText="1"/>
    </xf>
    <xf numFmtId="3" fontId="11" fillId="2" borderId="1" xfId="0" applyNumberFormat="1" applyFont="1" applyFill="1" applyBorder="1" applyAlignment="1">
      <alignment horizontal="left" vertical="top" wrapText="1"/>
    </xf>
    <xf numFmtId="3" fontId="11" fillId="0" borderId="1" xfId="0" applyNumberFormat="1" applyFont="1" applyFill="1" applyBorder="1" applyAlignment="1">
      <alignment horizontal="left" vertical="top" wrapText="1"/>
    </xf>
    <xf numFmtId="3"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right" vertical="top" wrapText="1"/>
    </xf>
    <xf numFmtId="3" fontId="17" fillId="0" borderId="1" xfId="0" applyNumberFormat="1" applyFont="1" applyFill="1" applyBorder="1"/>
    <xf numFmtId="3" fontId="17" fillId="0" borderId="1" xfId="0" applyNumberFormat="1" applyFont="1" applyFill="1" applyBorder="1" applyAlignment="1">
      <alignment horizontal="right" vertical="top" wrapText="1"/>
    </xf>
    <xf numFmtId="0" fontId="17" fillId="0" borderId="6" xfId="0" applyFont="1" applyFill="1" applyBorder="1" applyAlignment="1">
      <alignment horizontal="center" vertical="top" wrapText="1"/>
    </xf>
    <xf numFmtId="0" fontId="17" fillId="0" borderId="1" xfId="0" applyFont="1" applyFill="1" applyBorder="1" applyAlignment="1">
      <alignment horizontal="center" vertical="top" wrapText="1"/>
    </xf>
    <xf numFmtId="0" fontId="17" fillId="0" borderId="1" xfId="0" applyFont="1" applyFill="1" applyBorder="1" applyAlignment="1">
      <alignment horizontal="center" vertical="center" wrapText="1"/>
    </xf>
    <xf numFmtId="3" fontId="11" fillId="0" borderId="1" xfId="0" applyNumberFormat="1" applyFont="1" applyFill="1" applyBorder="1" applyAlignment="1">
      <alignment horizontal="left" wrapText="1"/>
    </xf>
    <xf numFmtId="3" fontId="11" fillId="0" borderId="1" xfId="0" applyNumberFormat="1" applyFont="1" applyFill="1" applyBorder="1" applyAlignment="1">
      <alignment horizontal="right" wrapText="1"/>
    </xf>
    <xf numFmtId="3" fontId="17" fillId="0" borderId="1" xfId="0" applyNumberFormat="1" applyFont="1" applyFill="1" applyBorder="1" applyAlignment="1">
      <alignment vertical="top" wrapText="1"/>
    </xf>
    <xf numFmtId="3" fontId="11" fillId="0" borderId="1" xfId="0" applyNumberFormat="1" applyFont="1" applyFill="1" applyBorder="1" applyAlignment="1">
      <alignment horizontal="center" wrapText="1"/>
    </xf>
    <xf numFmtId="3" fontId="11" fillId="0" borderId="1" xfId="0" applyNumberFormat="1" applyFont="1" applyFill="1" applyBorder="1" applyAlignment="1">
      <alignment wrapText="1"/>
    </xf>
    <xf numFmtId="3" fontId="17" fillId="0" borderId="1" xfId="0" applyNumberFormat="1" applyFont="1" applyFill="1" applyBorder="1" applyAlignment="1">
      <alignment wrapText="1"/>
    </xf>
    <xf numFmtId="3" fontId="17" fillId="0" borderId="1" xfId="0" applyNumberFormat="1" applyFont="1" applyFill="1" applyBorder="1" applyAlignment="1">
      <alignment horizontal="right" wrapText="1"/>
    </xf>
    <xf numFmtId="3" fontId="10" fillId="2" borderId="0" xfId="0" applyNumberFormat="1" applyFont="1" applyFill="1"/>
    <xf numFmtId="3" fontId="10" fillId="2" borderId="0" xfId="0" applyNumberFormat="1" applyFont="1" applyFill="1" applyBorder="1"/>
    <xf numFmtId="3" fontId="10" fillId="2" borderId="0" xfId="0" applyNumberFormat="1" applyFont="1" applyFill="1" applyAlignment="1">
      <alignment horizontal="center"/>
    </xf>
    <xf numFmtId="3" fontId="12" fillId="2" borderId="1" xfId="0" applyNumberFormat="1" applyFont="1" applyFill="1" applyBorder="1" applyAlignment="1">
      <alignment horizontal="center" wrapText="1"/>
    </xf>
    <xf numFmtId="3" fontId="12" fillId="2" borderId="1"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top" wrapText="1"/>
    </xf>
    <xf numFmtId="3" fontId="21" fillId="2" borderId="1" xfId="0" applyNumberFormat="1" applyFont="1" applyFill="1" applyBorder="1" applyAlignment="1">
      <alignment horizontal="justify" vertical="top" wrapText="1"/>
    </xf>
    <xf numFmtId="3" fontId="11" fillId="5" borderId="1" xfId="6" applyNumberFormat="1" applyFont="1" applyFill="1" applyBorder="1" applyAlignment="1">
      <alignment horizontal="left" vertical="top" wrapText="1"/>
    </xf>
    <xf numFmtId="3" fontId="11" fillId="2" borderId="1" xfId="6" applyNumberFormat="1" applyFont="1" applyFill="1" applyBorder="1" applyAlignment="1">
      <alignment horizontal="left" vertical="top" wrapText="1"/>
    </xf>
    <xf numFmtId="3" fontId="17" fillId="2" borderId="1" xfId="0" applyNumberFormat="1" applyFont="1" applyFill="1" applyBorder="1" applyAlignment="1">
      <alignment horizontal="right" vertical="center" wrapText="1"/>
    </xf>
    <xf numFmtId="3" fontId="11" fillId="3" borderId="1" xfId="0" applyNumberFormat="1" applyFont="1" applyFill="1" applyBorder="1" applyAlignment="1">
      <alignment horizontal="right"/>
    </xf>
    <xf numFmtId="3" fontId="17" fillId="2" borderId="1" xfId="0" applyNumberFormat="1" applyFont="1" applyFill="1" applyBorder="1" applyAlignment="1">
      <alignment horizontal="left" vertical="top" wrapText="1"/>
    </xf>
    <xf numFmtId="3" fontId="17" fillId="2" borderId="1" xfId="7" applyNumberFormat="1" applyFont="1" applyFill="1" applyBorder="1" applyAlignment="1">
      <alignment vertical="center" wrapText="1"/>
    </xf>
    <xf numFmtId="3" fontId="17" fillId="0" borderId="1" xfId="7" applyNumberFormat="1" applyFont="1" applyFill="1" applyBorder="1" applyAlignment="1">
      <alignment vertical="center" wrapText="1"/>
    </xf>
    <xf numFmtId="3" fontId="10" fillId="0" borderId="0" xfId="0" applyNumberFormat="1" applyFont="1" applyFill="1"/>
    <xf numFmtId="3" fontId="11" fillId="0" borderId="1" xfId="0" applyNumberFormat="1" applyFont="1" applyFill="1" applyBorder="1" applyAlignment="1">
      <alignment vertical="top" wrapText="1" shrinkToFit="1"/>
    </xf>
    <xf numFmtId="3" fontId="17" fillId="2" borderId="1" xfId="0" applyNumberFormat="1" applyFont="1" applyFill="1" applyBorder="1" applyAlignment="1">
      <alignment horizontal="right" wrapText="1"/>
    </xf>
    <xf numFmtId="3" fontId="17" fillId="2" borderId="1" xfId="0" applyNumberFormat="1" applyFont="1" applyFill="1" applyBorder="1" applyAlignment="1">
      <alignment vertical="top" wrapText="1"/>
    </xf>
    <xf numFmtId="3" fontId="17" fillId="0" borderId="1" xfId="7" applyNumberFormat="1" applyFont="1" applyFill="1" applyBorder="1" applyAlignment="1">
      <alignment wrapText="1"/>
    </xf>
    <xf numFmtId="3" fontId="36" fillId="0" borderId="1" xfId="8" applyNumberFormat="1" applyFont="1" applyFill="1" applyBorder="1" applyAlignment="1">
      <alignment vertical="center" wrapText="1"/>
    </xf>
    <xf numFmtId="3" fontId="36" fillId="0" borderId="1" xfId="7" applyNumberFormat="1" applyFont="1" applyFill="1" applyBorder="1" applyAlignment="1">
      <alignment vertical="center" wrapText="1"/>
    </xf>
    <xf numFmtId="3" fontId="36" fillId="0" borderId="1" xfId="7" applyNumberFormat="1" applyFont="1" applyFill="1" applyBorder="1" applyAlignment="1">
      <alignment horizontal="left" vertical="center" wrapText="1"/>
    </xf>
    <xf numFmtId="3" fontId="36" fillId="6" borderId="1" xfId="7" applyNumberFormat="1" applyFont="1" applyFill="1" applyBorder="1" applyAlignment="1">
      <alignment wrapText="1"/>
    </xf>
    <xf numFmtId="3" fontId="17" fillId="2" borderId="1" xfId="7" applyNumberFormat="1" applyFont="1" applyFill="1" applyBorder="1" applyAlignment="1">
      <alignment vertical="top" wrapText="1"/>
    </xf>
    <xf numFmtId="3" fontId="36" fillId="0" borderId="1" xfId="0" applyNumberFormat="1" applyFont="1" applyFill="1" applyBorder="1" applyAlignment="1">
      <alignment horizontal="justify" vertical="center" wrapText="1"/>
    </xf>
    <xf numFmtId="3" fontId="17" fillId="2" borderId="1" xfId="0" applyNumberFormat="1" applyFont="1" applyFill="1" applyBorder="1" applyAlignment="1">
      <alignment horizontal="left" vertical="center" wrapText="1"/>
    </xf>
    <xf numFmtId="3" fontId="17" fillId="6" borderId="1" xfId="0" applyNumberFormat="1" applyFont="1" applyFill="1" applyBorder="1" applyAlignment="1">
      <alignment horizontal="center"/>
    </xf>
    <xf numFmtId="3" fontId="17" fillId="6" borderId="1" xfId="0" applyNumberFormat="1" applyFont="1" applyFill="1" applyBorder="1" applyAlignment="1"/>
    <xf numFmtId="3" fontId="17" fillId="6" borderId="1" xfId="0" applyNumberFormat="1" applyFont="1" applyFill="1" applyBorder="1" applyAlignment="1">
      <alignment wrapText="1"/>
    </xf>
    <xf numFmtId="3" fontId="11" fillId="5" borderId="1" xfId="0" applyNumberFormat="1" applyFont="1" applyFill="1" applyBorder="1" applyAlignment="1">
      <alignment horizontal="center" vertical="top" wrapText="1"/>
    </xf>
    <xf numFmtId="3" fontId="11" fillId="2" borderId="1" xfId="0" applyNumberFormat="1" applyFont="1" applyFill="1" applyBorder="1"/>
    <xf numFmtId="3" fontId="17" fillId="2" borderId="1" xfId="0" applyNumberFormat="1" applyFont="1" applyFill="1" applyBorder="1" applyAlignment="1">
      <alignment wrapText="1"/>
    </xf>
    <xf numFmtId="3" fontId="17" fillId="2" borderId="1" xfId="0" applyNumberFormat="1" applyFont="1" applyFill="1" applyBorder="1" applyAlignment="1">
      <alignment horizontal="center"/>
    </xf>
    <xf numFmtId="3" fontId="11" fillId="2" borderId="1" xfId="0" applyNumberFormat="1" applyFont="1" applyFill="1" applyBorder="1" applyAlignment="1">
      <alignment vertical="top" wrapText="1" shrinkToFit="1"/>
    </xf>
    <xf numFmtId="3" fontId="17" fillId="0" borderId="1" xfId="7" applyNumberFormat="1" applyFont="1" applyBorder="1" applyAlignment="1">
      <alignment wrapText="1"/>
    </xf>
    <xf numFmtId="3" fontId="11" fillId="5" borderId="5" xfId="6" applyNumberFormat="1" applyFont="1" applyFill="1" applyBorder="1" applyAlignment="1">
      <alignment horizontal="left" vertical="top" wrapText="1"/>
    </xf>
    <xf numFmtId="3" fontId="11" fillId="5" borderId="6" xfId="0" applyNumberFormat="1" applyFont="1" applyFill="1" applyBorder="1"/>
    <xf numFmtId="3" fontId="11" fillId="5" borderId="6" xfId="7" applyNumberFormat="1" applyFont="1" applyFill="1" applyBorder="1" applyAlignment="1">
      <alignment horizontal="center" wrapText="1"/>
    </xf>
    <xf numFmtId="3" fontId="17" fillId="5" borderId="1" xfId="0" applyNumberFormat="1" applyFont="1" applyFill="1" applyBorder="1"/>
    <xf numFmtId="3" fontId="3" fillId="2" borderId="0" xfId="0" applyNumberFormat="1" applyFont="1" applyFill="1"/>
    <xf numFmtId="3" fontId="17" fillId="2" borderId="0" xfId="0" applyNumberFormat="1" applyFont="1" applyFill="1" applyBorder="1" applyAlignment="1">
      <alignment wrapText="1"/>
    </xf>
    <xf numFmtId="3" fontId="11" fillId="2" borderId="0" xfId="0" applyNumberFormat="1" applyFont="1" applyFill="1" applyBorder="1"/>
    <xf numFmtId="3" fontId="17" fillId="2" borderId="0" xfId="0" applyNumberFormat="1" applyFont="1" applyFill="1" applyBorder="1"/>
    <xf numFmtId="3" fontId="17" fillId="2" borderId="0" xfId="0" applyNumberFormat="1" applyFont="1" applyFill="1"/>
    <xf numFmtId="3" fontId="17" fillId="2" borderId="0" xfId="0" applyNumberFormat="1" applyFont="1" applyFill="1" applyAlignment="1">
      <alignment horizontal="right"/>
    </xf>
    <xf numFmtId="3" fontId="17" fillId="2" borderId="0" xfId="0" applyNumberFormat="1" applyFont="1" applyFill="1" applyAlignment="1">
      <alignment horizontal="center" vertical="center"/>
    </xf>
    <xf numFmtId="3" fontId="17" fillId="2" borderId="0" xfId="0" applyNumberFormat="1" applyFont="1" applyFill="1" applyAlignment="1">
      <alignment wrapText="1"/>
    </xf>
    <xf numFmtId="3" fontId="17" fillId="2" borderId="0" xfId="0" applyNumberFormat="1" applyFont="1" applyFill="1" applyAlignment="1">
      <alignment horizontal="center"/>
    </xf>
    <xf numFmtId="3" fontId="3" fillId="2" borderId="0" xfId="0" applyNumberFormat="1" applyFont="1" applyFill="1" applyAlignment="1">
      <alignment vertical="top" wrapText="1"/>
    </xf>
    <xf numFmtId="3" fontId="10" fillId="2" borderId="0" xfId="0" applyNumberFormat="1" applyFont="1" applyFill="1" applyAlignment="1">
      <alignment vertical="top" wrapText="1"/>
    </xf>
    <xf numFmtId="3" fontId="17" fillId="2" borderId="0" xfId="0" applyNumberFormat="1" applyFont="1" applyFill="1" applyAlignment="1">
      <alignment horizontal="left"/>
    </xf>
    <xf numFmtId="3" fontId="17" fillId="2" borderId="0" xfId="0" applyNumberFormat="1" applyFont="1" applyFill="1" applyAlignment="1">
      <alignment vertical="top"/>
    </xf>
    <xf numFmtId="3" fontId="22" fillId="2" borderId="0" xfId="0" applyNumberFormat="1" applyFont="1" applyFill="1"/>
    <xf numFmtId="3" fontId="22" fillId="2" borderId="0" xfId="0" applyNumberFormat="1" applyFont="1" applyFill="1" applyAlignment="1">
      <alignment horizontal="right"/>
    </xf>
    <xf numFmtId="3" fontId="22" fillId="2" borderId="0" xfId="0" applyNumberFormat="1" applyFont="1" applyFill="1" applyAlignment="1">
      <alignment horizontal="center" vertical="center"/>
    </xf>
    <xf numFmtId="3" fontId="22" fillId="2" borderId="0" xfId="0" applyNumberFormat="1" applyFont="1" applyFill="1" applyAlignment="1">
      <alignment wrapText="1"/>
    </xf>
    <xf numFmtId="3" fontId="22" fillId="2" borderId="0" xfId="0" applyNumberFormat="1" applyFont="1" applyFill="1" applyAlignment="1">
      <alignment horizontal="center"/>
    </xf>
    <xf numFmtId="0" fontId="10" fillId="0" borderId="0" xfId="0" applyFont="1"/>
    <xf numFmtId="0" fontId="37" fillId="0" borderId="0" xfId="0" applyFont="1"/>
    <xf numFmtId="0" fontId="28" fillId="0" borderId="1" xfId="0" applyFont="1" applyFill="1" applyBorder="1" applyAlignment="1">
      <alignment horizontal="left" vertical="top" wrapText="1"/>
    </xf>
    <xf numFmtId="0" fontId="17" fillId="0" borderId="1" xfId="0" applyFont="1" applyFill="1" applyBorder="1" applyAlignment="1">
      <alignment horizontal="center" vertical="top" wrapText="1"/>
    </xf>
    <xf numFmtId="0" fontId="11" fillId="0" borderId="9" xfId="0" applyFont="1" applyFill="1" applyBorder="1" applyAlignment="1">
      <alignment horizontal="center" vertical="top" wrapText="1"/>
    </xf>
    <xf numFmtId="0" fontId="28" fillId="0" borderId="6"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8" fillId="0" borderId="1" xfId="0" applyFont="1" applyFill="1" applyBorder="1" applyAlignment="1">
      <alignment horizontal="center" vertical="top" wrapText="1"/>
    </xf>
    <xf numFmtId="3" fontId="28" fillId="2" borderId="0" xfId="0" applyNumberFormat="1" applyFont="1" applyFill="1" applyAlignment="1">
      <alignment horizontal="left"/>
    </xf>
    <xf numFmtId="3" fontId="28" fillId="2" borderId="0" xfId="0" applyNumberFormat="1" applyFont="1" applyFill="1"/>
    <xf numFmtId="0" fontId="28" fillId="0" borderId="0" xfId="0" applyFont="1" applyFill="1" applyAlignment="1">
      <alignment wrapText="1"/>
    </xf>
    <xf numFmtId="0" fontId="28" fillId="0" borderId="0" xfId="0" applyFont="1" applyFill="1"/>
    <xf numFmtId="0" fontId="22" fillId="0" borderId="0" xfId="0" applyFont="1"/>
    <xf numFmtId="0" fontId="39" fillId="0" borderId="0" xfId="0" applyFont="1"/>
    <xf numFmtId="0" fontId="22" fillId="0" borderId="0" xfId="0" applyFont="1" applyAlignment="1">
      <alignment horizontal="right"/>
    </xf>
    <xf numFmtId="0" fontId="10" fillId="0" borderId="0" xfId="0" applyFont="1" applyAlignment="1">
      <alignment horizontal="left"/>
    </xf>
    <xf numFmtId="49" fontId="3" fillId="0" borderId="1" xfId="0" applyNumberFormat="1" applyFont="1" applyFill="1" applyBorder="1" applyAlignment="1">
      <alignment horizontal="center" vertical="top" wrapText="1"/>
    </xf>
    <xf numFmtId="0" fontId="40" fillId="2" borderId="0" xfId="0" applyFont="1" applyFill="1"/>
    <xf numFmtId="0" fontId="40" fillId="2" borderId="0" xfId="0" applyFont="1" applyFill="1" applyAlignment="1">
      <alignment horizontal="right"/>
    </xf>
    <xf numFmtId="0" fontId="40" fillId="2" borderId="0" xfId="0" applyFont="1" applyFill="1" applyAlignment="1">
      <alignment horizontal="center" vertical="center"/>
    </xf>
    <xf numFmtId="0" fontId="40" fillId="2" borderId="0" xfId="0" applyFont="1" applyFill="1" applyAlignment="1">
      <alignment wrapText="1"/>
    </xf>
    <xf numFmtId="0" fontId="40" fillId="2" borderId="0" xfId="0" applyFont="1" applyFill="1" applyAlignment="1">
      <alignment horizontal="center"/>
    </xf>
    <xf numFmtId="0" fontId="40" fillId="0" borderId="0" xfId="0" applyFont="1" applyFill="1" applyAlignment="1">
      <alignment horizontal="center" wrapText="1"/>
    </xf>
    <xf numFmtId="0" fontId="40" fillId="0" borderId="0" xfId="0" applyFont="1" applyFill="1" applyAlignment="1">
      <alignment vertical="top" wrapText="1"/>
    </xf>
    <xf numFmtId="0" fontId="40" fillId="0" borderId="0" xfId="0" applyFont="1" applyFill="1"/>
    <xf numFmtId="0" fontId="28" fillId="2" borderId="0" xfId="0" applyFont="1" applyFill="1" applyAlignment="1">
      <alignment horizontal="left"/>
    </xf>
    <xf numFmtId="0" fontId="28" fillId="0" borderId="6" xfId="0" applyFont="1" applyFill="1" applyBorder="1" applyAlignment="1">
      <alignment horizontal="left" vertical="top" wrapText="1"/>
    </xf>
    <xf numFmtId="0" fontId="17" fillId="0" borderId="9" xfId="0" applyFont="1" applyFill="1" applyBorder="1" applyAlignment="1">
      <alignment horizontal="center" vertical="top" wrapText="1"/>
    </xf>
    <xf numFmtId="0" fontId="28" fillId="0" borderId="1" xfId="0" applyFont="1" applyFill="1" applyBorder="1" applyAlignment="1">
      <alignment horizontal="left" vertical="top" wrapText="1"/>
    </xf>
    <xf numFmtId="0" fontId="17" fillId="0" borderId="1" xfId="0" applyFont="1" applyFill="1" applyBorder="1" applyAlignment="1">
      <alignment horizontal="center" vertical="top" wrapText="1"/>
    </xf>
    <xf numFmtId="49" fontId="17" fillId="0" borderId="1" xfId="0" applyNumberFormat="1" applyFont="1" applyFill="1" applyBorder="1" applyAlignment="1">
      <alignment horizontal="left" vertical="top" wrapText="1"/>
    </xf>
    <xf numFmtId="0" fontId="17" fillId="0" borderId="9" xfId="0" applyFont="1" applyFill="1" applyBorder="1" applyAlignment="1">
      <alignment vertical="top" wrapText="1"/>
    </xf>
    <xf numFmtId="0" fontId="21" fillId="0" borderId="9" xfId="0" applyFont="1" applyFill="1" applyBorder="1" applyAlignment="1">
      <alignment horizontal="center" vertical="top" wrapText="1"/>
    </xf>
    <xf numFmtId="0" fontId="11" fillId="0" borderId="6" xfId="0" applyFont="1" applyFill="1" applyBorder="1" applyAlignment="1">
      <alignment vertical="top" wrapText="1"/>
    </xf>
    <xf numFmtId="0" fontId="22" fillId="0" borderId="12" xfId="0" applyFont="1" applyFill="1" applyBorder="1" applyAlignment="1">
      <alignment horizontal="center" vertical="top" wrapText="1"/>
    </xf>
    <xf numFmtId="0" fontId="17" fillId="0" borderId="9" xfId="0" applyFont="1" applyFill="1" applyBorder="1" applyAlignment="1">
      <alignment horizontal="center" vertical="top" wrapText="1"/>
    </xf>
    <xf numFmtId="0" fontId="28" fillId="0" borderId="1" xfId="0" applyFont="1" applyFill="1" applyBorder="1" applyAlignment="1">
      <alignment vertical="top" wrapText="1"/>
    </xf>
    <xf numFmtId="0" fontId="28" fillId="0" borderId="1" xfId="0" applyFont="1" applyFill="1" applyBorder="1" applyAlignment="1">
      <alignment horizontal="left" vertical="top" wrapText="1"/>
    </xf>
    <xf numFmtId="0" fontId="22" fillId="0" borderId="12" xfId="0" applyFont="1" applyFill="1" applyBorder="1" applyAlignment="1">
      <alignment horizontal="center" vertical="top" wrapText="1"/>
    </xf>
    <xf numFmtId="0" fontId="17" fillId="0" borderId="1" xfId="0" applyFont="1" applyFill="1" applyBorder="1" applyAlignment="1">
      <alignment horizontal="center" vertical="top" wrapText="1"/>
    </xf>
    <xf numFmtId="0" fontId="25" fillId="0" borderId="12" xfId="0" applyFont="1" applyFill="1" applyBorder="1" applyAlignment="1">
      <alignment horizontal="left" vertical="top" wrapText="1"/>
    </xf>
    <xf numFmtId="0" fontId="17" fillId="0" borderId="1" xfId="3" applyFont="1" applyFill="1" applyBorder="1" applyAlignment="1">
      <alignment horizontal="center" vertical="top" wrapText="1"/>
    </xf>
    <xf numFmtId="0" fontId="28" fillId="0" borderId="1" xfId="3" applyFont="1" applyFill="1" applyBorder="1" applyAlignment="1">
      <alignment horizontal="left" vertical="top" wrapText="1"/>
    </xf>
    <xf numFmtId="49" fontId="17" fillId="0" borderId="1" xfId="0" applyNumberFormat="1" applyFont="1" applyFill="1" applyBorder="1" applyAlignment="1">
      <alignment horizontal="left" vertical="top" wrapText="1"/>
    </xf>
    <xf numFmtId="0" fontId="17" fillId="0" borderId="1" xfId="0" applyFont="1" applyFill="1" applyBorder="1" applyAlignment="1">
      <alignment horizontal="center" vertical="center" wrapText="1"/>
    </xf>
    <xf numFmtId="0" fontId="25" fillId="0" borderId="1" xfId="0" applyFont="1" applyFill="1" applyBorder="1" applyAlignment="1">
      <alignment horizontal="left" vertical="top" wrapText="1"/>
    </xf>
    <xf numFmtId="0" fontId="28" fillId="0" borderId="1" xfId="0" applyFont="1" applyFill="1" applyBorder="1" applyAlignment="1">
      <alignment vertical="top" wrapText="1"/>
    </xf>
    <xf numFmtId="0" fontId="28" fillId="0" borderId="9" xfId="3"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9" xfId="0" applyFont="1" applyFill="1" applyBorder="1" applyAlignment="1">
      <alignment horizontal="center" vertical="top" wrapText="1"/>
    </xf>
    <xf numFmtId="3" fontId="17" fillId="2" borderId="1" xfId="0" applyNumberFormat="1" applyFont="1" applyFill="1" applyBorder="1" applyAlignment="1">
      <alignment horizontal="left"/>
    </xf>
    <xf numFmtId="166" fontId="17" fillId="0" borderId="1" xfId="0" applyNumberFormat="1" applyFont="1" applyFill="1" applyBorder="1" applyAlignment="1">
      <alignment horizontal="center" vertical="top" wrapText="1"/>
    </xf>
    <xf numFmtId="1" fontId="22" fillId="0" borderId="0" xfId="0" applyNumberFormat="1" applyFont="1" applyFill="1" applyAlignment="1">
      <alignment vertical="top"/>
    </xf>
    <xf numFmtId="3" fontId="17" fillId="0" borderId="1" xfId="0" applyNumberFormat="1" applyFont="1" applyFill="1" applyBorder="1" applyAlignment="1">
      <alignment horizontal="left" wrapText="1"/>
    </xf>
    <xf numFmtId="3" fontId="10" fillId="2" borderId="0" xfId="0" applyNumberFormat="1" applyFont="1" applyFill="1" applyAlignment="1">
      <alignment horizontal="left"/>
    </xf>
    <xf numFmtId="3" fontId="11" fillId="2" borderId="1" xfId="0" applyNumberFormat="1" applyFont="1" applyFill="1" applyBorder="1" applyAlignment="1">
      <alignment horizontal="left"/>
    </xf>
    <xf numFmtId="0" fontId="26" fillId="0" borderId="1" xfId="0" applyFont="1" applyFill="1" applyBorder="1" applyAlignment="1">
      <alignment horizontal="center" vertical="center" wrapText="1"/>
    </xf>
    <xf numFmtId="0" fontId="1" fillId="0" borderId="0" xfId="0" applyFont="1" applyAlignment="1">
      <alignment horizontal="center"/>
    </xf>
    <xf numFmtId="0" fontId="3"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22"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wrapText="1"/>
    </xf>
    <xf numFmtId="0" fontId="12" fillId="0" borderId="1" xfId="0" applyFont="1" applyBorder="1" applyAlignment="1">
      <alignment horizontal="center" vertical="center" wrapText="1"/>
    </xf>
    <xf numFmtId="0" fontId="12" fillId="0" borderId="5" xfId="0" applyFont="1" applyBorder="1" applyAlignment="1">
      <alignment horizontal="center" wrapText="1"/>
    </xf>
    <xf numFmtId="0" fontId="12" fillId="0" borderId="13" xfId="0" applyFont="1" applyBorder="1" applyAlignment="1">
      <alignment horizontal="center" wrapText="1"/>
    </xf>
    <xf numFmtId="0" fontId="12" fillId="0" borderId="7" xfId="0" applyFont="1" applyBorder="1" applyAlignment="1">
      <alignment horizontal="center" vertical="top" wrapText="1"/>
    </xf>
    <xf numFmtId="0" fontId="12" fillId="0" borderId="8" xfId="0" applyFont="1" applyBorder="1" applyAlignment="1">
      <alignment horizontal="center" vertical="top" wrapText="1"/>
    </xf>
    <xf numFmtId="0" fontId="1" fillId="0" borderId="9" xfId="0" applyFont="1" applyBorder="1" applyAlignment="1">
      <alignment horizontal="center"/>
    </xf>
    <xf numFmtId="0" fontId="17" fillId="0" borderId="1" xfId="0" applyFont="1" applyFill="1" applyBorder="1" applyAlignment="1">
      <alignment horizontal="center" vertical="top" wrapText="1"/>
    </xf>
    <xf numFmtId="0" fontId="28" fillId="0" borderId="6" xfId="0" applyFont="1" applyFill="1" applyBorder="1" applyAlignment="1">
      <alignment horizontal="left" vertical="top" wrapText="1"/>
    </xf>
    <xf numFmtId="0" fontId="28" fillId="0" borderId="12" xfId="0" applyFont="1" applyFill="1" applyBorder="1" applyAlignment="1">
      <alignment horizontal="left" vertical="top" wrapText="1"/>
    </xf>
    <xf numFmtId="0" fontId="25" fillId="0" borderId="1" xfId="0" applyFont="1" applyFill="1" applyBorder="1" applyAlignment="1">
      <alignment horizontal="left" vertical="top" wrapText="1"/>
    </xf>
    <xf numFmtId="0" fontId="28" fillId="0" borderId="9"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2" xfId="0" applyFont="1" applyFill="1" applyBorder="1" applyAlignment="1">
      <alignment horizontal="left" vertical="top" wrapText="1"/>
    </xf>
    <xf numFmtId="49" fontId="25" fillId="0" borderId="3" xfId="0" applyNumberFormat="1" applyFont="1" applyFill="1" applyBorder="1" applyAlignment="1">
      <alignment vertical="top" wrapText="1"/>
    </xf>
    <xf numFmtId="49" fontId="25" fillId="0" borderId="4" xfId="0" applyNumberFormat="1" applyFont="1" applyFill="1" applyBorder="1" applyAlignment="1">
      <alignment vertical="top" wrapText="1"/>
    </xf>
    <xf numFmtId="49" fontId="25" fillId="0" borderId="2" xfId="0" applyNumberFormat="1" applyFont="1" applyFill="1" applyBorder="1" applyAlignment="1">
      <alignment vertical="top" wrapText="1"/>
    </xf>
    <xf numFmtId="0" fontId="17" fillId="0" borderId="6" xfId="3" applyFont="1" applyFill="1" applyBorder="1" applyAlignment="1">
      <alignment horizontal="center" vertical="top" wrapText="1"/>
    </xf>
    <xf numFmtId="0" fontId="17" fillId="0" borderId="12" xfId="3" applyFont="1" applyFill="1" applyBorder="1" applyAlignment="1">
      <alignment horizontal="center" vertical="top" wrapText="1"/>
    </xf>
    <xf numFmtId="0" fontId="17" fillId="0" borderId="9" xfId="3" applyFont="1" applyFill="1" applyBorder="1" applyAlignment="1">
      <alignment horizontal="center" vertical="top" wrapText="1"/>
    </xf>
    <xf numFmtId="0" fontId="28" fillId="0" borderId="1" xfId="0" applyFont="1" applyFill="1" applyBorder="1" applyAlignment="1">
      <alignment horizontal="left" vertical="top" wrapText="1"/>
    </xf>
    <xf numFmtId="0" fontId="28" fillId="0" borderId="1" xfId="3" applyFont="1" applyFill="1" applyBorder="1" applyAlignment="1">
      <alignment horizontal="left" vertical="top" wrapText="1"/>
    </xf>
    <xf numFmtId="49" fontId="17" fillId="0" borderId="2" xfId="0" applyNumberFormat="1" applyFont="1" applyFill="1" applyBorder="1" applyAlignment="1">
      <alignment horizontal="left" vertical="top" wrapText="1"/>
    </xf>
    <xf numFmtId="0" fontId="28" fillId="0" borderId="5" xfId="3" applyFont="1" applyFill="1" applyBorder="1" applyAlignment="1">
      <alignment horizontal="left" vertical="top" wrapText="1"/>
    </xf>
    <xf numFmtId="0" fontId="28" fillId="0" borderId="10" xfId="3" applyFont="1" applyFill="1" applyBorder="1" applyAlignment="1">
      <alignment horizontal="left" vertical="top" wrapText="1"/>
    </xf>
    <xf numFmtId="0" fontId="28" fillId="0" borderId="7" xfId="3" applyFont="1" applyFill="1" applyBorder="1" applyAlignment="1">
      <alignment horizontal="left" vertical="top" wrapText="1"/>
    </xf>
    <xf numFmtId="49" fontId="28" fillId="0" borderId="1" xfId="0" applyNumberFormat="1" applyFont="1" applyFill="1" applyBorder="1" applyAlignment="1">
      <alignment horizontal="left" vertical="top" wrapText="1"/>
    </xf>
    <xf numFmtId="0" fontId="28" fillId="0" borderId="6" xfId="3" applyFont="1" applyFill="1" applyBorder="1" applyAlignment="1">
      <alignment horizontal="left" vertical="top" wrapText="1"/>
    </xf>
    <xf numFmtId="0" fontId="28" fillId="0" borderId="12" xfId="3" applyFont="1" applyFill="1" applyBorder="1" applyAlignment="1">
      <alignment horizontal="left" vertical="top" wrapText="1"/>
    </xf>
    <xf numFmtId="0" fontId="28" fillId="0" borderId="9" xfId="3" applyFont="1" applyFill="1" applyBorder="1" applyAlignment="1">
      <alignment horizontal="left" vertical="top" wrapText="1"/>
    </xf>
    <xf numFmtId="0" fontId="22" fillId="0" borderId="6"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5" fillId="0" borderId="14" xfId="0" applyFont="1" applyFill="1" applyBorder="1" applyAlignment="1">
      <alignment horizontal="left" vertical="top"/>
    </xf>
    <xf numFmtId="0" fontId="25" fillId="0" borderId="13" xfId="0" applyFont="1" applyFill="1" applyBorder="1" applyAlignment="1">
      <alignment horizontal="left" vertical="top"/>
    </xf>
    <xf numFmtId="0" fontId="25" fillId="0" borderId="0" xfId="0" applyFont="1" applyFill="1" applyBorder="1" applyAlignment="1">
      <alignment horizontal="left" vertical="top"/>
    </xf>
    <xf numFmtId="0" fontId="25" fillId="0" borderId="11" xfId="0" applyFont="1" applyFill="1" applyBorder="1" applyAlignment="1">
      <alignment horizontal="left" vertical="top"/>
    </xf>
    <xf numFmtId="0" fontId="25" fillId="0" borderId="15" xfId="0" applyFont="1" applyFill="1" applyBorder="1" applyAlignment="1">
      <alignment horizontal="left" vertical="top"/>
    </xf>
    <xf numFmtId="0" fontId="25" fillId="0" borderId="8" xfId="0" applyFont="1" applyFill="1" applyBorder="1" applyAlignment="1">
      <alignment horizontal="left" vertical="top"/>
    </xf>
    <xf numFmtId="0" fontId="25" fillId="0" borderId="3" xfId="0" applyFont="1" applyFill="1" applyBorder="1" applyAlignment="1">
      <alignment horizontal="center" vertical="top" wrapText="1"/>
    </xf>
    <xf numFmtId="0" fontId="25" fillId="0" borderId="4" xfId="0" applyFont="1" applyFill="1" applyBorder="1" applyAlignment="1">
      <alignment horizontal="center" vertical="top" wrapText="1"/>
    </xf>
    <xf numFmtId="0" fontId="25" fillId="0" borderId="2" xfId="0" applyFont="1" applyFill="1" applyBorder="1" applyAlignment="1">
      <alignment horizontal="center" vertical="top" wrapText="1"/>
    </xf>
    <xf numFmtId="0" fontId="25" fillId="0" borderId="6" xfId="0" applyFont="1" applyFill="1" applyBorder="1" applyAlignment="1">
      <alignment horizontal="left" vertical="top" wrapText="1"/>
    </xf>
    <xf numFmtId="0" fontId="25" fillId="0" borderId="9" xfId="0" applyFont="1" applyFill="1" applyBorder="1" applyAlignment="1">
      <alignment horizontal="left" vertical="top" wrapText="1"/>
    </xf>
    <xf numFmtId="0" fontId="12" fillId="0" borderId="6" xfId="0" applyFont="1" applyFill="1" applyBorder="1" applyAlignment="1">
      <alignment vertical="top"/>
    </xf>
    <xf numFmtId="0" fontId="12" fillId="0" borderId="9" xfId="0" applyFont="1" applyFill="1" applyBorder="1" applyAlignment="1">
      <alignment vertical="top"/>
    </xf>
    <xf numFmtId="0" fontId="22" fillId="0" borderId="1" xfId="0" applyFont="1" applyFill="1" applyBorder="1" applyAlignment="1">
      <alignment horizontal="left" vertical="top" wrapText="1"/>
    </xf>
    <xf numFmtId="0" fontId="11" fillId="0" borderId="6"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9" xfId="0" applyFont="1" applyFill="1" applyBorder="1" applyAlignment="1">
      <alignment horizontal="center" vertical="top" wrapText="1"/>
    </xf>
    <xf numFmtId="49" fontId="17" fillId="0" borderId="12" xfId="0" applyNumberFormat="1"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0" fontId="17" fillId="0" borderId="6" xfId="0" applyFont="1" applyFill="1" applyBorder="1" applyAlignment="1">
      <alignment horizontal="center" vertical="top" wrapText="1"/>
    </xf>
    <xf numFmtId="0" fontId="17" fillId="0" borderId="12" xfId="0" applyFont="1" applyFill="1" applyBorder="1" applyAlignment="1">
      <alignment horizontal="center" vertical="top" wrapText="1"/>
    </xf>
    <xf numFmtId="0" fontId="17" fillId="0" borderId="9" xfId="0" applyFont="1" applyFill="1" applyBorder="1" applyAlignment="1">
      <alignment horizontal="center" vertical="top" wrapText="1"/>
    </xf>
    <xf numFmtId="0" fontId="25" fillId="5" borderId="3" xfId="0" applyFont="1" applyFill="1" applyBorder="1" applyAlignment="1">
      <alignment horizontal="left" vertical="center" wrapText="1"/>
    </xf>
    <xf numFmtId="0" fontId="25" fillId="5" borderId="4" xfId="0" applyFont="1" applyFill="1" applyBorder="1" applyAlignment="1">
      <alignment horizontal="left" vertical="center" wrapText="1"/>
    </xf>
    <xf numFmtId="0" fontId="25" fillId="5" borderId="2" xfId="0" applyFont="1" applyFill="1" applyBorder="1" applyAlignment="1">
      <alignment horizontal="left" vertical="center" wrapText="1"/>
    </xf>
    <xf numFmtId="0" fontId="17" fillId="0" borderId="1" xfId="0" applyFont="1" applyFill="1" applyBorder="1" applyAlignment="1">
      <alignment horizontal="center"/>
    </xf>
    <xf numFmtId="0" fontId="22" fillId="0" borderId="3" xfId="0" applyFont="1" applyFill="1" applyBorder="1" applyAlignment="1">
      <alignment horizontal="left" vertical="top" wrapText="1"/>
    </xf>
    <xf numFmtId="0" fontId="22" fillId="0" borderId="2" xfId="0" applyFont="1" applyFill="1" applyBorder="1" applyAlignment="1">
      <alignment horizontal="left" vertical="top" wrapText="1"/>
    </xf>
    <xf numFmtId="0" fontId="28" fillId="2" borderId="6" xfId="0" applyFont="1" applyFill="1" applyBorder="1" applyAlignment="1">
      <alignment horizontal="left" vertical="top" wrapText="1"/>
    </xf>
    <xf numFmtId="0" fontId="28" fillId="2" borderId="12" xfId="0" applyFont="1" applyFill="1" applyBorder="1" applyAlignment="1">
      <alignment horizontal="left" vertical="top" wrapText="1"/>
    </xf>
    <xf numFmtId="0" fontId="28" fillId="2" borderId="9" xfId="0" applyFont="1" applyFill="1" applyBorder="1" applyAlignment="1">
      <alignment horizontal="left" vertical="top" wrapText="1"/>
    </xf>
    <xf numFmtId="0" fontId="17" fillId="2" borderId="1" xfId="0" applyFont="1" applyFill="1" applyBorder="1" applyAlignment="1">
      <alignment horizontal="center" vertical="top" wrapText="1"/>
    </xf>
    <xf numFmtId="0" fontId="28" fillId="0" borderId="6" xfId="3" applyFont="1" applyFill="1" applyBorder="1" applyAlignment="1">
      <alignment horizontal="center" vertical="top" wrapText="1"/>
    </xf>
    <xf numFmtId="0" fontId="28" fillId="0" borderId="12" xfId="3" applyFont="1" applyFill="1" applyBorder="1" applyAlignment="1">
      <alignment horizontal="center" vertical="top" wrapText="1"/>
    </xf>
    <xf numFmtId="0" fontId="28" fillId="0" borderId="9" xfId="3" applyFont="1" applyFill="1" applyBorder="1" applyAlignment="1">
      <alignment horizontal="center" vertical="top" wrapText="1"/>
    </xf>
    <xf numFmtId="0" fontId="25" fillId="0" borderId="14" xfId="0" applyFont="1" applyFill="1" applyBorder="1" applyAlignment="1">
      <alignment horizontal="left" vertical="top" wrapText="1"/>
    </xf>
    <xf numFmtId="0" fontId="25" fillId="0" borderId="13"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11"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8" xfId="0" applyFont="1" applyFill="1" applyBorder="1" applyAlignment="1">
      <alignment horizontal="left" vertical="top" wrapText="1"/>
    </xf>
    <xf numFmtId="0" fontId="17" fillId="0" borderId="1" xfId="3" applyFont="1" applyFill="1" applyBorder="1" applyAlignment="1">
      <alignment horizontal="center" vertical="top" wrapText="1"/>
    </xf>
    <xf numFmtId="0" fontId="25" fillId="2" borderId="6" xfId="0" applyFont="1" applyFill="1" applyBorder="1" applyAlignment="1">
      <alignment horizontal="left" vertical="top" wrapText="1"/>
    </xf>
    <xf numFmtId="0" fontId="29" fillId="0" borderId="12" xfId="0" applyFont="1" applyBorder="1" applyAlignment="1">
      <alignment horizontal="left"/>
    </xf>
    <xf numFmtId="0" fontId="29" fillId="0" borderId="9" xfId="0" applyFont="1" applyBorder="1" applyAlignment="1">
      <alignment horizontal="left"/>
    </xf>
    <xf numFmtId="0" fontId="28" fillId="0" borderId="6"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 xfId="0" applyFont="1" applyFill="1" applyBorder="1" applyAlignment="1">
      <alignment vertical="top" wrapText="1"/>
    </xf>
    <xf numFmtId="0" fontId="25" fillId="0" borderId="3"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2"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8" fillId="0" borderId="1" xfId="0" applyFont="1" applyFill="1" applyBorder="1" applyAlignment="1">
      <alignment horizontal="center" vertical="top"/>
    </xf>
    <xf numFmtId="0" fontId="28" fillId="2" borderId="1" xfId="0" applyFont="1" applyFill="1" applyBorder="1" applyAlignment="1">
      <alignment horizontal="left" vertical="top" wrapText="1"/>
    </xf>
    <xf numFmtId="0" fontId="0" fillId="0" borderId="1" xfId="0" applyBorder="1"/>
    <xf numFmtId="0" fontId="12" fillId="0" borderId="6" xfId="0" applyFont="1" applyFill="1" applyBorder="1" applyAlignment="1">
      <alignment horizontal="left" vertical="top"/>
    </xf>
    <xf numFmtId="0" fontId="12" fillId="0" borderId="12" xfId="0" applyFont="1" applyFill="1" applyBorder="1" applyAlignment="1">
      <alignment horizontal="left" vertical="top"/>
    </xf>
    <xf numFmtId="0" fontId="18" fillId="2" borderId="1" xfId="0" applyFont="1" applyFill="1" applyBorder="1" applyAlignment="1">
      <alignment horizontal="center" vertical="top" wrapText="1"/>
    </xf>
    <xf numFmtId="0" fontId="29" fillId="0" borderId="1" xfId="0" applyFont="1" applyBorder="1" applyAlignment="1">
      <alignment horizontal="left"/>
    </xf>
    <xf numFmtId="0" fontId="18" fillId="0" borderId="5"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8"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8" xfId="0" applyFont="1" applyFill="1" applyBorder="1" applyAlignment="1">
      <alignment horizontal="left" vertical="top" wrapText="1"/>
    </xf>
    <xf numFmtId="0" fontId="32" fillId="0" borderId="1" xfId="0" applyFont="1" applyBorder="1"/>
    <xf numFmtId="0" fontId="28" fillId="0" borderId="0" xfId="0" applyFont="1" applyFill="1" applyAlignment="1">
      <alignment horizontal="left" wrapText="1"/>
    </xf>
    <xf numFmtId="0" fontId="38" fillId="0" borderId="0" xfId="0" applyFont="1" applyFill="1" applyAlignment="1">
      <alignment horizontal="center" vertical="center"/>
    </xf>
    <xf numFmtId="0" fontId="25" fillId="0"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6" fillId="0" borderId="3" xfId="0" applyFont="1" applyFill="1" applyBorder="1" applyAlignment="1">
      <alignment horizontal="left" wrapText="1"/>
    </xf>
    <xf numFmtId="0" fontId="26" fillId="0" borderId="4" xfId="0" applyFont="1" applyFill="1" applyBorder="1" applyAlignment="1">
      <alignment horizontal="left" wrapText="1"/>
    </xf>
    <xf numFmtId="0" fontId="26" fillId="0" borderId="2" xfId="0" applyFont="1" applyFill="1" applyBorder="1" applyAlignment="1">
      <alignment horizontal="left" wrapText="1"/>
    </xf>
    <xf numFmtId="0" fontId="18" fillId="0" borderId="1" xfId="0" applyFont="1" applyFill="1" applyBorder="1" applyAlignment="1">
      <alignment horizontal="center" wrapText="1"/>
    </xf>
    <xf numFmtId="0" fontId="18" fillId="0" borderId="6" xfId="0" applyFont="1" applyFill="1" applyBorder="1" applyAlignment="1">
      <alignment horizontal="center" vertical="top"/>
    </xf>
    <xf numFmtId="0" fontId="18" fillId="0" borderId="12" xfId="0" applyFont="1" applyFill="1" applyBorder="1" applyAlignment="1">
      <alignment horizontal="center" vertical="top"/>
    </xf>
    <xf numFmtId="0" fontId="25" fillId="2" borderId="12" xfId="0" applyFont="1" applyFill="1" applyBorder="1" applyAlignment="1">
      <alignment horizontal="left" vertical="top" wrapText="1"/>
    </xf>
    <xf numFmtId="0" fontId="25" fillId="2" borderId="9" xfId="0" applyFont="1" applyFill="1" applyBorder="1" applyAlignment="1">
      <alignment horizontal="left" vertical="top" wrapText="1"/>
    </xf>
    <xf numFmtId="0" fontId="18" fillId="0" borderId="5" xfId="0" applyFont="1" applyFill="1" applyBorder="1" applyAlignment="1">
      <alignment horizontal="left" vertical="top"/>
    </xf>
    <xf numFmtId="0" fontId="18" fillId="0" borderId="14" xfId="0" applyFont="1" applyFill="1" applyBorder="1" applyAlignment="1">
      <alignment horizontal="left" vertical="top"/>
    </xf>
    <xf numFmtId="0" fontId="18" fillId="0" borderId="13" xfId="0" applyFont="1" applyFill="1" applyBorder="1" applyAlignment="1">
      <alignment horizontal="left" vertical="top"/>
    </xf>
    <xf numFmtId="0" fontId="18" fillId="0" borderId="10" xfId="0" applyFont="1" applyFill="1" applyBorder="1" applyAlignment="1">
      <alignment horizontal="left" vertical="top"/>
    </xf>
    <xf numFmtId="0" fontId="18" fillId="0" borderId="0" xfId="0" applyFont="1" applyFill="1" applyBorder="1" applyAlignment="1">
      <alignment horizontal="left" vertical="top"/>
    </xf>
    <xf numFmtId="0" fontId="18" fillId="0" borderId="11" xfId="0" applyFont="1" applyFill="1" applyBorder="1" applyAlignment="1">
      <alignment horizontal="left" vertical="top"/>
    </xf>
    <xf numFmtId="0" fontId="18" fillId="0" borderId="7" xfId="0" applyFont="1" applyFill="1" applyBorder="1" applyAlignment="1">
      <alignment horizontal="left" vertical="top"/>
    </xf>
    <xf numFmtId="0" fontId="18" fillId="0" borderId="15" xfId="0" applyFont="1" applyFill="1" applyBorder="1" applyAlignment="1">
      <alignment horizontal="left" vertical="top"/>
    </xf>
    <xf numFmtId="0" fontId="18" fillId="0" borderId="8" xfId="0" applyFont="1" applyFill="1" applyBorder="1" applyAlignment="1">
      <alignment horizontal="left" vertical="top"/>
    </xf>
    <xf numFmtId="0" fontId="23" fillId="0" borderId="4" xfId="0" applyFont="1" applyFill="1" applyBorder="1" applyAlignment="1">
      <alignment horizontal="center" vertical="top"/>
    </xf>
    <xf numFmtId="0" fontId="23" fillId="0" borderId="2" xfId="0" applyFont="1" applyFill="1" applyBorder="1" applyAlignment="1">
      <alignment horizontal="center" vertical="top"/>
    </xf>
    <xf numFmtId="0" fontId="26" fillId="0" borderId="3"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2" xfId="0" applyFont="1" applyFill="1" applyBorder="1" applyAlignment="1">
      <alignment horizontal="left" vertical="top" wrapText="1"/>
    </xf>
    <xf numFmtId="0" fontId="25" fillId="0" borderId="3" xfId="0" applyFont="1" applyFill="1" applyBorder="1" applyAlignment="1">
      <alignment horizontal="left" vertical="top"/>
    </xf>
    <xf numFmtId="0" fontId="25" fillId="0" borderId="4" xfId="0" applyFont="1" applyFill="1" applyBorder="1" applyAlignment="1">
      <alignment horizontal="left" vertical="top"/>
    </xf>
    <xf numFmtId="0" fontId="25" fillId="0" borderId="2" xfId="0" applyFont="1" applyFill="1" applyBorder="1" applyAlignment="1">
      <alignment horizontal="left" vertical="top"/>
    </xf>
    <xf numFmtId="0" fontId="22" fillId="0" borderId="1" xfId="0" applyFont="1" applyFill="1" applyBorder="1" applyAlignment="1">
      <alignment horizontal="center" vertical="top" wrapText="1"/>
    </xf>
    <xf numFmtId="0" fontId="18" fillId="0" borderId="14"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5" xfId="0" applyFont="1" applyFill="1" applyBorder="1" applyAlignment="1">
      <alignment horizontal="left" vertical="top" wrapText="1"/>
    </xf>
    <xf numFmtId="0" fontId="11" fillId="0" borderId="1" xfId="0" applyFont="1" applyFill="1" applyBorder="1" applyAlignment="1">
      <alignment horizontal="center" vertical="top" wrapText="1"/>
    </xf>
    <xf numFmtId="0" fontId="11" fillId="0" borderId="5" xfId="0" applyFont="1" applyFill="1" applyBorder="1" applyAlignment="1">
      <alignment horizontal="left" vertical="top"/>
    </xf>
    <xf numFmtId="0" fontId="11" fillId="0" borderId="14" xfId="0" applyFont="1" applyFill="1" applyBorder="1" applyAlignment="1">
      <alignment horizontal="left" vertical="top"/>
    </xf>
    <xf numFmtId="0" fontId="11" fillId="0" borderId="13" xfId="0" applyFont="1" applyFill="1" applyBorder="1" applyAlignment="1">
      <alignment horizontal="left" vertical="top"/>
    </xf>
    <xf numFmtId="0" fontId="11" fillId="0" borderId="10" xfId="0" applyFont="1" applyFill="1" applyBorder="1" applyAlignment="1">
      <alignment horizontal="left" vertical="top"/>
    </xf>
    <xf numFmtId="0" fontId="11" fillId="0" borderId="0" xfId="0" applyFont="1" applyFill="1" applyBorder="1" applyAlignment="1">
      <alignment horizontal="left" vertical="top"/>
    </xf>
    <xf numFmtId="0" fontId="11" fillId="0" borderId="11" xfId="0" applyFont="1" applyFill="1" applyBorder="1" applyAlignment="1">
      <alignment horizontal="left" vertical="top"/>
    </xf>
    <xf numFmtId="0" fontId="11" fillId="0" borderId="7" xfId="0" applyFont="1" applyFill="1" applyBorder="1" applyAlignment="1">
      <alignment horizontal="left" vertical="top"/>
    </xf>
    <xf numFmtId="0" fontId="11" fillId="0" borderId="15" xfId="0" applyFont="1" applyFill="1" applyBorder="1" applyAlignment="1">
      <alignment horizontal="left" vertical="top"/>
    </xf>
    <xf numFmtId="0" fontId="11" fillId="0" borderId="8" xfId="0" applyFont="1" applyFill="1" applyBorder="1" applyAlignment="1">
      <alignment horizontal="left" vertical="top"/>
    </xf>
    <xf numFmtId="0" fontId="25" fillId="0" borderId="12" xfId="0" applyFont="1" applyFill="1" applyBorder="1" applyAlignment="1">
      <alignment horizontal="left" vertical="top" wrapText="1"/>
    </xf>
    <xf numFmtId="0" fontId="11" fillId="0" borderId="6" xfId="0" applyFont="1" applyFill="1" applyBorder="1" applyAlignment="1">
      <alignment horizontal="center" vertical="top"/>
    </xf>
    <xf numFmtId="0" fontId="11" fillId="0" borderId="12" xfId="0" applyFont="1" applyFill="1" applyBorder="1" applyAlignment="1">
      <alignment horizontal="center" vertical="top"/>
    </xf>
    <xf numFmtId="0" fontId="11" fillId="0" borderId="9" xfId="0" applyFont="1" applyFill="1" applyBorder="1" applyAlignment="1">
      <alignment horizontal="center" vertical="top"/>
    </xf>
    <xf numFmtId="0" fontId="12" fillId="0" borderId="5"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 xfId="0" applyFont="1" applyFill="1" applyBorder="1" applyAlignment="1">
      <alignment horizontal="center" vertical="top" wrapText="1"/>
    </xf>
    <xf numFmtId="49" fontId="25" fillId="0" borderId="3" xfId="0" applyNumberFormat="1" applyFont="1" applyFill="1" applyBorder="1" applyAlignment="1">
      <alignment horizontal="left" vertical="center" wrapText="1"/>
    </xf>
    <xf numFmtId="49" fontId="25" fillId="0" borderId="2" xfId="0" applyNumberFormat="1" applyFont="1" applyFill="1" applyBorder="1" applyAlignment="1">
      <alignment horizontal="left" vertical="center" wrapText="1"/>
    </xf>
    <xf numFmtId="0" fontId="22" fillId="0" borderId="9" xfId="0" applyFont="1" applyFill="1" applyBorder="1" applyAlignment="1">
      <alignment horizontal="center" vertical="top" wrapText="1"/>
    </xf>
    <xf numFmtId="0" fontId="25" fillId="0" borderId="5" xfId="0" applyFont="1" applyFill="1" applyBorder="1" applyAlignment="1">
      <alignment horizontal="left" vertical="top" wrapText="1"/>
    </xf>
    <xf numFmtId="0" fontId="25" fillId="0" borderId="10" xfId="0" applyFont="1" applyFill="1" applyBorder="1" applyAlignment="1">
      <alignment horizontal="left" vertical="top" wrapText="1"/>
    </xf>
    <xf numFmtId="0" fontId="25" fillId="0" borderId="7" xfId="0" applyFont="1" applyFill="1" applyBorder="1" applyAlignment="1">
      <alignment horizontal="left" vertical="top" wrapText="1"/>
    </xf>
    <xf numFmtId="0" fontId="25" fillId="0" borderId="5" xfId="0" applyFont="1" applyFill="1" applyBorder="1" applyAlignment="1">
      <alignment horizontal="left" vertical="top"/>
    </xf>
    <xf numFmtId="0" fontId="25" fillId="0" borderId="10" xfId="0" applyFont="1" applyFill="1" applyBorder="1" applyAlignment="1">
      <alignment horizontal="left" vertical="top"/>
    </xf>
    <xf numFmtId="0" fontId="25" fillId="0" borderId="7" xfId="0" applyFont="1" applyFill="1" applyBorder="1" applyAlignment="1">
      <alignment horizontal="left" vertical="top"/>
    </xf>
    <xf numFmtId="0" fontId="11" fillId="0" borderId="9"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49" fontId="17" fillId="0" borderId="1" xfId="0" applyNumberFormat="1" applyFont="1" applyFill="1" applyBorder="1" applyAlignment="1">
      <alignment horizontal="left" vertical="top" wrapText="1"/>
    </xf>
    <xf numFmtId="0" fontId="26" fillId="0" borderId="3" xfId="0" applyFont="1" applyFill="1" applyBorder="1" applyAlignment="1">
      <alignment horizontal="left" vertical="top"/>
    </xf>
    <xf numFmtId="0" fontId="26" fillId="0" borderId="4" xfId="0" applyFont="1" applyFill="1" applyBorder="1" applyAlignment="1">
      <alignment horizontal="left" vertical="top"/>
    </xf>
    <xf numFmtId="0" fontId="26" fillId="0" borderId="2" xfId="0" applyFont="1" applyFill="1" applyBorder="1" applyAlignment="1">
      <alignment horizontal="left" vertical="top"/>
    </xf>
    <xf numFmtId="0" fontId="29" fillId="0" borderId="1" xfId="0" applyFont="1" applyBorder="1"/>
    <xf numFmtId="0" fontId="18" fillId="0" borderId="1" xfId="0" applyFont="1" applyFill="1" applyBorder="1" applyAlignment="1">
      <alignment horizontal="center" vertical="top" wrapText="1"/>
    </xf>
    <xf numFmtId="49" fontId="25" fillId="2" borderId="6" xfId="0" applyNumberFormat="1" applyFont="1" applyFill="1" applyBorder="1" applyAlignment="1">
      <alignment horizontal="left" vertical="top" wrapText="1"/>
    </xf>
    <xf numFmtId="49" fontId="25" fillId="2" borderId="12" xfId="0" applyNumberFormat="1" applyFont="1" applyFill="1" applyBorder="1" applyAlignment="1">
      <alignment horizontal="left" vertical="top" wrapText="1"/>
    </xf>
    <xf numFmtId="49" fontId="25" fillId="2" borderId="9" xfId="0" applyNumberFormat="1" applyFont="1" applyFill="1" applyBorder="1" applyAlignment="1">
      <alignment horizontal="left" vertical="top" wrapText="1"/>
    </xf>
    <xf numFmtId="49" fontId="28" fillId="0" borderId="6" xfId="0" applyNumberFormat="1" applyFont="1" applyFill="1" applyBorder="1" applyAlignment="1">
      <alignment horizontal="left" vertical="top" wrapText="1"/>
    </xf>
    <xf numFmtId="49" fontId="28" fillId="0" borderId="12" xfId="0" applyNumberFormat="1" applyFont="1" applyFill="1" applyBorder="1" applyAlignment="1">
      <alignment horizontal="left" vertical="top" wrapText="1"/>
    </xf>
    <xf numFmtId="49" fontId="28" fillId="0" borderId="9" xfId="0" applyNumberFormat="1" applyFont="1" applyFill="1" applyBorder="1" applyAlignment="1">
      <alignment horizontal="left" vertical="top"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17" fillId="0" borderId="1" xfId="0" applyFont="1" applyFill="1" applyBorder="1" applyAlignment="1">
      <alignment horizontal="center" vertical="center" wrapText="1"/>
    </xf>
    <xf numFmtId="49" fontId="17" fillId="0" borderId="6" xfId="0" applyNumberFormat="1" applyFont="1" applyFill="1" applyBorder="1" applyAlignment="1">
      <alignment horizontal="left" vertical="top" wrapText="1"/>
    </xf>
    <xf numFmtId="49" fontId="17" fillId="0" borderId="9" xfId="0" applyNumberFormat="1"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2" xfId="0" applyFont="1" applyFill="1" applyBorder="1" applyAlignment="1">
      <alignment horizontal="left" vertical="top" wrapText="1"/>
    </xf>
    <xf numFmtId="0" fontId="18" fillId="0" borderId="5" xfId="0" applyFont="1" applyFill="1" applyBorder="1" applyAlignment="1">
      <alignment horizontal="center" vertical="top"/>
    </xf>
    <xf numFmtId="0" fontId="18" fillId="0" borderId="14" xfId="0" applyFont="1" applyFill="1" applyBorder="1" applyAlignment="1">
      <alignment horizontal="center" vertical="top"/>
    </xf>
    <xf numFmtId="0" fontId="18" fillId="0" borderId="13" xfId="0" applyFont="1" applyFill="1" applyBorder="1" applyAlignment="1">
      <alignment horizontal="center" vertical="top"/>
    </xf>
    <xf numFmtId="0" fontId="18" fillId="0" borderId="10" xfId="0" applyFont="1" applyFill="1" applyBorder="1" applyAlignment="1">
      <alignment horizontal="center" vertical="top"/>
    </xf>
    <xf numFmtId="0" fontId="18" fillId="0" borderId="0" xfId="0" applyFont="1" applyFill="1" applyBorder="1" applyAlignment="1">
      <alignment horizontal="center" vertical="top"/>
    </xf>
    <xf numFmtId="0" fontId="18" fillId="0" borderId="11" xfId="0" applyFont="1" applyFill="1" applyBorder="1" applyAlignment="1">
      <alignment horizontal="center" vertical="top"/>
    </xf>
    <xf numFmtId="0" fontId="18" fillId="0" borderId="7" xfId="0" applyFont="1" applyFill="1" applyBorder="1" applyAlignment="1">
      <alignment horizontal="center" vertical="top"/>
    </xf>
    <xf numFmtId="0" fontId="18" fillId="0" borderId="15" xfId="0" applyFont="1" applyFill="1" applyBorder="1" applyAlignment="1">
      <alignment horizontal="center" vertical="top"/>
    </xf>
    <xf numFmtId="0" fontId="18" fillId="0" borderId="8" xfId="0" applyFont="1" applyFill="1" applyBorder="1" applyAlignment="1">
      <alignment horizontal="center" vertical="top"/>
    </xf>
    <xf numFmtId="0" fontId="25" fillId="0" borderId="1" xfId="0" applyFont="1" applyFill="1" applyBorder="1" applyAlignment="1">
      <alignment horizontal="left" vertical="center" wrapText="1"/>
    </xf>
    <xf numFmtId="49" fontId="17" fillId="0" borderId="6" xfId="0" applyNumberFormat="1" applyFont="1" applyFill="1" applyBorder="1" applyAlignment="1">
      <alignment horizontal="left" vertical="center" wrapText="1"/>
    </xf>
    <xf numFmtId="49" fontId="17" fillId="0" borderId="9" xfId="0" applyNumberFormat="1" applyFont="1" applyFill="1" applyBorder="1" applyAlignment="1">
      <alignment horizontal="left" vertical="center" wrapText="1"/>
    </xf>
    <xf numFmtId="0" fontId="12" fillId="0" borderId="1" xfId="0" applyFont="1" applyFill="1" applyBorder="1" applyAlignment="1">
      <alignment horizontal="center" vertical="top"/>
    </xf>
    <xf numFmtId="0" fontId="25" fillId="2" borderId="1" xfId="0" applyFont="1" applyFill="1" applyBorder="1" applyAlignment="1">
      <alignment horizontal="left" vertical="top" wrapText="1"/>
    </xf>
    <xf numFmtId="0" fontId="28" fillId="0" borderId="5"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7" xfId="0" applyFont="1" applyFill="1" applyBorder="1" applyAlignment="1">
      <alignment horizontal="left" vertical="top" wrapText="1"/>
    </xf>
    <xf numFmtId="0" fontId="25" fillId="0" borderId="5" xfId="0" applyFont="1" applyFill="1" applyBorder="1" applyAlignment="1">
      <alignment horizontal="center" vertical="top" wrapText="1"/>
    </xf>
    <xf numFmtId="0" fontId="25" fillId="0" borderId="14" xfId="0" applyFont="1" applyFill="1" applyBorder="1" applyAlignment="1">
      <alignment horizontal="center" vertical="top" wrapText="1"/>
    </xf>
    <xf numFmtId="0" fontId="25" fillId="0" borderId="13"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11" xfId="0" applyFont="1" applyFill="1" applyBorder="1" applyAlignment="1">
      <alignment horizontal="center" vertical="top" wrapText="1"/>
    </xf>
    <xf numFmtId="0" fontId="25" fillId="0" borderId="7" xfId="0" applyFont="1" applyFill="1" applyBorder="1" applyAlignment="1">
      <alignment horizontal="center" vertical="top" wrapText="1"/>
    </xf>
    <xf numFmtId="0" fontId="25" fillId="0" borderId="15" xfId="0" applyFont="1" applyFill="1" applyBorder="1" applyAlignment="1">
      <alignment horizontal="center" vertical="top" wrapText="1"/>
    </xf>
    <xf numFmtId="0" fontId="25" fillId="0" borderId="8" xfId="0" applyFont="1" applyFill="1" applyBorder="1" applyAlignment="1">
      <alignment horizontal="center" vertical="top" wrapText="1"/>
    </xf>
    <xf numFmtId="0" fontId="18" fillId="0" borderId="13" xfId="0" applyFont="1" applyFill="1" applyBorder="1" applyAlignment="1">
      <alignment horizontal="center" vertical="center" wrapText="1"/>
    </xf>
    <xf numFmtId="0" fontId="0" fillId="0" borderId="11" xfId="0" applyBorder="1"/>
    <xf numFmtId="0" fontId="0" fillId="0" borderId="8" xfId="0" applyBorder="1"/>
    <xf numFmtId="0" fontId="22" fillId="0" borderId="6" xfId="0" applyFont="1" applyFill="1" applyBorder="1" applyAlignment="1">
      <alignment horizontal="left" vertical="top" wrapText="1"/>
    </xf>
    <xf numFmtId="0" fontId="22" fillId="0" borderId="12" xfId="0" applyFont="1" applyFill="1" applyBorder="1" applyAlignment="1">
      <alignment horizontal="left" vertical="top" wrapText="1"/>
    </xf>
    <xf numFmtId="0" fontId="22" fillId="0" borderId="9" xfId="0" applyFont="1" applyFill="1" applyBorder="1" applyAlignment="1">
      <alignment horizontal="left" vertical="top" wrapText="1"/>
    </xf>
    <xf numFmtId="0" fontId="26" fillId="5" borderId="3" xfId="0" applyFont="1" applyFill="1" applyBorder="1" applyAlignment="1">
      <alignment horizontal="left" vertical="center" wrapText="1"/>
    </xf>
    <xf numFmtId="0" fontId="26" fillId="5" borderId="4"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5" fillId="2" borderId="1" xfId="0" applyFont="1" applyFill="1" applyBorder="1" applyAlignment="1">
      <alignment horizontal="center" vertical="top" wrapText="1"/>
    </xf>
    <xf numFmtId="0" fontId="12" fillId="2" borderId="1" xfId="0" applyFont="1" applyFill="1" applyBorder="1" applyAlignment="1">
      <alignment horizontal="left" vertical="top"/>
    </xf>
    <xf numFmtId="0" fontId="12" fillId="2" borderId="5" xfId="0" applyFont="1" applyFill="1" applyBorder="1" applyAlignment="1">
      <alignment horizontal="center" vertical="top"/>
    </xf>
    <xf numFmtId="0" fontId="12" fillId="2" borderId="14" xfId="0" applyFont="1" applyFill="1" applyBorder="1" applyAlignment="1">
      <alignment horizontal="center" vertical="top"/>
    </xf>
    <xf numFmtId="0" fontId="12" fillId="2" borderId="13" xfId="0" applyFont="1" applyFill="1" applyBorder="1" applyAlignment="1">
      <alignment horizontal="center" vertical="top"/>
    </xf>
    <xf numFmtId="0" fontId="12" fillId="2" borderId="7" xfId="0" applyFont="1" applyFill="1" applyBorder="1" applyAlignment="1">
      <alignment horizontal="center" vertical="top"/>
    </xf>
    <xf numFmtId="0" fontId="12" fillId="2" borderId="15" xfId="0" applyFont="1" applyFill="1" applyBorder="1" applyAlignment="1">
      <alignment horizontal="center" vertical="top"/>
    </xf>
    <xf numFmtId="0" fontId="12" fillId="2" borderId="8" xfId="0" applyFont="1" applyFill="1" applyBorder="1" applyAlignment="1">
      <alignment horizontal="center" vertical="top"/>
    </xf>
    <xf numFmtId="49" fontId="25" fillId="2" borderId="1" xfId="0"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3" fontId="17" fillId="2" borderId="1" xfId="0" applyNumberFormat="1" applyFont="1" applyFill="1" applyBorder="1" applyAlignment="1">
      <alignment horizontal="left" wrapText="1"/>
    </xf>
    <xf numFmtId="3" fontId="11" fillId="3" borderId="3" xfId="0" applyNumberFormat="1" applyFont="1" applyFill="1" applyBorder="1" applyAlignment="1">
      <alignment horizontal="left" wrapText="1"/>
    </xf>
    <xf numFmtId="3" fontId="11" fillId="3" borderId="4" xfId="0" applyNumberFormat="1" applyFont="1" applyFill="1" applyBorder="1" applyAlignment="1">
      <alignment horizontal="left" wrapText="1"/>
    </xf>
    <xf numFmtId="3" fontId="11" fillId="3" borderId="2" xfId="0" applyNumberFormat="1" applyFont="1" applyFill="1" applyBorder="1" applyAlignment="1">
      <alignment horizontal="left" wrapText="1"/>
    </xf>
    <xf numFmtId="3" fontId="17" fillId="2" borderId="1" xfId="0" applyNumberFormat="1" applyFont="1" applyFill="1" applyBorder="1" applyAlignment="1">
      <alignment horizontal="left"/>
    </xf>
    <xf numFmtId="3" fontId="17" fillId="2" borderId="3" xfId="0" applyNumberFormat="1" applyFont="1" applyFill="1" applyBorder="1" applyAlignment="1">
      <alignment horizontal="left" wrapText="1"/>
    </xf>
    <xf numFmtId="3" fontId="17" fillId="2" borderId="4" xfId="0" applyNumberFormat="1" applyFont="1" applyFill="1" applyBorder="1" applyAlignment="1">
      <alignment horizontal="left" wrapText="1"/>
    </xf>
    <xf numFmtId="3" fontId="17" fillId="2" borderId="2" xfId="0" applyNumberFormat="1" applyFont="1" applyFill="1" applyBorder="1" applyAlignment="1">
      <alignment horizontal="left" wrapText="1"/>
    </xf>
    <xf numFmtId="3" fontId="11" fillId="5" borderId="1" xfId="0" applyNumberFormat="1" applyFont="1" applyFill="1" applyBorder="1" applyAlignment="1">
      <alignment horizontal="left"/>
    </xf>
    <xf numFmtId="3" fontId="11" fillId="2" borderId="3" xfId="0" applyNumberFormat="1" applyFont="1" applyFill="1" applyBorder="1" applyAlignment="1">
      <alignment horizontal="center" vertical="top" wrapText="1"/>
    </xf>
    <xf numFmtId="3" fontId="11" fillId="2" borderId="4" xfId="0" applyNumberFormat="1" applyFont="1" applyFill="1" applyBorder="1" applyAlignment="1">
      <alignment horizontal="center" vertical="top" wrapText="1"/>
    </xf>
    <xf numFmtId="3" fontId="11" fillId="2" borderId="2" xfId="0" applyNumberFormat="1" applyFont="1" applyFill="1" applyBorder="1" applyAlignment="1">
      <alignment horizontal="center" vertical="top" wrapText="1"/>
    </xf>
    <xf numFmtId="3" fontId="11" fillId="3" borderId="1" xfId="0" applyNumberFormat="1" applyFont="1" applyFill="1" applyBorder="1" applyAlignment="1">
      <alignment horizontal="left" vertical="top" wrapText="1"/>
    </xf>
    <xf numFmtId="3" fontId="11" fillId="4" borderId="3" xfId="0" applyNumberFormat="1" applyFont="1" applyFill="1" applyBorder="1" applyAlignment="1">
      <alignment horizontal="left"/>
    </xf>
    <xf numFmtId="3" fontId="11" fillId="4" borderId="4" xfId="0" applyNumberFormat="1" applyFont="1" applyFill="1" applyBorder="1" applyAlignment="1">
      <alignment horizontal="left"/>
    </xf>
    <xf numFmtId="3" fontId="11" fillId="4" borderId="2" xfId="0" applyNumberFormat="1" applyFont="1" applyFill="1" applyBorder="1" applyAlignment="1">
      <alignment horizontal="left"/>
    </xf>
    <xf numFmtId="3" fontId="11" fillId="3" borderId="3" xfId="0" applyNumberFormat="1" applyFont="1" applyFill="1" applyBorder="1" applyAlignment="1">
      <alignment horizontal="left"/>
    </xf>
    <xf numFmtId="3" fontId="11" fillId="3" borderId="4" xfId="0" applyNumberFormat="1" applyFont="1" applyFill="1" applyBorder="1" applyAlignment="1">
      <alignment horizontal="left"/>
    </xf>
    <xf numFmtId="3" fontId="11" fillId="3" borderId="2" xfId="0" applyNumberFormat="1" applyFont="1" applyFill="1" applyBorder="1" applyAlignment="1">
      <alignment horizontal="left"/>
    </xf>
    <xf numFmtId="3" fontId="11" fillId="3" borderId="1" xfId="0" applyNumberFormat="1" applyFont="1" applyFill="1" applyBorder="1" applyAlignment="1">
      <alignment horizontal="left" wrapText="1"/>
    </xf>
    <xf numFmtId="3" fontId="17" fillId="2" borderId="1" xfId="0" applyNumberFormat="1" applyFont="1" applyFill="1" applyBorder="1" applyAlignment="1">
      <alignment horizontal="left" vertical="center"/>
    </xf>
    <xf numFmtId="3" fontId="28" fillId="2" borderId="0" xfId="0" applyNumberFormat="1" applyFont="1" applyFill="1" applyAlignment="1">
      <alignment horizontal="left" wrapText="1"/>
    </xf>
    <xf numFmtId="3" fontId="11" fillId="4" borderId="1" xfId="0" applyNumberFormat="1" applyFont="1" applyFill="1" applyBorder="1" applyAlignment="1">
      <alignment horizontal="left" vertical="top" wrapText="1"/>
    </xf>
    <xf numFmtId="3" fontId="28" fillId="0" borderId="0" xfId="0" applyNumberFormat="1" applyFont="1" applyAlignment="1">
      <alignment horizontal="left" wrapText="1"/>
    </xf>
    <xf numFmtId="3" fontId="27" fillId="2" borderId="0" xfId="0" applyNumberFormat="1" applyFont="1" applyFill="1" applyAlignment="1">
      <alignment horizontal="center" vertical="center" wrapText="1"/>
    </xf>
    <xf numFmtId="3" fontId="12" fillId="2" borderId="1" xfId="0" applyNumberFormat="1" applyFont="1" applyFill="1" applyBorder="1" applyAlignment="1">
      <alignment horizontal="center" vertical="center" wrapText="1"/>
    </xf>
    <xf numFmtId="3" fontId="12" fillId="2" borderId="1" xfId="0" applyNumberFormat="1" applyFont="1" applyFill="1" applyBorder="1" applyAlignment="1">
      <alignment horizontal="center" wrapText="1"/>
    </xf>
    <xf numFmtId="3" fontId="17" fillId="0" borderId="1" xfId="0" applyNumberFormat="1" applyFont="1" applyFill="1" applyBorder="1" applyAlignment="1">
      <alignment horizontal="left"/>
    </xf>
    <xf numFmtId="3" fontId="17" fillId="0" borderId="3" xfId="0" applyNumberFormat="1" applyFont="1" applyFill="1" applyBorder="1" applyAlignment="1">
      <alignment horizontal="left" vertical="center"/>
    </xf>
    <xf numFmtId="3" fontId="17" fillId="0" borderId="4" xfId="0" applyNumberFormat="1" applyFont="1" applyFill="1" applyBorder="1" applyAlignment="1">
      <alignment horizontal="left" vertical="center"/>
    </xf>
    <xf numFmtId="3" fontId="17" fillId="0" borderId="2" xfId="0" applyNumberFormat="1" applyFont="1" applyFill="1" applyBorder="1" applyAlignment="1">
      <alignment horizontal="left" vertical="center"/>
    </xf>
    <xf numFmtId="3" fontId="17" fillId="0" borderId="1" xfId="0" applyNumberFormat="1" applyFont="1" applyFill="1" applyBorder="1" applyAlignment="1">
      <alignment horizontal="left" vertical="center"/>
    </xf>
  </cellXfs>
  <cellStyles count="9">
    <cellStyle name="Обычный" xfId="0" builtinId="0"/>
    <cellStyle name="Обычный 2" xfId="1"/>
    <cellStyle name="Обычный 3" xfId="2"/>
    <cellStyle name="Обычный 4" xfId="8"/>
    <cellStyle name="Обычный_Dnepr" xfId="6"/>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Downloads/2020/&#1055;&#1088;&#1086;&#1075;&#1088;&#1072;&#1084;&#1080;/&#1055;&#1088;&#1086;&#1075;&#1088;&#1072;&#1084;&#1072;%20&#1086;&#1093;&#1086;&#1088;&#1086;&#1085;&#1072;%20&#1079;&#1076;&#1086;&#1088;&#1086;&#1074;'&#1103;/&#1047;&#1084;&#1110;&#1085;&#1080;%20&#1055;&#1088;&#1086;&#1075;&#1088;&#1072;&#1084;&#1080;%20&#1054;&#1093;&#1086;&#1088;&#1086;&#1085;&#1072;%20&#1079;&#1076;&#1086;&#1088;&#1086;&#1074;'&#1103;/06.2020/&#1087;&#1086;%20&#1085;&#1086;&#1074;&#1086;&#1084;&#1091;/&#1044;&#1086;&#1076;&#1072;&#1090;&#1086;&#1082;%20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даток 1"/>
      <sheetName val="Додаток 1 "/>
      <sheetName val="Додаток 2"/>
      <sheetName val="Додаток 3"/>
    </sheetNames>
    <sheetDataSet>
      <sheetData sheetId="0"/>
      <sheetData sheetId="1"/>
      <sheetData sheetId="2">
        <row r="5">
          <cell r="I5">
            <v>0</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8"/>
  <sheetViews>
    <sheetView view="pageBreakPreview" topLeftCell="A19" zoomScale="84" zoomScaleNormal="100" zoomScaleSheetLayoutView="84" workbookViewId="0">
      <selection activeCell="A29" sqref="A29:IV29"/>
    </sheetView>
  </sheetViews>
  <sheetFormatPr defaultColWidth="9.140625" defaultRowHeight="18.75" x14ac:dyDescent="0.3"/>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x14ac:dyDescent="0.3">
      <c r="C1" s="1" t="s">
        <v>0</v>
      </c>
    </row>
    <row r="2" spans="1:13" ht="114" customHeight="1" x14ac:dyDescent="0.3">
      <c r="C2" s="4" t="s">
        <v>41</v>
      </c>
      <c r="F2" s="341"/>
      <c r="G2" s="341"/>
      <c r="H2" s="341"/>
      <c r="I2" s="2"/>
      <c r="J2" s="2"/>
      <c r="K2" s="2"/>
      <c r="L2" s="17"/>
      <c r="M2" s="17"/>
    </row>
    <row r="3" spans="1:13" ht="24" customHeight="1" x14ac:dyDescent="0.3">
      <c r="C3" s="4" t="s">
        <v>44</v>
      </c>
      <c r="E3" s="19"/>
      <c r="F3" s="342"/>
      <c r="G3" s="342"/>
      <c r="H3" s="342"/>
      <c r="J3" s="17"/>
      <c r="K3" s="17"/>
      <c r="L3" s="17"/>
      <c r="M3" s="17"/>
    </row>
    <row r="4" spans="1:13" ht="30" customHeight="1" x14ac:dyDescent="0.3">
      <c r="C4" s="4"/>
      <c r="E4" s="19"/>
      <c r="F4" s="18"/>
      <c r="G4" s="18"/>
      <c r="H4" s="18"/>
      <c r="J4" s="17"/>
      <c r="K4" s="17"/>
      <c r="L4" s="17"/>
      <c r="M4" s="17"/>
    </row>
    <row r="5" spans="1:13" ht="17.25" customHeight="1" x14ac:dyDescent="0.3">
      <c r="A5" s="337" t="s">
        <v>8</v>
      </c>
      <c r="B5" s="337"/>
      <c r="C5" s="337"/>
      <c r="F5" s="343"/>
      <c r="G5" s="343"/>
      <c r="H5" s="343"/>
      <c r="I5" s="343"/>
      <c r="J5" s="343"/>
      <c r="K5" s="343"/>
      <c r="L5" s="343"/>
      <c r="M5" s="343"/>
    </row>
    <row r="6" spans="1:13" ht="17.25" customHeight="1" x14ac:dyDescent="0.3">
      <c r="A6" s="337" t="s">
        <v>20</v>
      </c>
      <c r="B6" s="337"/>
      <c r="C6" s="337"/>
    </row>
    <row r="7" spans="1:13" ht="17.25" customHeight="1" x14ac:dyDescent="0.3">
      <c r="A7" s="337" t="s">
        <v>15</v>
      </c>
      <c r="B7" s="337"/>
      <c r="C7" s="337"/>
    </row>
    <row r="8" spans="1:13" ht="22.5" customHeight="1" x14ac:dyDescent="0.3"/>
    <row r="9" spans="1:13" ht="37.5" customHeight="1" x14ac:dyDescent="0.3">
      <c r="A9" s="339" t="s">
        <v>7</v>
      </c>
      <c r="B9" s="346" t="s">
        <v>9</v>
      </c>
      <c r="C9" s="347"/>
    </row>
    <row r="10" spans="1:13" ht="37.5" customHeight="1" x14ac:dyDescent="0.3">
      <c r="A10" s="340"/>
      <c r="B10" s="349" t="s">
        <v>10</v>
      </c>
      <c r="C10" s="350"/>
    </row>
    <row r="11" spans="1:13" x14ac:dyDescent="0.3">
      <c r="A11" s="7">
        <v>1</v>
      </c>
      <c r="B11" s="344">
        <v>2</v>
      </c>
      <c r="C11" s="345"/>
    </row>
    <row r="12" spans="1:13" ht="49.5" customHeight="1" x14ac:dyDescent="0.3">
      <c r="A12" s="22" t="s">
        <v>30</v>
      </c>
      <c r="B12" s="338" t="s">
        <v>11</v>
      </c>
      <c r="C12" s="338"/>
    </row>
    <row r="13" spans="1:13" ht="49.5" customHeight="1" x14ac:dyDescent="0.3">
      <c r="A13" s="22" t="s">
        <v>31</v>
      </c>
      <c r="B13" s="338" t="s">
        <v>14</v>
      </c>
      <c r="C13" s="338"/>
    </row>
    <row r="14" spans="1:13" ht="49.5" customHeight="1" x14ac:dyDescent="0.3">
      <c r="A14" s="22" t="s">
        <v>32</v>
      </c>
      <c r="B14" s="338" t="s">
        <v>12</v>
      </c>
      <c r="C14" s="338"/>
    </row>
    <row r="15" spans="1:13" ht="49.5" customHeight="1" x14ac:dyDescent="0.3">
      <c r="A15" s="22" t="s">
        <v>33</v>
      </c>
      <c r="B15" s="338" t="s">
        <v>23</v>
      </c>
      <c r="C15" s="338"/>
    </row>
    <row r="16" spans="1:13" ht="49.5" customHeight="1" x14ac:dyDescent="0.3">
      <c r="A16" s="22" t="s">
        <v>34</v>
      </c>
      <c r="B16" s="338" t="s">
        <v>22</v>
      </c>
      <c r="C16" s="338"/>
    </row>
    <row r="17" spans="1:11" ht="49.5" customHeight="1" x14ac:dyDescent="0.3">
      <c r="A17" s="22" t="s">
        <v>35</v>
      </c>
      <c r="B17" s="348" t="s">
        <v>43</v>
      </c>
      <c r="C17" s="348"/>
    </row>
    <row r="18" spans="1:11" ht="55.5" customHeight="1" x14ac:dyDescent="0.3">
      <c r="A18" s="22" t="s">
        <v>36</v>
      </c>
      <c r="B18" s="348" t="s">
        <v>42</v>
      </c>
      <c r="C18" s="348"/>
    </row>
    <row r="19" spans="1:11" ht="57" customHeight="1" x14ac:dyDescent="0.3">
      <c r="A19" s="22" t="s">
        <v>37</v>
      </c>
      <c r="B19" s="338" t="s">
        <v>13</v>
      </c>
      <c r="C19" s="338"/>
    </row>
    <row r="20" spans="1:11" ht="41.25" customHeight="1" x14ac:dyDescent="0.3">
      <c r="A20" s="22" t="s">
        <v>38</v>
      </c>
      <c r="B20" s="348" t="s">
        <v>24</v>
      </c>
      <c r="C20" s="348"/>
    </row>
    <row r="21" spans="1:11" ht="41.25" customHeight="1" x14ac:dyDescent="0.3">
      <c r="A21" s="22" t="s">
        <v>39</v>
      </c>
      <c r="B21" s="348" t="s">
        <v>25</v>
      </c>
      <c r="C21" s="348"/>
    </row>
    <row r="22" spans="1:11" ht="41.25" customHeight="1" x14ac:dyDescent="0.3">
      <c r="A22" s="22" t="s">
        <v>40</v>
      </c>
      <c r="B22" s="348" t="s">
        <v>26</v>
      </c>
      <c r="C22" s="348"/>
    </row>
    <row r="23" spans="1:11" ht="14.25" customHeight="1" x14ac:dyDescent="0.3">
      <c r="A23" s="21"/>
      <c r="B23" s="13"/>
      <c r="C23" s="13"/>
    </row>
    <row r="24" spans="1:11" ht="14.25" customHeight="1" x14ac:dyDescent="0.3">
      <c r="A24" s="21"/>
      <c r="B24" s="13"/>
      <c r="C24" s="13"/>
    </row>
    <row r="25" spans="1:11" ht="14.25" customHeight="1" x14ac:dyDescent="0.3">
      <c r="A25" s="21"/>
      <c r="B25" s="13"/>
      <c r="C25" s="13"/>
    </row>
    <row r="26" spans="1:11" ht="14.25" customHeight="1" x14ac:dyDescent="0.3"/>
    <row r="27" spans="1:11" ht="22.5" customHeight="1" x14ac:dyDescent="0.3">
      <c r="A27" s="8" t="s">
        <v>27</v>
      </c>
      <c r="B27" s="11"/>
      <c r="C27" s="9" t="s">
        <v>28</v>
      </c>
      <c r="D27" s="11"/>
      <c r="E27" s="14"/>
      <c r="F27" s="11"/>
      <c r="G27" s="15"/>
      <c r="H27" s="15"/>
      <c r="I27" s="15"/>
      <c r="J27" s="16"/>
      <c r="K27" s="15"/>
    </row>
    <row r="28" spans="1:11" ht="20.25" customHeight="1" x14ac:dyDescent="0.3">
      <c r="A28" s="20" t="s">
        <v>29</v>
      </c>
      <c r="B28"/>
      <c r="C28" s="5"/>
      <c r="D28" s="3"/>
      <c r="F28" s="4"/>
      <c r="H28" s="6"/>
    </row>
  </sheetData>
  <mergeCells count="21">
    <mergeCell ref="B22:C22"/>
    <mergeCell ref="B10:C10"/>
    <mergeCell ref="B16:C16"/>
    <mergeCell ref="B20:C20"/>
    <mergeCell ref="B19:C19"/>
    <mergeCell ref="B13:C13"/>
    <mergeCell ref="B21:C21"/>
    <mergeCell ref="B14:C14"/>
    <mergeCell ref="B18:C18"/>
    <mergeCell ref="B17:C17"/>
    <mergeCell ref="B15:C15"/>
    <mergeCell ref="A7:C7"/>
    <mergeCell ref="B12:C12"/>
    <mergeCell ref="A6:C6"/>
    <mergeCell ref="A9:A10"/>
    <mergeCell ref="F2:H2"/>
    <mergeCell ref="F3:H3"/>
    <mergeCell ref="F5:M5"/>
    <mergeCell ref="B11:C11"/>
    <mergeCell ref="A5:C5"/>
    <mergeCell ref="B9:C9"/>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view="pageBreakPreview" zoomScale="50" zoomScaleNormal="100" zoomScaleSheetLayoutView="50" workbookViewId="0">
      <selection activeCell="I7" sqref="I7"/>
    </sheetView>
  </sheetViews>
  <sheetFormatPr defaultRowHeight="18.75" x14ac:dyDescent="0.3"/>
  <cols>
    <col min="1" max="1" width="29.42578125" style="1" customWidth="1"/>
    <col min="2" max="2" width="38.85546875" style="1" customWidth="1"/>
    <col min="3" max="3" width="52.140625" style="1" customWidth="1"/>
    <col min="4" max="4" width="7.7109375" style="1" customWidth="1"/>
    <col min="5" max="256" width="9.140625" style="1"/>
    <col min="257" max="257" width="32" style="1" customWidth="1"/>
    <col min="258" max="258" width="38.85546875" style="1" customWidth="1"/>
    <col min="259" max="259" width="52.140625" style="1" customWidth="1"/>
    <col min="260" max="512" width="9.140625" style="1"/>
    <col min="513" max="513" width="32" style="1" customWidth="1"/>
    <col min="514" max="514" width="38.85546875" style="1" customWidth="1"/>
    <col min="515" max="515" width="52.140625" style="1" customWidth="1"/>
    <col min="516" max="768" width="9.140625" style="1"/>
    <col min="769" max="769" width="32" style="1" customWidth="1"/>
    <col min="770" max="770" width="38.85546875" style="1" customWidth="1"/>
    <col min="771" max="771" width="52.140625" style="1" customWidth="1"/>
    <col min="772" max="1024" width="9.140625" style="1"/>
    <col min="1025" max="1025" width="32" style="1" customWidth="1"/>
    <col min="1026" max="1026" width="38.85546875" style="1" customWidth="1"/>
    <col min="1027" max="1027" width="52.140625" style="1" customWidth="1"/>
    <col min="1028" max="1280" width="9.140625" style="1"/>
    <col min="1281" max="1281" width="32" style="1" customWidth="1"/>
    <col min="1282" max="1282" width="38.85546875" style="1" customWidth="1"/>
    <col min="1283" max="1283" width="52.140625" style="1" customWidth="1"/>
    <col min="1284" max="1536" width="9.140625" style="1"/>
    <col min="1537" max="1537" width="32" style="1" customWidth="1"/>
    <col min="1538" max="1538" width="38.85546875" style="1" customWidth="1"/>
    <col min="1539" max="1539" width="52.140625" style="1" customWidth="1"/>
    <col min="1540" max="1792" width="9.140625" style="1"/>
    <col min="1793" max="1793" width="32" style="1" customWidth="1"/>
    <col min="1794" max="1794" width="38.85546875" style="1" customWidth="1"/>
    <col min="1795" max="1795" width="52.140625" style="1" customWidth="1"/>
    <col min="1796" max="2048" width="9.140625" style="1"/>
    <col min="2049" max="2049" width="32" style="1" customWidth="1"/>
    <col min="2050" max="2050" width="38.85546875" style="1" customWidth="1"/>
    <col min="2051" max="2051" width="52.140625" style="1" customWidth="1"/>
    <col min="2052" max="2304" width="9.140625" style="1"/>
    <col min="2305" max="2305" width="32" style="1" customWidth="1"/>
    <col min="2306" max="2306" width="38.85546875" style="1" customWidth="1"/>
    <col min="2307" max="2307" width="52.140625" style="1" customWidth="1"/>
    <col min="2308" max="2560" width="9.140625" style="1"/>
    <col min="2561" max="2561" width="32" style="1" customWidth="1"/>
    <col min="2562" max="2562" width="38.85546875" style="1" customWidth="1"/>
    <col min="2563" max="2563" width="52.140625" style="1" customWidth="1"/>
    <col min="2564" max="2816" width="9.140625" style="1"/>
    <col min="2817" max="2817" width="32" style="1" customWidth="1"/>
    <col min="2818" max="2818" width="38.85546875" style="1" customWidth="1"/>
    <col min="2819" max="2819" width="52.140625" style="1" customWidth="1"/>
    <col min="2820" max="3072" width="9.140625" style="1"/>
    <col min="3073" max="3073" width="32" style="1" customWidth="1"/>
    <col min="3074" max="3074" width="38.85546875" style="1" customWidth="1"/>
    <col min="3075" max="3075" width="52.140625" style="1" customWidth="1"/>
    <col min="3076" max="3328" width="9.140625" style="1"/>
    <col min="3329" max="3329" width="32" style="1" customWidth="1"/>
    <col min="3330" max="3330" width="38.85546875" style="1" customWidth="1"/>
    <col min="3331" max="3331" width="52.140625" style="1" customWidth="1"/>
    <col min="3332" max="3584" width="9.140625" style="1"/>
    <col min="3585" max="3585" width="32" style="1" customWidth="1"/>
    <col min="3586" max="3586" width="38.85546875" style="1" customWidth="1"/>
    <col min="3587" max="3587" width="52.140625" style="1" customWidth="1"/>
    <col min="3588" max="3840" width="9.140625" style="1"/>
    <col min="3841" max="3841" width="32" style="1" customWidth="1"/>
    <col min="3842" max="3842" width="38.85546875" style="1" customWidth="1"/>
    <col min="3843" max="3843" width="52.140625" style="1" customWidth="1"/>
    <col min="3844" max="4096" width="9.140625" style="1"/>
    <col min="4097" max="4097" width="32" style="1" customWidth="1"/>
    <col min="4098" max="4098" width="38.85546875" style="1" customWidth="1"/>
    <col min="4099" max="4099" width="52.140625" style="1" customWidth="1"/>
    <col min="4100" max="4352" width="9.140625" style="1"/>
    <col min="4353" max="4353" width="32" style="1" customWidth="1"/>
    <col min="4354" max="4354" width="38.85546875" style="1" customWidth="1"/>
    <col min="4355" max="4355" width="52.140625" style="1" customWidth="1"/>
    <col min="4356" max="4608" width="9.140625" style="1"/>
    <col min="4609" max="4609" width="32" style="1" customWidth="1"/>
    <col min="4610" max="4610" width="38.85546875" style="1" customWidth="1"/>
    <col min="4611" max="4611" width="52.140625" style="1" customWidth="1"/>
    <col min="4612" max="4864" width="9.140625" style="1"/>
    <col min="4865" max="4865" width="32" style="1" customWidth="1"/>
    <col min="4866" max="4866" width="38.85546875" style="1" customWidth="1"/>
    <col min="4867" max="4867" width="52.140625" style="1" customWidth="1"/>
    <col min="4868" max="5120" width="9.140625" style="1"/>
    <col min="5121" max="5121" width="32" style="1" customWidth="1"/>
    <col min="5122" max="5122" width="38.85546875" style="1" customWidth="1"/>
    <col min="5123" max="5123" width="52.140625" style="1" customWidth="1"/>
    <col min="5124" max="5376" width="9.140625" style="1"/>
    <col min="5377" max="5377" width="32" style="1" customWidth="1"/>
    <col min="5378" max="5378" width="38.85546875" style="1" customWidth="1"/>
    <col min="5379" max="5379" width="52.140625" style="1" customWidth="1"/>
    <col min="5380" max="5632" width="9.140625" style="1"/>
    <col min="5633" max="5633" width="32" style="1" customWidth="1"/>
    <col min="5634" max="5634" width="38.85546875" style="1" customWidth="1"/>
    <col min="5635" max="5635" width="52.140625" style="1" customWidth="1"/>
    <col min="5636" max="5888" width="9.140625" style="1"/>
    <col min="5889" max="5889" width="32" style="1" customWidth="1"/>
    <col min="5890" max="5890" width="38.85546875" style="1" customWidth="1"/>
    <col min="5891" max="5891" width="52.140625" style="1" customWidth="1"/>
    <col min="5892" max="6144" width="9.140625" style="1"/>
    <col min="6145" max="6145" width="32" style="1" customWidth="1"/>
    <col min="6146" max="6146" width="38.85546875" style="1" customWidth="1"/>
    <col min="6147" max="6147" width="52.140625" style="1" customWidth="1"/>
    <col min="6148" max="6400" width="9.140625" style="1"/>
    <col min="6401" max="6401" width="32" style="1" customWidth="1"/>
    <col min="6402" max="6402" width="38.85546875" style="1" customWidth="1"/>
    <col min="6403" max="6403" width="52.140625" style="1" customWidth="1"/>
    <col min="6404" max="6656" width="9.140625" style="1"/>
    <col min="6657" max="6657" width="32" style="1" customWidth="1"/>
    <col min="6658" max="6658" width="38.85546875" style="1" customWidth="1"/>
    <col min="6659" max="6659" width="52.140625" style="1" customWidth="1"/>
    <col min="6660" max="6912" width="9.140625" style="1"/>
    <col min="6913" max="6913" width="32" style="1" customWidth="1"/>
    <col min="6914" max="6914" width="38.85546875" style="1" customWidth="1"/>
    <col min="6915" max="6915" width="52.140625" style="1" customWidth="1"/>
    <col min="6916" max="7168" width="9.140625" style="1"/>
    <col min="7169" max="7169" width="32" style="1" customWidth="1"/>
    <col min="7170" max="7170" width="38.85546875" style="1" customWidth="1"/>
    <col min="7171" max="7171" width="52.140625" style="1" customWidth="1"/>
    <col min="7172" max="7424" width="9.140625" style="1"/>
    <col min="7425" max="7425" width="32" style="1" customWidth="1"/>
    <col min="7426" max="7426" width="38.85546875" style="1" customWidth="1"/>
    <col min="7427" max="7427" width="52.140625" style="1" customWidth="1"/>
    <col min="7428" max="7680" width="9.140625" style="1"/>
    <col min="7681" max="7681" width="32" style="1" customWidth="1"/>
    <col min="7682" max="7682" width="38.85546875" style="1" customWidth="1"/>
    <col min="7683" max="7683" width="52.140625" style="1" customWidth="1"/>
    <col min="7684" max="7936" width="9.140625" style="1"/>
    <col min="7937" max="7937" width="32" style="1" customWidth="1"/>
    <col min="7938" max="7938" width="38.85546875" style="1" customWidth="1"/>
    <col min="7939" max="7939" width="52.140625" style="1" customWidth="1"/>
    <col min="7940" max="8192" width="9.140625" style="1"/>
    <col min="8193" max="8193" width="32" style="1" customWidth="1"/>
    <col min="8194" max="8194" width="38.85546875" style="1" customWidth="1"/>
    <col min="8195" max="8195" width="52.140625" style="1" customWidth="1"/>
    <col min="8196" max="8448" width="9.140625" style="1"/>
    <col min="8449" max="8449" width="32" style="1" customWidth="1"/>
    <col min="8450" max="8450" width="38.85546875" style="1" customWidth="1"/>
    <col min="8451" max="8451" width="52.140625" style="1" customWidth="1"/>
    <col min="8452" max="8704" width="9.140625" style="1"/>
    <col min="8705" max="8705" width="32" style="1" customWidth="1"/>
    <col min="8706" max="8706" width="38.85546875" style="1" customWidth="1"/>
    <col min="8707" max="8707" width="52.140625" style="1" customWidth="1"/>
    <col min="8708" max="8960" width="9.140625" style="1"/>
    <col min="8961" max="8961" width="32" style="1" customWidth="1"/>
    <col min="8962" max="8962" width="38.85546875" style="1" customWidth="1"/>
    <col min="8963" max="8963" width="52.140625" style="1" customWidth="1"/>
    <col min="8964" max="9216" width="9.140625" style="1"/>
    <col min="9217" max="9217" width="32" style="1" customWidth="1"/>
    <col min="9218" max="9218" width="38.85546875" style="1" customWidth="1"/>
    <col min="9219" max="9219" width="52.140625" style="1" customWidth="1"/>
    <col min="9220" max="9472" width="9.140625" style="1"/>
    <col min="9473" max="9473" width="32" style="1" customWidth="1"/>
    <col min="9474" max="9474" width="38.85546875" style="1" customWidth="1"/>
    <col min="9475" max="9475" width="52.140625" style="1" customWidth="1"/>
    <col min="9476" max="9728" width="9.140625" style="1"/>
    <col min="9729" max="9729" width="32" style="1" customWidth="1"/>
    <col min="9730" max="9730" width="38.85546875" style="1" customWidth="1"/>
    <col min="9731" max="9731" width="52.140625" style="1" customWidth="1"/>
    <col min="9732" max="9984" width="9.140625" style="1"/>
    <col min="9985" max="9985" width="32" style="1" customWidth="1"/>
    <col min="9986" max="9986" width="38.85546875" style="1" customWidth="1"/>
    <col min="9987" max="9987" width="52.140625" style="1" customWidth="1"/>
    <col min="9988" max="10240" width="9.140625" style="1"/>
    <col min="10241" max="10241" width="32" style="1" customWidth="1"/>
    <col min="10242" max="10242" width="38.85546875" style="1" customWidth="1"/>
    <col min="10243" max="10243" width="52.140625" style="1" customWidth="1"/>
    <col min="10244" max="10496" width="9.140625" style="1"/>
    <col min="10497" max="10497" width="32" style="1" customWidth="1"/>
    <col min="10498" max="10498" width="38.85546875" style="1" customWidth="1"/>
    <col min="10499" max="10499" width="52.140625" style="1" customWidth="1"/>
    <col min="10500" max="10752" width="9.140625" style="1"/>
    <col min="10753" max="10753" width="32" style="1" customWidth="1"/>
    <col min="10754" max="10754" width="38.85546875" style="1" customWidth="1"/>
    <col min="10755" max="10755" width="52.140625" style="1" customWidth="1"/>
    <col min="10756" max="11008" width="9.140625" style="1"/>
    <col min="11009" max="11009" width="32" style="1" customWidth="1"/>
    <col min="11010" max="11010" width="38.85546875" style="1" customWidth="1"/>
    <col min="11011" max="11011" width="52.140625" style="1" customWidth="1"/>
    <col min="11012" max="11264" width="9.140625" style="1"/>
    <col min="11265" max="11265" width="32" style="1" customWidth="1"/>
    <col min="11266" max="11266" width="38.85546875" style="1" customWidth="1"/>
    <col min="11267" max="11267" width="52.140625" style="1" customWidth="1"/>
    <col min="11268" max="11520" width="9.140625" style="1"/>
    <col min="11521" max="11521" width="32" style="1" customWidth="1"/>
    <col min="11522" max="11522" width="38.85546875" style="1" customWidth="1"/>
    <col min="11523" max="11523" width="52.140625" style="1" customWidth="1"/>
    <col min="11524" max="11776" width="9.140625" style="1"/>
    <col min="11777" max="11777" width="32" style="1" customWidth="1"/>
    <col min="11778" max="11778" width="38.85546875" style="1" customWidth="1"/>
    <col min="11779" max="11779" width="52.140625" style="1" customWidth="1"/>
    <col min="11780" max="12032" width="9.140625" style="1"/>
    <col min="12033" max="12033" width="32" style="1" customWidth="1"/>
    <col min="12034" max="12034" width="38.85546875" style="1" customWidth="1"/>
    <col min="12035" max="12035" width="52.140625" style="1" customWidth="1"/>
    <col min="12036" max="12288" width="9.140625" style="1"/>
    <col min="12289" max="12289" width="32" style="1" customWidth="1"/>
    <col min="12290" max="12290" width="38.85546875" style="1" customWidth="1"/>
    <col min="12291" max="12291" width="52.140625" style="1" customWidth="1"/>
    <col min="12292" max="12544" width="9.140625" style="1"/>
    <col min="12545" max="12545" width="32" style="1" customWidth="1"/>
    <col min="12546" max="12546" width="38.85546875" style="1" customWidth="1"/>
    <col min="12547" max="12547" width="52.140625" style="1" customWidth="1"/>
    <col min="12548" max="12800" width="9.140625" style="1"/>
    <col min="12801" max="12801" width="32" style="1" customWidth="1"/>
    <col min="12802" max="12802" width="38.85546875" style="1" customWidth="1"/>
    <col min="12803" max="12803" width="52.140625" style="1" customWidth="1"/>
    <col min="12804" max="13056" width="9.140625" style="1"/>
    <col min="13057" max="13057" width="32" style="1" customWidth="1"/>
    <col min="13058" max="13058" width="38.85546875" style="1" customWidth="1"/>
    <col min="13059" max="13059" width="52.140625" style="1" customWidth="1"/>
    <col min="13060" max="13312" width="9.140625" style="1"/>
    <col min="13313" max="13313" width="32" style="1" customWidth="1"/>
    <col min="13314" max="13314" width="38.85546875" style="1" customWidth="1"/>
    <col min="13315" max="13315" width="52.140625" style="1" customWidth="1"/>
    <col min="13316" max="13568" width="9.140625" style="1"/>
    <col min="13569" max="13569" width="32" style="1" customWidth="1"/>
    <col min="13570" max="13570" width="38.85546875" style="1" customWidth="1"/>
    <col min="13571" max="13571" width="52.140625" style="1" customWidth="1"/>
    <col min="13572" max="13824" width="9.140625" style="1"/>
    <col min="13825" max="13825" width="32" style="1" customWidth="1"/>
    <col min="13826" max="13826" width="38.85546875" style="1" customWidth="1"/>
    <col min="13827" max="13827" width="52.140625" style="1" customWidth="1"/>
    <col min="13828" max="14080" width="9.140625" style="1"/>
    <col min="14081" max="14081" width="32" style="1" customWidth="1"/>
    <col min="14082" max="14082" width="38.85546875" style="1" customWidth="1"/>
    <col min="14083" max="14083" width="52.140625" style="1" customWidth="1"/>
    <col min="14084" max="14336" width="9.140625" style="1"/>
    <col min="14337" max="14337" width="32" style="1" customWidth="1"/>
    <col min="14338" max="14338" width="38.85546875" style="1" customWidth="1"/>
    <col min="14339" max="14339" width="52.140625" style="1" customWidth="1"/>
    <col min="14340" max="14592" width="9.140625" style="1"/>
    <col min="14593" max="14593" width="32" style="1" customWidth="1"/>
    <col min="14594" max="14594" width="38.85546875" style="1" customWidth="1"/>
    <col min="14595" max="14595" width="52.140625" style="1" customWidth="1"/>
    <col min="14596" max="14848" width="9.140625" style="1"/>
    <col min="14849" max="14849" width="32" style="1" customWidth="1"/>
    <col min="14850" max="14850" width="38.85546875" style="1" customWidth="1"/>
    <col min="14851" max="14851" width="52.140625" style="1" customWidth="1"/>
    <col min="14852" max="15104" width="9.140625" style="1"/>
    <col min="15105" max="15105" width="32" style="1" customWidth="1"/>
    <col min="15106" max="15106" width="38.85546875" style="1" customWidth="1"/>
    <col min="15107" max="15107" width="52.140625" style="1" customWidth="1"/>
    <col min="15108" max="15360" width="9.140625" style="1"/>
    <col min="15361" max="15361" width="32" style="1" customWidth="1"/>
    <col min="15362" max="15362" width="38.85546875" style="1" customWidth="1"/>
    <col min="15363" max="15363" width="52.140625" style="1" customWidth="1"/>
    <col min="15364" max="15616" width="9.140625" style="1"/>
    <col min="15617" max="15617" width="32" style="1" customWidth="1"/>
    <col min="15618" max="15618" width="38.85546875" style="1" customWidth="1"/>
    <col min="15619" max="15619" width="52.140625" style="1" customWidth="1"/>
    <col min="15620" max="15872" width="9.140625" style="1"/>
    <col min="15873" max="15873" width="32" style="1" customWidth="1"/>
    <col min="15874" max="15874" width="38.85546875" style="1" customWidth="1"/>
    <col min="15875" max="15875" width="52.140625" style="1" customWidth="1"/>
    <col min="15876" max="16128" width="9.140625" style="1"/>
    <col min="16129" max="16129" width="32" style="1" customWidth="1"/>
    <col min="16130" max="16130" width="38.85546875" style="1" customWidth="1"/>
    <col min="16131" max="16131" width="52.140625" style="1" customWidth="1"/>
    <col min="16132" max="16384" width="9.140625" style="1"/>
  </cols>
  <sheetData>
    <row r="1" spans="1:6" ht="223.5" customHeight="1" x14ac:dyDescent="0.4">
      <c r="C1" s="83" t="s">
        <v>441</v>
      </c>
      <c r="D1" s="83"/>
      <c r="E1" s="83"/>
      <c r="F1" s="83"/>
    </row>
    <row r="2" spans="1:6" ht="29.25" customHeight="1" x14ac:dyDescent="0.4">
      <c r="C2" s="351" t="s">
        <v>451</v>
      </c>
      <c r="D2" s="351"/>
      <c r="E2" s="351"/>
      <c r="F2" s="351"/>
    </row>
    <row r="3" spans="1:6" ht="15.75" customHeight="1" x14ac:dyDescent="0.3">
      <c r="C3" s="4"/>
    </row>
    <row r="4" spans="1:6" ht="25.5" x14ac:dyDescent="0.35">
      <c r="A4" s="352" t="s">
        <v>8</v>
      </c>
      <c r="B4" s="352"/>
      <c r="C4" s="352"/>
    </row>
    <row r="5" spans="1:6" ht="49.5" customHeight="1" x14ac:dyDescent="0.35">
      <c r="A5" s="353" t="s">
        <v>442</v>
      </c>
      <c r="B5" s="353"/>
      <c r="C5" s="353"/>
    </row>
    <row r="6" spans="1:6" ht="17.25" customHeight="1" x14ac:dyDescent="0.3"/>
    <row r="7" spans="1:6" ht="66" customHeight="1" x14ac:dyDescent="0.3">
      <c r="A7" s="354" t="s">
        <v>7</v>
      </c>
      <c r="B7" s="355" t="s">
        <v>9</v>
      </c>
      <c r="C7" s="356"/>
    </row>
    <row r="8" spans="1:6" ht="87" customHeight="1" x14ac:dyDescent="0.3">
      <c r="A8" s="354"/>
      <c r="B8" s="357" t="s">
        <v>10</v>
      </c>
      <c r="C8" s="358"/>
    </row>
    <row r="9" spans="1:6" x14ac:dyDescent="0.3">
      <c r="A9" s="7">
        <v>1</v>
      </c>
      <c r="B9" s="359">
        <v>2</v>
      </c>
      <c r="C9" s="359"/>
    </row>
    <row r="10" spans="1:6" ht="45" customHeight="1" x14ac:dyDescent="0.3">
      <c r="A10" s="39" t="s">
        <v>30</v>
      </c>
      <c r="B10" s="338" t="s">
        <v>11</v>
      </c>
      <c r="C10" s="338"/>
    </row>
    <row r="11" spans="1:6" ht="45" customHeight="1" x14ac:dyDescent="0.3">
      <c r="A11" s="39" t="s">
        <v>427</v>
      </c>
      <c r="B11" s="338" t="s">
        <v>428</v>
      </c>
      <c r="C11" s="338"/>
    </row>
    <row r="12" spans="1:6" ht="43.5" customHeight="1" x14ac:dyDescent="0.3">
      <c r="A12" s="39" t="s">
        <v>31</v>
      </c>
      <c r="B12" s="338" t="s">
        <v>14</v>
      </c>
      <c r="C12" s="338"/>
    </row>
    <row r="13" spans="1:6" ht="42.75" customHeight="1" x14ac:dyDescent="0.3">
      <c r="A13" s="40" t="s">
        <v>32</v>
      </c>
      <c r="B13" s="338" t="s">
        <v>12</v>
      </c>
      <c r="C13" s="338"/>
    </row>
    <row r="14" spans="1:6" ht="41.25" customHeight="1" x14ac:dyDescent="0.3">
      <c r="A14" s="40" t="s">
        <v>215</v>
      </c>
      <c r="B14" s="338" t="s">
        <v>216</v>
      </c>
      <c r="C14" s="338"/>
    </row>
    <row r="15" spans="1:6" ht="39.75" customHeight="1" x14ac:dyDescent="0.3">
      <c r="A15" s="40" t="s">
        <v>33</v>
      </c>
      <c r="B15" s="338" t="s">
        <v>23</v>
      </c>
      <c r="C15" s="338"/>
    </row>
    <row r="16" spans="1:6" ht="42.75" customHeight="1" x14ac:dyDescent="0.3">
      <c r="A16" s="40" t="s">
        <v>34</v>
      </c>
      <c r="B16" s="338" t="s">
        <v>217</v>
      </c>
      <c r="C16" s="338"/>
    </row>
    <row r="17" spans="1:8" ht="42" customHeight="1" x14ac:dyDescent="0.3">
      <c r="A17" s="40" t="s">
        <v>218</v>
      </c>
      <c r="B17" s="348" t="s">
        <v>219</v>
      </c>
      <c r="C17" s="348"/>
    </row>
    <row r="18" spans="1:8" ht="42.75" customHeight="1" x14ac:dyDescent="0.3">
      <c r="A18" s="40" t="s">
        <v>35</v>
      </c>
      <c r="B18" s="348" t="s">
        <v>301</v>
      </c>
      <c r="C18" s="348"/>
    </row>
    <row r="19" spans="1:8" ht="64.5" customHeight="1" x14ac:dyDescent="0.3">
      <c r="A19" s="40" t="s">
        <v>37</v>
      </c>
      <c r="B19" s="338" t="s">
        <v>220</v>
      </c>
      <c r="C19" s="338"/>
    </row>
    <row r="20" spans="1:8" ht="42.75" customHeight="1" x14ac:dyDescent="0.3">
      <c r="A20" s="296" t="s">
        <v>187</v>
      </c>
      <c r="B20" s="338" t="s">
        <v>222</v>
      </c>
      <c r="C20" s="338"/>
    </row>
    <row r="21" spans="1:8" ht="64.5" customHeight="1" x14ac:dyDescent="0.3">
      <c r="A21" s="296" t="s">
        <v>71</v>
      </c>
      <c r="B21" s="338" t="s">
        <v>221</v>
      </c>
      <c r="C21" s="338"/>
    </row>
    <row r="22" spans="1:8" ht="63.75" customHeight="1" x14ac:dyDescent="0.3">
      <c r="A22" s="296" t="s">
        <v>38</v>
      </c>
      <c r="B22" s="338" t="s">
        <v>224</v>
      </c>
      <c r="C22" s="338"/>
    </row>
    <row r="23" spans="1:8" ht="44.25" customHeight="1" x14ac:dyDescent="0.3">
      <c r="A23" s="296" t="s">
        <v>424</v>
      </c>
      <c r="B23" s="338" t="s">
        <v>425</v>
      </c>
      <c r="C23" s="338"/>
    </row>
    <row r="24" spans="1:8" ht="9.75" customHeight="1" x14ac:dyDescent="0.3"/>
    <row r="25" spans="1:8" ht="24" customHeight="1" x14ac:dyDescent="0.4">
      <c r="A25" s="292" t="s">
        <v>449</v>
      </c>
      <c r="B25" s="293"/>
      <c r="C25" s="294" t="s">
        <v>450</v>
      </c>
      <c r="D25" s="3"/>
      <c r="F25" s="4"/>
      <c r="H25" s="6"/>
    </row>
    <row r="26" spans="1:8" ht="21" customHeight="1" x14ac:dyDescent="0.3">
      <c r="B26"/>
      <c r="C26" s="41"/>
      <c r="D26" s="3"/>
      <c r="F26" s="4"/>
      <c r="H26" s="6"/>
    </row>
    <row r="27" spans="1:8" ht="20.25" customHeight="1" x14ac:dyDescent="0.3">
      <c r="A27" s="295" t="s">
        <v>29</v>
      </c>
      <c r="B27" s="281"/>
      <c r="C27" s="5"/>
      <c r="D27" s="3"/>
      <c r="F27" s="4"/>
      <c r="H27" s="6"/>
    </row>
    <row r="28" spans="1:8" ht="20.25" customHeight="1" x14ac:dyDescent="0.3">
      <c r="A28" s="295"/>
      <c r="B28" s="281"/>
      <c r="C28" s="5"/>
      <c r="D28" s="3"/>
      <c r="F28" s="4"/>
      <c r="H28" s="6"/>
    </row>
    <row r="29" spans="1:8" ht="20.25" x14ac:dyDescent="0.3">
      <c r="A29" s="280" t="s">
        <v>223</v>
      </c>
      <c r="B29" s="280"/>
    </row>
  </sheetData>
  <mergeCells count="21">
    <mergeCell ref="B16:C16"/>
    <mergeCell ref="B15:C15"/>
    <mergeCell ref="C2:F2"/>
    <mergeCell ref="A4:C4"/>
    <mergeCell ref="A5:C5"/>
    <mergeCell ref="A7:A8"/>
    <mergeCell ref="B7:C7"/>
    <mergeCell ref="B8:C8"/>
    <mergeCell ref="B9:C9"/>
    <mergeCell ref="B10:C10"/>
    <mergeCell ref="B12:C12"/>
    <mergeCell ref="B13:C13"/>
    <mergeCell ref="B14:C14"/>
    <mergeCell ref="B11:C11"/>
    <mergeCell ref="B17:C17"/>
    <mergeCell ref="B18:C18"/>
    <mergeCell ref="B19:C19"/>
    <mergeCell ref="B20:C20"/>
    <mergeCell ref="B23:C23"/>
    <mergeCell ref="B21:C21"/>
    <mergeCell ref="B22:C22"/>
  </mergeCells>
  <pageMargins left="0.78740157480314965" right="0.39370078740157483" top="0.39370078740157483" bottom="0.39370078740157483"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23"/>
  <sheetViews>
    <sheetView tabSelected="1" view="pageBreakPreview" zoomScale="36" zoomScaleNormal="40" zoomScaleSheetLayoutView="36" workbookViewId="0">
      <pane ySplit="10" topLeftCell="A337" activePane="bottomLeft" state="frozen"/>
      <selection pane="bottomLeft" activeCell="H340" sqref="H340"/>
    </sheetView>
  </sheetViews>
  <sheetFormatPr defaultColWidth="9.140625" defaultRowHeight="27.75" x14ac:dyDescent="0.4"/>
  <cols>
    <col min="1" max="1" width="8.42578125" style="35" customWidth="1"/>
    <col min="2" max="2" width="38.85546875" style="8" customWidth="1"/>
    <col min="3" max="3" width="51.28515625" style="92" customWidth="1"/>
    <col min="4" max="4" width="18.28515625" style="47" customWidth="1"/>
    <col min="5" max="5" width="69.42578125" style="99" customWidth="1"/>
    <col min="6" max="6" width="22.7109375" style="48" customWidth="1"/>
    <col min="7" max="7" width="37.28515625" style="50" customWidth="1"/>
    <col min="8" max="8" width="32.28515625" style="114" customWidth="1"/>
    <col min="9" max="9" width="25.140625" style="114" customWidth="1"/>
    <col min="10" max="10" width="21.7109375" style="114" customWidth="1"/>
    <col min="11" max="11" width="22.140625" style="114" customWidth="1"/>
    <col min="12" max="12" width="75.85546875" style="127" customWidth="1"/>
    <col min="13" max="13" width="17.85546875" style="24" customWidth="1"/>
    <col min="14" max="14" width="24.85546875" style="24" customWidth="1"/>
    <col min="15" max="15" width="12.140625" style="24" bestFit="1" customWidth="1"/>
    <col min="16" max="16" width="14.5703125" style="24" customWidth="1"/>
    <col min="17" max="17" width="13.28515625" style="24" bestFit="1" customWidth="1"/>
    <col min="18" max="18" width="10" style="24" bestFit="1" customWidth="1"/>
    <col min="19" max="16384" width="9.140625" style="24"/>
  </cols>
  <sheetData>
    <row r="1" spans="1:17" ht="23.45" hidden="1" customHeight="1" x14ac:dyDescent="0.4">
      <c r="G1" s="49"/>
      <c r="H1" s="113"/>
      <c r="I1" s="113"/>
      <c r="J1" s="113"/>
      <c r="K1" s="113"/>
      <c r="L1" s="126" t="s">
        <v>6</v>
      </c>
      <c r="M1" s="35"/>
      <c r="N1" s="35"/>
      <c r="O1" s="35"/>
    </row>
    <row r="2" spans="1:17" ht="138.75" x14ac:dyDescent="0.4">
      <c r="C2" s="93"/>
      <c r="L2" s="290" t="s">
        <v>443</v>
      </c>
      <c r="M2" s="291"/>
      <c r="N2" s="291"/>
      <c r="O2" s="291"/>
    </row>
    <row r="3" spans="1:17" ht="48.75" customHeight="1" x14ac:dyDescent="0.4">
      <c r="A3" s="36"/>
      <c r="L3" s="466" t="s">
        <v>452</v>
      </c>
      <c r="M3" s="466"/>
      <c r="N3" s="466"/>
      <c r="O3" s="466"/>
    </row>
    <row r="4" spans="1:17" ht="33.75" customHeight="1" x14ac:dyDescent="0.4">
      <c r="A4" s="36"/>
    </row>
    <row r="5" spans="1:17" ht="34.5" x14ac:dyDescent="0.3">
      <c r="A5" s="467" t="s">
        <v>444</v>
      </c>
      <c r="B5" s="467"/>
      <c r="C5" s="467"/>
      <c r="D5" s="467"/>
      <c r="E5" s="467"/>
      <c r="F5" s="467"/>
      <c r="G5" s="467"/>
      <c r="H5" s="467"/>
      <c r="I5" s="467"/>
      <c r="J5" s="467"/>
      <c r="K5" s="467"/>
      <c r="L5" s="467"/>
    </row>
    <row r="6" spans="1:17" ht="21.75" customHeight="1" x14ac:dyDescent="0.4">
      <c r="H6" s="115" t="s">
        <v>21</v>
      </c>
      <c r="I6" s="116" t="e">
        <f>#REF!+#REF!+#REF!+#REF!</f>
        <v>#REF!</v>
      </c>
    </row>
    <row r="7" spans="1:17" ht="56.25" customHeight="1" x14ac:dyDescent="0.4">
      <c r="A7" s="468" t="s">
        <v>1</v>
      </c>
      <c r="B7" s="469" t="s">
        <v>2</v>
      </c>
      <c r="C7" s="470" t="s">
        <v>3</v>
      </c>
      <c r="D7" s="468" t="s">
        <v>52</v>
      </c>
      <c r="E7" s="471" t="s">
        <v>49</v>
      </c>
      <c r="F7" s="474" t="s">
        <v>46</v>
      </c>
      <c r="G7" s="470" t="s">
        <v>4</v>
      </c>
      <c r="H7" s="475" t="s">
        <v>16</v>
      </c>
      <c r="I7" s="476"/>
      <c r="J7" s="476"/>
      <c r="K7" s="477"/>
      <c r="L7" s="470" t="s">
        <v>5</v>
      </c>
    </row>
    <row r="8" spans="1:17" ht="20.25" customHeight="1" x14ac:dyDescent="0.35">
      <c r="A8" s="468"/>
      <c r="B8" s="469"/>
      <c r="C8" s="470"/>
      <c r="D8" s="468"/>
      <c r="E8" s="472"/>
      <c r="F8" s="474"/>
      <c r="G8" s="470"/>
      <c r="H8" s="470" t="s">
        <v>89</v>
      </c>
      <c r="I8" s="478" t="s">
        <v>17</v>
      </c>
      <c r="J8" s="478"/>
      <c r="K8" s="478"/>
      <c r="L8" s="470"/>
    </row>
    <row r="9" spans="1:17" s="32" customFormat="1" ht="70.5" customHeight="1" x14ac:dyDescent="0.2">
      <c r="A9" s="468"/>
      <c r="B9" s="469"/>
      <c r="C9" s="470"/>
      <c r="D9" s="468"/>
      <c r="E9" s="473"/>
      <c r="F9" s="474"/>
      <c r="G9" s="470"/>
      <c r="H9" s="470"/>
      <c r="I9" s="105" t="s">
        <v>45</v>
      </c>
      <c r="J9" s="336" t="s">
        <v>439</v>
      </c>
      <c r="K9" s="105" t="s">
        <v>50</v>
      </c>
      <c r="L9" s="470"/>
    </row>
    <row r="10" spans="1:17" s="32" customFormat="1" ht="29.25" customHeight="1" x14ac:dyDescent="0.2">
      <c r="A10" s="58">
        <v>1</v>
      </c>
      <c r="B10" s="61">
        <v>2</v>
      </c>
      <c r="C10" s="94">
        <v>3</v>
      </c>
      <c r="D10" s="38">
        <v>4</v>
      </c>
      <c r="E10" s="94">
        <v>5</v>
      </c>
      <c r="F10" s="38">
        <v>6</v>
      </c>
      <c r="G10" s="85">
        <v>7</v>
      </c>
      <c r="H10" s="87">
        <v>8</v>
      </c>
      <c r="I10" s="87">
        <v>9</v>
      </c>
      <c r="J10" s="87">
        <v>10</v>
      </c>
      <c r="K10" s="87">
        <v>11</v>
      </c>
      <c r="L10" s="87">
        <v>12</v>
      </c>
      <c r="P10" s="25"/>
      <c r="Q10" s="33"/>
    </row>
    <row r="11" spans="1:17" s="32" customFormat="1" ht="32.25" customHeight="1" x14ac:dyDescent="0.2">
      <c r="A11" s="408" t="s">
        <v>283</v>
      </c>
      <c r="B11" s="409"/>
      <c r="C11" s="409"/>
      <c r="D11" s="409"/>
      <c r="E11" s="409"/>
      <c r="F11" s="409"/>
      <c r="G11" s="409"/>
      <c r="H11" s="409"/>
      <c r="I11" s="409"/>
      <c r="J11" s="409"/>
      <c r="K11" s="409"/>
      <c r="L11" s="410"/>
      <c r="P11" s="25"/>
      <c r="Q11" s="33"/>
    </row>
    <row r="12" spans="1:17" s="34" customFormat="1" ht="27" customHeight="1" x14ac:dyDescent="0.3">
      <c r="A12" s="449" t="s">
        <v>232</v>
      </c>
      <c r="B12" s="428" t="s">
        <v>225</v>
      </c>
      <c r="C12" s="433" t="s">
        <v>233</v>
      </c>
      <c r="D12" s="434" t="s">
        <v>350</v>
      </c>
      <c r="E12" s="435"/>
      <c r="F12" s="435"/>
      <c r="G12" s="436"/>
      <c r="H12" s="179">
        <f>H13+H14</f>
        <v>240</v>
      </c>
      <c r="I12" s="179">
        <f>I13+I14</f>
        <v>240</v>
      </c>
      <c r="J12" s="179">
        <f>J13+J14</f>
        <v>0</v>
      </c>
      <c r="K12" s="179">
        <f>K13+K14</f>
        <v>0</v>
      </c>
      <c r="L12" s="361" t="s">
        <v>277</v>
      </c>
      <c r="P12" s="30"/>
    </row>
    <row r="13" spans="1:17" ht="60" customHeight="1" x14ac:dyDescent="0.3">
      <c r="A13" s="450"/>
      <c r="B13" s="481"/>
      <c r="C13" s="433"/>
      <c r="D13" s="46" t="s">
        <v>37</v>
      </c>
      <c r="E13" s="95" t="s">
        <v>84</v>
      </c>
      <c r="F13" s="360" t="s">
        <v>227</v>
      </c>
      <c r="G13" s="360" t="s">
        <v>51</v>
      </c>
      <c r="H13" s="179">
        <f>I13+J13+K13</f>
        <v>60</v>
      </c>
      <c r="I13" s="180">
        <f>60</f>
        <v>60</v>
      </c>
      <c r="J13" s="180">
        <v>0</v>
      </c>
      <c r="K13" s="180">
        <v>0</v>
      </c>
      <c r="L13" s="362"/>
      <c r="M13" s="23"/>
      <c r="P13" s="25"/>
    </row>
    <row r="14" spans="1:17" ht="59.25" customHeight="1" x14ac:dyDescent="0.3">
      <c r="A14" s="450"/>
      <c r="B14" s="481"/>
      <c r="C14" s="433"/>
      <c r="D14" s="46" t="s">
        <v>37</v>
      </c>
      <c r="E14" s="95" t="s">
        <v>85</v>
      </c>
      <c r="F14" s="360"/>
      <c r="G14" s="360"/>
      <c r="H14" s="179">
        <f>I14+J14+K14</f>
        <v>180</v>
      </c>
      <c r="I14" s="180">
        <f>150+30</f>
        <v>180</v>
      </c>
      <c r="J14" s="180">
        <v>0</v>
      </c>
      <c r="K14" s="180">
        <v>0</v>
      </c>
      <c r="L14" s="362"/>
      <c r="M14" s="23"/>
      <c r="P14" s="25"/>
    </row>
    <row r="15" spans="1:17" ht="31.5" customHeight="1" x14ac:dyDescent="0.3">
      <c r="A15" s="450"/>
      <c r="B15" s="481"/>
      <c r="C15" s="433" t="s">
        <v>234</v>
      </c>
      <c r="D15" s="434" t="s">
        <v>358</v>
      </c>
      <c r="E15" s="435"/>
      <c r="F15" s="435"/>
      <c r="G15" s="436"/>
      <c r="H15" s="179">
        <f>H16+H17</f>
        <v>1672.5</v>
      </c>
      <c r="I15" s="179">
        <f>I16+I17</f>
        <v>1672.5</v>
      </c>
      <c r="J15" s="179">
        <f>J16+J17</f>
        <v>0</v>
      </c>
      <c r="K15" s="179">
        <f>K16+K17</f>
        <v>0</v>
      </c>
      <c r="L15" s="362"/>
      <c r="M15" s="23"/>
      <c r="P15" s="25"/>
    </row>
    <row r="16" spans="1:17" ht="55.5" x14ac:dyDescent="0.3">
      <c r="A16" s="450"/>
      <c r="B16" s="481"/>
      <c r="C16" s="433"/>
      <c r="D16" s="46" t="s">
        <v>37</v>
      </c>
      <c r="E16" s="95" t="s">
        <v>84</v>
      </c>
      <c r="F16" s="360" t="s">
        <v>227</v>
      </c>
      <c r="G16" s="360" t="s">
        <v>51</v>
      </c>
      <c r="H16" s="179">
        <f>I16+J16+K16</f>
        <v>919</v>
      </c>
      <c r="I16" s="180">
        <v>919</v>
      </c>
      <c r="J16" s="180">
        <v>0</v>
      </c>
      <c r="K16" s="180">
        <v>0</v>
      </c>
      <c r="L16" s="362"/>
      <c r="M16" s="23"/>
      <c r="P16" s="25"/>
    </row>
    <row r="17" spans="1:17" ht="55.5" x14ac:dyDescent="0.3">
      <c r="A17" s="450"/>
      <c r="B17" s="481"/>
      <c r="C17" s="433"/>
      <c r="D17" s="46" t="s">
        <v>37</v>
      </c>
      <c r="E17" s="95" t="s">
        <v>85</v>
      </c>
      <c r="F17" s="360"/>
      <c r="G17" s="360"/>
      <c r="H17" s="179">
        <f>I17+J17+K17</f>
        <v>753.5</v>
      </c>
      <c r="I17" s="180">
        <v>753.5</v>
      </c>
      <c r="J17" s="180">
        <v>0</v>
      </c>
      <c r="K17" s="180">
        <v>0</v>
      </c>
      <c r="L17" s="364"/>
      <c r="M17" s="23"/>
      <c r="P17" s="25"/>
    </row>
    <row r="18" spans="1:17" ht="30" customHeight="1" x14ac:dyDescent="0.3">
      <c r="A18" s="450"/>
      <c r="B18" s="481"/>
      <c r="C18" s="433" t="s">
        <v>235</v>
      </c>
      <c r="D18" s="434" t="s">
        <v>359</v>
      </c>
      <c r="E18" s="435"/>
      <c r="F18" s="435"/>
      <c r="G18" s="436"/>
      <c r="H18" s="187">
        <f>H19+H20</f>
        <v>3424.8230208</v>
      </c>
      <c r="I18" s="187">
        <f>I19+I20</f>
        <v>1081.8</v>
      </c>
      <c r="J18" s="187">
        <f>J19+J20</f>
        <v>1142.3807999999999</v>
      </c>
      <c r="K18" s="187">
        <f>K19+K20</f>
        <v>1200.6422207999999</v>
      </c>
      <c r="L18" s="374" t="s">
        <v>48</v>
      </c>
    </row>
    <row r="19" spans="1:17" ht="59.25" customHeight="1" x14ac:dyDescent="0.3">
      <c r="A19" s="450"/>
      <c r="B19" s="481"/>
      <c r="C19" s="433"/>
      <c r="D19" s="46" t="s">
        <v>34</v>
      </c>
      <c r="E19" s="95" t="s">
        <v>84</v>
      </c>
      <c r="F19" s="360" t="s">
        <v>227</v>
      </c>
      <c r="G19" s="360" t="s">
        <v>51</v>
      </c>
      <c r="H19" s="179">
        <f>I19+J19+K19</f>
        <v>1684.235392</v>
      </c>
      <c r="I19" s="180">
        <v>532</v>
      </c>
      <c r="J19" s="180">
        <f>I19*1.056</f>
        <v>561.79200000000003</v>
      </c>
      <c r="K19" s="180">
        <f>J19*1.051</f>
        <v>590.44339200000002</v>
      </c>
      <c r="L19" s="374"/>
    </row>
    <row r="20" spans="1:17" ht="63.75" customHeight="1" x14ac:dyDescent="0.3">
      <c r="A20" s="450"/>
      <c r="B20" s="481"/>
      <c r="C20" s="433"/>
      <c r="D20" s="46" t="s">
        <v>34</v>
      </c>
      <c r="E20" s="106" t="s">
        <v>85</v>
      </c>
      <c r="F20" s="360"/>
      <c r="G20" s="360"/>
      <c r="H20" s="179">
        <f>I20+J20+K20</f>
        <v>1740.5876287999999</v>
      </c>
      <c r="I20" s="180">
        <v>549.79999999999995</v>
      </c>
      <c r="J20" s="180">
        <f>I20*1.056</f>
        <v>580.58879999999999</v>
      </c>
      <c r="K20" s="180">
        <f>J20*1.051</f>
        <v>610.1988288</v>
      </c>
      <c r="L20" s="374"/>
    </row>
    <row r="21" spans="1:17" s="32" customFormat="1" ht="27" customHeight="1" x14ac:dyDescent="0.2">
      <c r="A21" s="437"/>
      <c r="B21" s="438"/>
      <c r="C21" s="438"/>
      <c r="D21" s="438"/>
      <c r="E21" s="441" t="s">
        <v>284</v>
      </c>
      <c r="F21" s="442"/>
      <c r="G21" s="443"/>
      <c r="H21" s="187">
        <f>H12+H15+H18</f>
        <v>5337.3230208000004</v>
      </c>
      <c r="I21" s="187">
        <f t="shared" ref="I21:K21" si="0">I12+I15+I18</f>
        <v>2994.3</v>
      </c>
      <c r="J21" s="187">
        <f t="shared" si="0"/>
        <v>1142.3807999999999</v>
      </c>
      <c r="K21" s="187">
        <f t="shared" si="0"/>
        <v>1200.6422207999999</v>
      </c>
      <c r="L21" s="431"/>
      <c r="P21" s="25"/>
      <c r="Q21" s="33"/>
    </row>
    <row r="22" spans="1:17" s="32" customFormat="1" ht="56.25" customHeight="1" x14ac:dyDescent="0.2">
      <c r="A22" s="439"/>
      <c r="B22" s="440"/>
      <c r="C22" s="440"/>
      <c r="D22" s="440"/>
      <c r="E22" s="95" t="s">
        <v>84</v>
      </c>
      <c r="F22" s="444"/>
      <c r="G22" s="400" t="s">
        <v>51</v>
      </c>
      <c r="H22" s="187">
        <f>H13+H16+H19</f>
        <v>2663.235392</v>
      </c>
      <c r="I22" s="187">
        <f t="shared" ref="I22:K22" si="1">I13+I16+I19</f>
        <v>1511</v>
      </c>
      <c r="J22" s="187">
        <f t="shared" si="1"/>
        <v>561.79200000000003</v>
      </c>
      <c r="K22" s="187">
        <f t="shared" si="1"/>
        <v>590.44339200000002</v>
      </c>
      <c r="L22" s="432"/>
      <c r="P22" s="25"/>
      <c r="Q22" s="33"/>
    </row>
    <row r="23" spans="1:17" s="32" customFormat="1" ht="56.25" customHeight="1" x14ac:dyDescent="0.2">
      <c r="A23" s="439"/>
      <c r="B23" s="440"/>
      <c r="C23" s="440"/>
      <c r="D23" s="440"/>
      <c r="E23" s="107" t="s">
        <v>85</v>
      </c>
      <c r="F23" s="445"/>
      <c r="G23" s="401"/>
      <c r="H23" s="197">
        <f>H14+H17+H20</f>
        <v>2674.0876287999999</v>
      </c>
      <c r="I23" s="197">
        <f t="shared" ref="I23:K23" si="2">I14+I17+I20</f>
        <v>1483.3</v>
      </c>
      <c r="J23" s="197">
        <f t="shared" si="2"/>
        <v>580.58879999999999</v>
      </c>
      <c r="K23" s="197">
        <f t="shared" si="2"/>
        <v>610.1988288</v>
      </c>
      <c r="L23" s="432"/>
      <c r="P23" s="25"/>
      <c r="Q23" s="33"/>
    </row>
    <row r="24" spans="1:17" s="32" customFormat="1" ht="25.5" customHeight="1" x14ac:dyDescent="0.2">
      <c r="A24" s="446" t="s">
        <v>238</v>
      </c>
      <c r="B24" s="428" t="s">
        <v>226</v>
      </c>
      <c r="C24" s="374" t="s">
        <v>236</v>
      </c>
      <c r="D24" s="434" t="s">
        <v>351</v>
      </c>
      <c r="E24" s="435"/>
      <c r="F24" s="435"/>
      <c r="G24" s="436"/>
      <c r="H24" s="187">
        <f>H25+H30+H31+H32</f>
        <v>78296.83</v>
      </c>
      <c r="I24" s="187">
        <f t="shared" ref="I24:K24" si="3">I25+I30+I31+I32</f>
        <v>78296.83</v>
      </c>
      <c r="J24" s="187">
        <f t="shared" si="3"/>
        <v>0</v>
      </c>
      <c r="K24" s="187">
        <f t="shared" si="3"/>
        <v>0</v>
      </c>
      <c r="L24" s="374" t="s">
        <v>352</v>
      </c>
      <c r="P24" s="25"/>
      <c r="Q24" s="33"/>
    </row>
    <row r="25" spans="1:17" s="32" customFormat="1" ht="29.25" customHeight="1" x14ac:dyDescent="0.2">
      <c r="A25" s="446"/>
      <c r="B25" s="429"/>
      <c r="C25" s="452"/>
      <c r="D25" s="140" t="s">
        <v>102</v>
      </c>
      <c r="E25" s="141"/>
      <c r="F25" s="141"/>
      <c r="G25" s="142"/>
      <c r="H25" s="187">
        <f>SUM(H26:H29)</f>
        <v>32732.329999999998</v>
      </c>
      <c r="I25" s="187">
        <f t="shared" ref="I25:K25" si="4">SUM(I26:I29)</f>
        <v>32732.329999999998</v>
      </c>
      <c r="J25" s="187">
        <f t="shared" si="4"/>
        <v>0</v>
      </c>
      <c r="K25" s="187">
        <f t="shared" si="4"/>
        <v>0</v>
      </c>
      <c r="L25" s="374"/>
      <c r="P25" s="25"/>
      <c r="Q25" s="33"/>
    </row>
    <row r="26" spans="1:17" s="32" customFormat="1" ht="55.5" x14ac:dyDescent="0.2">
      <c r="A26" s="446"/>
      <c r="B26" s="429"/>
      <c r="C26" s="452"/>
      <c r="D26" s="46" t="s">
        <v>30</v>
      </c>
      <c r="E26" s="95" t="s">
        <v>86</v>
      </c>
      <c r="F26" s="427" t="s">
        <v>227</v>
      </c>
      <c r="G26" s="360" t="s">
        <v>51</v>
      </c>
      <c r="H26" s="180">
        <f t="shared" ref="H26:H31" si="5">I26+J26+K26</f>
        <v>8651.9</v>
      </c>
      <c r="I26" s="180">
        <f>8727.9-76</f>
        <v>8651.9</v>
      </c>
      <c r="J26" s="180">
        <v>0</v>
      </c>
      <c r="K26" s="180">
        <v>0</v>
      </c>
      <c r="L26" s="374"/>
      <c r="P26" s="25"/>
      <c r="Q26" s="33"/>
    </row>
    <row r="27" spans="1:17" s="32" customFormat="1" x14ac:dyDescent="0.2">
      <c r="A27" s="446"/>
      <c r="B27" s="429"/>
      <c r="C27" s="452"/>
      <c r="D27" s="46" t="s">
        <v>30</v>
      </c>
      <c r="E27" s="95" t="s">
        <v>80</v>
      </c>
      <c r="F27" s="448"/>
      <c r="G27" s="465"/>
      <c r="H27" s="180">
        <f t="shared" si="5"/>
        <v>5517.2</v>
      </c>
      <c r="I27" s="180">
        <f>4909.4+500-200+307.8</f>
        <v>5517.2</v>
      </c>
      <c r="J27" s="180">
        <v>0</v>
      </c>
      <c r="K27" s="180">
        <v>0</v>
      </c>
      <c r="L27" s="374"/>
      <c r="P27" s="25"/>
      <c r="Q27" s="33"/>
    </row>
    <row r="28" spans="1:17" s="32" customFormat="1" ht="27.75" customHeight="1" x14ac:dyDescent="0.2">
      <c r="A28" s="446"/>
      <c r="B28" s="429"/>
      <c r="C28" s="452"/>
      <c r="D28" s="46" t="s">
        <v>30</v>
      </c>
      <c r="E28" s="95" t="s">
        <v>81</v>
      </c>
      <c r="F28" s="448"/>
      <c r="G28" s="465"/>
      <c r="H28" s="180">
        <f t="shared" si="5"/>
        <v>7919.8</v>
      </c>
      <c r="I28" s="180">
        <f>7961.3-41.5</f>
        <v>7919.8</v>
      </c>
      <c r="J28" s="180">
        <v>0</v>
      </c>
      <c r="K28" s="180">
        <v>0</v>
      </c>
      <c r="L28" s="374"/>
      <c r="P28" s="25"/>
      <c r="Q28" s="33"/>
    </row>
    <row r="29" spans="1:17" s="32" customFormat="1" ht="55.5" customHeight="1" x14ac:dyDescent="0.2">
      <c r="A29" s="446"/>
      <c r="B29" s="429"/>
      <c r="C29" s="452"/>
      <c r="D29" s="46" t="s">
        <v>30</v>
      </c>
      <c r="E29" s="95" t="s">
        <v>79</v>
      </c>
      <c r="F29" s="448"/>
      <c r="G29" s="465"/>
      <c r="H29" s="180">
        <f t="shared" si="5"/>
        <v>10643.43</v>
      </c>
      <c r="I29" s="180">
        <f>9945.4+199-214.67+713.7</f>
        <v>10643.43</v>
      </c>
      <c r="J29" s="180">
        <v>0</v>
      </c>
      <c r="K29" s="180">
        <v>0</v>
      </c>
      <c r="L29" s="374"/>
      <c r="P29" s="25"/>
      <c r="Q29" s="33"/>
    </row>
    <row r="30" spans="1:17" s="32" customFormat="1" ht="195" customHeight="1" x14ac:dyDescent="0.2">
      <c r="A30" s="446"/>
      <c r="B30" s="429"/>
      <c r="C30" s="452"/>
      <c r="D30" s="46" t="s">
        <v>30</v>
      </c>
      <c r="E30" s="168" t="s">
        <v>86</v>
      </c>
      <c r="F30" s="448"/>
      <c r="G30" s="86" t="s">
        <v>103</v>
      </c>
      <c r="H30" s="179">
        <f>I30+J30+K30</f>
        <v>144.6</v>
      </c>
      <c r="I30" s="179">
        <v>144.6</v>
      </c>
      <c r="J30" s="179">
        <v>0</v>
      </c>
      <c r="K30" s="179">
        <v>0</v>
      </c>
      <c r="L30" s="374"/>
      <c r="P30" s="25"/>
      <c r="Q30" s="33"/>
    </row>
    <row r="31" spans="1:17" s="32" customFormat="1" ht="82.5" customHeight="1" x14ac:dyDescent="0.2">
      <c r="A31" s="446"/>
      <c r="B31" s="429"/>
      <c r="C31" s="452"/>
      <c r="D31" s="46" t="s">
        <v>30</v>
      </c>
      <c r="E31" s="95" t="s">
        <v>86</v>
      </c>
      <c r="F31" s="448"/>
      <c r="G31" s="131" t="s">
        <v>349</v>
      </c>
      <c r="H31" s="179">
        <f t="shared" si="5"/>
        <v>60</v>
      </c>
      <c r="I31" s="179">
        <v>60</v>
      </c>
      <c r="J31" s="179">
        <v>0</v>
      </c>
      <c r="K31" s="179">
        <v>0</v>
      </c>
      <c r="L31" s="374"/>
      <c r="P31" s="25"/>
      <c r="Q31" s="33"/>
    </row>
    <row r="32" spans="1:17" s="32" customFormat="1" ht="32.25" customHeight="1" x14ac:dyDescent="0.2">
      <c r="A32" s="446"/>
      <c r="B32" s="429"/>
      <c r="C32" s="452"/>
      <c r="D32" s="523" t="s">
        <v>102</v>
      </c>
      <c r="E32" s="524"/>
      <c r="F32" s="448"/>
      <c r="G32" s="552" t="s">
        <v>100</v>
      </c>
      <c r="H32" s="179">
        <f>SUM(H33:H36)</f>
        <v>45359.9</v>
      </c>
      <c r="I32" s="179">
        <f t="shared" ref="I32:K32" si="6">SUM(I33:I36)</f>
        <v>45359.9</v>
      </c>
      <c r="J32" s="179">
        <f t="shared" si="6"/>
        <v>0</v>
      </c>
      <c r="K32" s="179">
        <f t="shared" si="6"/>
        <v>0</v>
      </c>
      <c r="L32" s="374"/>
      <c r="P32" s="25"/>
      <c r="Q32" s="33"/>
    </row>
    <row r="33" spans="1:17" s="32" customFormat="1" ht="55.5" x14ac:dyDescent="0.2">
      <c r="A33" s="446"/>
      <c r="B33" s="429"/>
      <c r="C33" s="452"/>
      <c r="D33" s="46" t="s">
        <v>30</v>
      </c>
      <c r="E33" s="95" t="s">
        <v>86</v>
      </c>
      <c r="F33" s="448"/>
      <c r="G33" s="465"/>
      <c r="H33" s="180">
        <f>I33+J33+K33</f>
        <v>12485.6</v>
      </c>
      <c r="I33" s="180">
        <v>12485.6</v>
      </c>
      <c r="J33" s="180">
        <v>0</v>
      </c>
      <c r="K33" s="180">
        <v>0</v>
      </c>
      <c r="L33" s="374"/>
      <c r="P33" s="25"/>
      <c r="Q33" s="33"/>
    </row>
    <row r="34" spans="1:17" s="32" customFormat="1" ht="26.25" customHeight="1" x14ac:dyDescent="0.2">
      <c r="A34" s="446"/>
      <c r="B34" s="429"/>
      <c r="C34" s="452"/>
      <c r="D34" s="46" t="s">
        <v>30</v>
      </c>
      <c r="E34" s="95" t="s">
        <v>80</v>
      </c>
      <c r="F34" s="448"/>
      <c r="G34" s="465"/>
      <c r="H34" s="180">
        <f>I34+J34+K34</f>
        <v>8160.1</v>
      </c>
      <c r="I34" s="180">
        <v>8160.1</v>
      </c>
      <c r="J34" s="180">
        <v>0</v>
      </c>
      <c r="K34" s="180">
        <v>0</v>
      </c>
      <c r="L34" s="374"/>
      <c r="P34" s="25"/>
      <c r="Q34" s="33"/>
    </row>
    <row r="35" spans="1:17" s="32" customFormat="1" ht="26.25" customHeight="1" x14ac:dyDescent="0.2">
      <c r="A35" s="446"/>
      <c r="B35" s="429"/>
      <c r="C35" s="452"/>
      <c r="D35" s="46" t="s">
        <v>30</v>
      </c>
      <c r="E35" s="95" t="s">
        <v>81</v>
      </c>
      <c r="F35" s="448"/>
      <c r="G35" s="465"/>
      <c r="H35" s="180">
        <f>I35+J35+K35</f>
        <v>12866.2</v>
      </c>
      <c r="I35" s="180">
        <v>12866.2</v>
      </c>
      <c r="J35" s="180">
        <v>0</v>
      </c>
      <c r="K35" s="180">
        <v>0</v>
      </c>
      <c r="L35" s="374"/>
      <c r="P35" s="25"/>
      <c r="Q35" s="33"/>
    </row>
    <row r="36" spans="1:17" s="32" customFormat="1" ht="63.75" customHeight="1" x14ac:dyDescent="0.2">
      <c r="A36" s="446"/>
      <c r="B36" s="429"/>
      <c r="C36" s="452"/>
      <c r="D36" s="46" t="s">
        <v>30</v>
      </c>
      <c r="E36" s="95" t="s">
        <v>79</v>
      </c>
      <c r="F36" s="448"/>
      <c r="G36" s="465"/>
      <c r="H36" s="180">
        <f>I36+J36+K36</f>
        <v>11848</v>
      </c>
      <c r="I36" s="180">
        <v>11848</v>
      </c>
      <c r="J36" s="180">
        <v>0</v>
      </c>
      <c r="K36" s="180">
        <v>0</v>
      </c>
      <c r="L36" s="374"/>
      <c r="P36" s="25"/>
      <c r="Q36" s="33"/>
    </row>
    <row r="37" spans="1:17" s="43" customFormat="1" ht="33.75" customHeight="1" x14ac:dyDescent="0.25">
      <c r="A37" s="446"/>
      <c r="B37" s="429"/>
      <c r="C37" s="447" t="s">
        <v>239</v>
      </c>
      <c r="D37" s="434" t="s">
        <v>360</v>
      </c>
      <c r="E37" s="435"/>
      <c r="F37" s="435"/>
      <c r="G37" s="436"/>
      <c r="H37" s="179">
        <f>SUM(H38:H41)</f>
        <v>19074.8</v>
      </c>
      <c r="I37" s="179">
        <f t="shared" ref="I37:K37" si="7">SUM(I38:I41)</f>
        <v>19074.8</v>
      </c>
      <c r="J37" s="179">
        <f t="shared" si="7"/>
        <v>0</v>
      </c>
      <c r="K37" s="179">
        <f t="shared" si="7"/>
        <v>0</v>
      </c>
      <c r="L37" s="374" t="s">
        <v>277</v>
      </c>
      <c r="P37" s="44"/>
      <c r="Q37" s="45"/>
    </row>
    <row r="38" spans="1:17" ht="56.25" customHeight="1" x14ac:dyDescent="0.3">
      <c r="A38" s="446"/>
      <c r="B38" s="429"/>
      <c r="C38" s="447"/>
      <c r="D38" s="46" t="s">
        <v>30</v>
      </c>
      <c r="E38" s="95" t="s">
        <v>86</v>
      </c>
      <c r="F38" s="360" t="s">
        <v>227</v>
      </c>
      <c r="G38" s="360" t="s">
        <v>51</v>
      </c>
      <c r="H38" s="180">
        <f t="shared" ref="H38:H50" si="8">I38+J38+K38</f>
        <v>3629.9</v>
      </c>
      <c r="I38" s="180">
        <v>3629.9</v>
      </c>
      <c r="J38" s="180">
        <v>0</v>
      </c>
      <c r="K38" s="180">
        <v>0</v>
      </c>
      <c r="L38" s="374"/>
      <c r="M38" s="23"/>
      <c r="P38" s="25"/>
    </row>
    <row r="39" spans="1:17" x14ac:dyDescent="0.3">
      <c r="A39" s="446"/>
      <c r="B39" s="429"/>
      <c r="C39" s="447"/>
      <c r="D39" s="46" t="s">
        <v>30</v>
      </c>
      <c r="E39" s="95" t="s">
        <v>80</v>
      </c>
      <c r="F39" s="448"/>
      <c r="G39" s="465"/>
      <c r="H39" s="180">
        <f t="shared" si="8"/>
        <v>4524.8999999999996</v>
      </c>
      <c r="I39" s="180">
        <v>4524.8999999999996</v>
      </c>
      <c r="J39" s="180">
        <v>0</v>
      </c>
      <c r="K39" s="180">
        <v>0</v>
      </c>
      <c r="L39" s="374"/>
      <c r="M39" s="23"/>
      <c r="P39" s="25"/>
    </row>
    <row r="40" spans="1:17" s="32" customFormat="1" ht="30" customHeight="1" x14ac:dyDescent="0.2">
      <c r="A40" s="446"/>
      <c r="B40" s="429"/>
      <c r="C40" s="447"/>
      <c r="D40" s="46" t="s">
        <v>30</v>
      </c>
      <c r="E40" s="95" t="s">
        <v>81</v>
      </c>
      <c r="F40" s="448"/>
      <c r="G40" s="465"/>
      <c r="H40" s="180">
        <f t="shared" si="8"/>
        <v>5671.7</v>
      </c>
      <c r="I40" s="180">
        <v>5671.7</v>
      </c>
      <c r="J40" s="180">
        <v>0</v>
      </c>
      <c r="K40" s="180">
        <v>0</v>
      </c>
      <c r="L40" s="374"/>
      <c r="P40" s="25"/>
      <c r="Q40" s="33"/>
    </row>
    <row r="41" spans="1:17" s="32" customFormat="1" ht="55.5" x14ac:dyDescent="0.2">
      <c r="A41" s="446"/>
      <c r="B41" s="429"/>
      <c r="C41" s="447"/>
      <c r="D41" s="46" t="s">
        <v>30</v>
      </c>
      <c r="E41" s="95" t="s">
        <v>79</v>
      </c>
      <c r="F41" s="448"/>
      <c r="G41" s="465"/>
      <c r="H41" s="180">
        <f t="shared" si="8"/>
        <v>5248.3</v>
      </c>
      <c r="I41" s="180">
        <v>5248.3</v>
      </c>
      <c r="J41" s="180">
        <v>0</v>
      </c>
      <c r="K41" s="180">
        <v>0</v>
      </c>
      <c r="L41" s="374"/>
      <c r="P41" s="25"/>
      <c r="Q41" s="33"/>
    </row>
    <row r="42" spans="1:17" s="32" customFormat="1" ht="28.5" customHeight="1" x14ac:dyDescent="0.2">
      <c r="A42" s="446"/>
      <c r="B42" s="429"/>
      <c r="C42" s="375" t="s">
        <v>285</v>
      </c>
      <c r="D42" s="434" t="s">
        <v>361</v>
      </c>
      <c r="E42" s="435"/>
      <c r="F42" s="435"/>
      <c r="G42" s="436"/>
      <c r="H42" s="179">
        <f>SUM(H43:H47)</f>
        <v>16586.303484800002</v>
      </c>
      <c r="I42" s="179">
        <f>SUM(I43:I47)</f>
        <v>5240.8999999999996</v>
      </c>
      <c r="J42" s="179">
        <f t="shared" ref="J42:K42" si="9">SUM(J43:J47)</f>
        <v>5531.6448000000009</v>
      </c>
      <c r="K42" s="179">
        <f t="shared" si="9"/>
        <v>5813.7586848000001</v>
      </c>
      <c r="L42" s="361" t="s">
        <v>278</v>
      </c>
      <c r="P42" s="25"/>
      <c r="Q42" s="33"/>
    </row>
    <row r="43" spans="1:17" ht="49.5" customHeight="1" x14ac:dyDescent="0.3">
      <c r="A43" s="446"/>
      <c r="B43" s="429"/>
      <c r="C43" s="375"/>
      <c r="D43" s="537" t="s">
        <v>30</v>
      </c>
      <c r="E43" s="374" t="s">
        <v>86</v>
      </c>
      <c r="F43" s="427" t="s">
        <v>227</v>
      </c>
      <c r="G43" s="86" t="s">
        <v>51</v>
      </c>
      <c r="H43" s="179">
        <f>I43+J43+K43</f>
        <v>3357.3902880000001</v>
      </c>
      <c r="I43" s="180">
        <f>1060.5</f>
        <v>1060.5</v>
      </c>
      <c r="J43" s="180">
        <f>I43*1.056</f>
        <v>1119.8880000000001</v>
      </c>
      <c r="K43" s="180">
        <f>J43*1.051</f>
        <v>1177.0022880000001</v>
      </c>
      <c r="L43" s="362"/>
      <c r="M43" s="23"/>
      <c r="P43" s="25"/>
    </row>
    <row r="44" spans="1:17" ht="205.5" customHeight="1" x14ac:dyDescent="0.3">
      <c r="A44" s="446"/>
      <c r="B44" s="429"/>
      <c r="C44" s="375"/>
      <c r="D44" s="537"/>
      <c r="E44" s="374"/>
      <c r="F44" s="427"/>
      <c r="G44" s="86" t="s">
        <v>103</v>
      </c>
      <c r="H44" s="179">
        <f t="shared" si="8"/>
        <v>2.6</v>
      </c>
      <c r="I44" s="180">
        <v>2.6</v>
      </c>
      <c r="J44" s="180">
        <v>0</v>
      </c>
      <c r="K44" s="180">
        <v>0</v>
      </c>
      <c r="L44" s="362"/>
      <c r="M44" s="23"/>
      <c r="P44" s="25"/>
    </row>
    <row r="45" spans="1:17" s="32" customFormat="1" ht="26.25" customHeight="1" x14ac:dyDescent="0.2">
      <c r="A45" s="446"/>
      <c r="B45" s="429"/>
      <c r="C45" s="375"/>
      <c r="D45" s="46" t="s">
        <v>30</v>
      </c>
      <c r="E45" s="95" t="s">
        <v>80</v>
      </c>
      <c r="F45" s="427"/>
      <c r="G45" s="360" t="s">
        <v>51</v>
      </c>
      <c r="H45" s="179">
        <f>I45+J45+K45</f>
        <v>2112.5757088</v>
      </c>
      <c r="I45" s="180">
        <v>667.3</v>
      </c>
      <c r="J45" s="180">
        <f t="shared" ref="J45:J50" si="10">I45*1.056</f>
        <v>704.66880000000003</v>
      </c>
      <c r="K45" s="180">
        <f t="shared" ref="K45:K50" si="11">J45*1.051</f>
        <v>740.60690880000004</v>
      </c>
      <c r="L45" s="362"/>
      <c r="P45" s="25"/>
      <c r="Q45" s="33"/>
    </row>
    <row r="46" spans="1:17" s="32" customFormat="1" ht="26.25" customHeight="1" x14ac:dyDescent="0.2">
      <c r="A46" s="446"/>
      <c r="B46" s="429"/>
      <c r="C46" s="375"/>
      <c r="D46" s="46" t="s">
        <v>30</v>
      </c>
      <c r="E46" s="95" t="s">
        <v>81</v>
      </c>
      <c r="F46" s="427"/>
      <c r="G46" s="360"/>
      <c r="H46" s="179">
        <f t="shared" si="8"/>
        <v>3621.7392640000003</v>
      </c>
      <c r="I46" s="180">
        <v>1144</v>
      </c>
      <c r="J46" s="180">
        <f t="shared" si="10"/>
        <v>1208.0640000000001</v>
      </c>
      <c r="K46" s="180">
        <f t="shared" si="11"/>
        <v>1269.675264</v>
      </c>
      <c r="L46" s="362"/>
      <c r="P46" s="25"/>
      <c r="Q46" s="33"/>
    </row>
    <row r="47" spans="1:17" s="32" customFormat="1" ht="57" customHeight="1" x14ac:dyDescent="0.2">
      <c r="A47" s="446"/>
      <c r="B47" s="429"/>
      <c r="C47" s="375"/>
      <c r="D47" s="46" t="s">
        <v>30</v>
      </c>
      <c r="E47" s="95" t="s">
        <v>79</v>
      </c>
      <c r="F47" s="427"/>
      <c r="G47" s="360"/>
      <c r="H47" s="179">
        <f t="shared" si="8"/>
        <v>7491.9982240000008</v>
      </c>
      <c r="I47" s="180">
        <f>3166.7-420-380.2</f>
        <v>2366.5</v>
      </c>
      <c r="J47" s="180">
        <f t="shared" si="10"/>
        <v>2499.0240000000003</v>
      </c>
      <c r="K47" s="180">
        <f t="shared" si="11"/>
        <v>2626.474224</v>
      </c>
      <c r="L47" s="364"/>
      <c r="P47" s="25"/>
      <c r="Q47" s="33"/>
    </row>
    <row r="48" spans="1:17" ht="118.5" customHeight="1" x14ac:dyDescent="0.3">
      <c r="A48" s="446"/>
      <c r="B48" s="429"/>
      <c r="C48" s="95" t="s">
        <v>279</v>
      </c>
      <c r="D48" s="71" t="s">
        <v>30</v>
      </c>
      <c r="E48" s="95" t="s">
        <v>86</v>
      </c>
      <c r="F48" s="72" t="s">
        <v>227</v>
      </c>
      <c r="G48" s="86" t="s">
        <v>51</v>
      </c>
      <c r="H48" s="179">
        <f t="shared" si="8"/>
        <v>2184.4406399999998</v>
      </c>
      <c r="I48" s="180">
        <v>690</v>
      </c>
      <c r="J48" s="180">
        <f t="shared" si="10"/>
        <v>728.64</v>
      </c>
      <c r="K48" s="180">
        <f t="shared" si="11"/>
        <v>765.80063999999993</v>
      </c>
      <c r="L48" s="173" t="s">
        <v>62</v>
      </c>
      <c r="M48" s="23"/>
      <c r="P48" s="25"/>
      <c r="Q48" s="26"/>
    </row>
    <row r="49" spans="1:17" ht="313.5" customHeight="1" x14ac:dyDescent="0.3">
      <c r="A49" s="446"/>
      <c r="B49" s="429"/>
      <c r="C49" s="95" t="s">
        <v>354</v>
      </c>
      <c r="D49" s="71" t="s">
        <v>30</v>
      </c>
      <c r="E49" s="95" t="s">
        <v>86</v>
      </c>
      <c r="F49" s="72" t="s">
        <v>227</v>
      </c>
      <c r="G49" s="86" t="s">
        <v>51</v>
      </c>
      <c r="H49" s="179">
        <f t="shared" si="8"/>
        <v>3799.0271999999995</v>
      </c>
      <c r="I49" s="180">
        <v>1200</v>
      </c>
      <c r="J49" s="180">
        <f t="shared" si="10"/>
        <v>1267.2</v>
      </c>
      <c r="K49" s="180">
        <f t="shared" si="11"/>
        <v>1331.8271999999999</v>
      </c>
      <c r="L49" s="173" t="s">
        <v>63</v>
      </c>
      <c r="M49" s="23"/>
      <c r="P49" s="25"/>
      <c r="Q49" s="26"/>
    </row>
    <row r="50" spans="1:17" ht="152.25" customHeight="1" x14ac:dyDescent="0.3">
      <c r="A50" s="446"/>
      <c r="B50" s="429"/>
      <c r="C50" s="95" t="s">
        <v>355</v>
      </c>
      <c r="D50" s="71" t="s">
        <v>30</v>
      </c>
      <c r="E50" s="95" t="s">
        <v>86</v>
      </c>
      <c r="F50" s="72" t="s">
        <v>227</v>
      </c>
      <c r="G50" s="86" t="s">
        <v>51</v>
      </c>
      <c r="H50" s="179">
        <f t="shared" si="8"/>
        <v>3165.8559999999998</v>
      </c>
      <c r="I50" s="180">
        <v>1000</v>
      </c>
      <c r="J50" s="180">
        <f t="shared" si="10"/>
        <v>1056</v>
      </c>
      <c r="K50" s="180">
        <f t="shared" si="11"/>
        <v>1109.856</v>
      </c>
      <c r="L50" s="173" t="s">
        <v>65</v>
      </c>
      <c r="M50" s="23"/>
      <c r="P50" s="25"/>
      <c r="Q50" s="26"/>
    </row>
    <row r="51" spans="1:17" ht="26.25" customHeight="1" x14ac:dyDescent="0.3">
      <c r="A51" s="446"/>
      <c r="B51" s="429"/>
      <c r="C51" s="375" t="s">
        <v>362</v>
      </c>
      <c r="D51" s="363" t="s">
        <v>363</v>
      </c>
      <c r="E51" s="363"/>
      <c r="F51" s="363"/>
      <c r="G51" s="363"/>
      <c r="H51" s="179">
        <f>H52+H53</f>
        <v>3883</v>
      </c>
      <c r="I51" s="179">
        <f>I52+I53</f>
        <v>3883</v>
      </c>
      <c r="J51" s="179">
        <f>J52+J53</f>
        <v>0</v>
      </c>
      <c r="K51" s="179">
        <f>K52+K53</f>
        <v>0</v>
      </c>
      <c r="L51" s="168"/>
      <c r="M51" s="23"/>
      <c r="P51" s="25"/>
      <c r="Q51" s="26"/>
    </row>
    <row r="52" spans="1:17" ht="184.5" customHeight="1" x14ac:dyDescent="0.3">
      <c r="A52" s="446"/>
      <c r="B52" s="429"/>
      <c r="C52" s="375"/>
      <c r="D52" s="403" t="s">
        <v>30</v>
      </c>
      <c r="E52" s="362" t="s">
        <v>81</v>
      </c>
      <c r="F52" s="372" t="s">
        <v>227</v>
      </c>
      <c r="G52" s="89" t="s">
        <v>103</v>
      </c>
      <c r="H52" s="179">
        <f>I52+J52+K52</f>
        <v>2680.3</v>
      </c>
      <c r="I52" s="180">
        <v>2680.3</v>
      </c>
      <c r="J52" s="180">
        <v>0</v>
      </c>
      <c r="K52" s="180">
        <v>0</v>
      </c>
      <c r="L52" s="375" t="s">
        <v>368</v>
      </c>
      <c r="M52" s="23"/>
      <c r="P52" s="25"/>
      <c r="Q52" s="26"/>
    </row>
    <row r="53" spans="1:17" ht="48" customHeight="1" x14ac:dyDescent="0.3">
      <c r="A53" s="446"/>
      <c r="B53" s="429"/>
      <c r="C53" s="375"/>
      <c r="D53" s="404"/>
      <c r="E53" s="364"/>
      <c r="F53" s="373"/>
      <c r="G53" s="86" t="s">
        <v>51</v>
      </c>
      <c r="H53" s="179">
        <f>I53+J53+K53</f>
        <v>1202.7</v>
      </c>
      <c r="I53" s="180">
        <v>1202.7</v>
      </c>
      <c r="J53" s="180">
        <v>0</v>
      </c>
      <c r="K53" s="180">
        <f>J53*1.051</f>
        <v>0</v>
      </c>
      <c r="L53" s="375"/>
      <c r="M53" s="23"/>
      <c r="P53" s="25"/>
    </row>
    <row r="54" spans="1:17" ht="32.25" customHeight="1" x14ac:dyDescent="0.3">
      <c r="A54" s="446"/>
      <c r="B54" s="429"/>
      <c r="C54" s="380" t="s">
        <v>364</v>
      </c>
      <c r="D54" s="363" t="s">
        <v>365</v>
      </c>
      <c r="E54" s="363"/>
      <c r="F54" s="363"/>
      <c r="G54" s="363"/>
      <c r="H54" s="179">
        <f>H55+H56+H57</f>
        <v>850</v>
      </c>
      <c r="I54" s="179">
        <f>I55+I56+I57</f>
        <v>850</v>
      </c>
      <c r="J54" s="179">
        <f>J55+J56+J57</f>
        <v>0</v>
      </c>
      <c r="K54" s="179">
        <f>K55+K56+K57</f>
        <v>0</v>
      </c>
      <c r="L54" s="374" t="s">
        <v>70</v>
      </c>
      <c r="M54" s="23"/>
      <c r="P54" s="25"/>
    </row>
    <row r="55" spans="1:17" ht="55.5" x14ac:dyDescent="0.3">
      <c r="A55" s="446"/>
      <c r="B55" s="429"/>
      <c r="C55" s="380"/>
      <c r="D55" s="46" t="s">
        <v>30</v>
      </c>
      <c r="E55" s="95" t="s">
        <v>86</v>
      </c>
      <c r="F55" s="405" t="s">
        <v>227</v>
      </c>
      <c r="G55" s="360" t="s">
        <v>57</v>
      </c>
      <c r="H55" s="179">
        <f>I55+J55+K55</f>
        <v>400</v>
      </c>
      <c r="I55" s="180">
        <v>400</v>
      </c>
      <c r="J55" s="180">
        <v>0</v>
      </c>
      <c r="K55" s="180">
        <v>0</v>
      </c>
      <c r="L55" s="541"/>
      <c r="N55" s="31"/>
      <c r="O55" s="31"/>
      <c r="P55" s="31"/>
      <c r="Q55" s="31"/>
    </row>
    <row r="56" spans="1:17" ht="25.5" customHeight="1" x14ac:dyDescent="0.3">
      <c r="A56" s="446"/>
      <c r="B56" s="429"/>
      <c r="C56" s="380"/>
      <c r="D56" s="46" t="s">
        <v>30</v>
      </c>
      <c r="E56" s="95" t="s">
        <v>80</v>
      </c>
      <c r="F56" s="406"/>
      <c r="G56" s="465"/>
      <c r="H56" s="179">
        <f>I56+J56+K56</f>
        <v>150</v>
      </c>
      <c r="I56" s="180">
        <v>150</v>
      </c>
      <c r="J56" s="180">
        <v>0</v>
      </c>
      <c r="K56" s="180">
        <v>0</v>
      </c>
      <c r="L56" s="541"/>
      <c r="M56" s="30"/>
      <c r="N56" s="30"/>
      <c r="O56" s="30"/>
      <c r="P56" s="30"/>
      <c r="Q56" s="31"/>
    </row>
    <row r="57" spans="1:17" ht="63" customHeight="1" x14ac:dyDescent="0.3">
      <c r="A57" s="446"/>
      <c r="B57" s="429"/>
      <c r="C57" s="380"/>
      <c r="D57" s="46" t="s">
        <v>30</v>
      </c>
      <c r="E57" s="95" t="s">
        <v>81</v>
      </c>
      <c r="F57" s="407"/>
      <c r="G57" s="465"/>
      <c r="H57" s="179">
        <f>I57+J57+K57</f>
        <v>300</v>
      </c>
      <c r="I57" s="180">
        <v>300</v>
      </c>
      <c r="J57" s="180">
        <v>0</v>
      </c>
      <c r="K57" s="180">
        <v>0</v>
      </c>
      <c r="L57" s="541"/>
      <c r="M57" s="31"/>
      <c r="N57" s="31"/>
      <c r="O57" s="31"/>
      <c r="P57" s="31"/>
      <c r="Q57" s="31"/>
    </row>
    <row r="58" spans="1:17" s="32" customFormat="1" ht="33.75" customHeight="1" x14ac:dyDescent="0.2">
      <c r="A58" s="446"/>
      <c r="B58" s="429"/>
      <c r="C58" s="380" t="s">
        <v>240</v>
      </c>
      <c r="D58" s="363" t="s">
        <v>366</v>
      </c>
      <c r="E58" s="363"/>
      <c r="F58" s="363"/>
      <c r="G58" s="363"/>
      <c r="H58" s="179">
        <f>SUM(H59:H62)</f>
        <v>4845.9000000000005</v>
      </c>
      <c r="I58" s="179">
        <f>SUM(I59:I62)</f>
        <v>2536.1000000000004</v>
      </c>
      <c r="J58" s="179">
        <f>SUM(J59:J62)</f>
        <v>1621.3</v>
      </c>
      <c r="K58" s="179">
        <f>SUM(K59:K62)</f>
        <v>688.5</v>
      </c>
      <c r="L58" s="374" t="s">
        <v>66</v>
      </c>
      <c r="P58" s="25"/>
      <c r="Q58" s="33"/>
    </row>
    <row r="59" spans="1:17" s="32" customFormat="1" ht="69" customHeight="1" x14ac:dyDescent="0.2">
      <c r="A59" s="446"/>
      <c r="B59" s="429"/>
      <c r="C59" s="380"/>
      <c r="D59" s="46" t="s">
        <v>30</v>
      </c>
      <c r="E59" s="95" t="s">
        <v>86</v>
      </c>
      <c r="F59" s="360" t="s">
        <v>18</v>
      </c>
      <c r="G59" s="360" t="s">
        <v>51</v>
      </c>
      <c r="H59" s="179">
        <f t="shared" ref="H59:H65" si="12">I59+J59+K59</f>
        <v>923.1</v>
      </c>
      <c r="I59" s="180">
        <v>324.10000000000002</v>
      </c>
      <c r="J59" s="180">
        <v>426.9</v>
      </c>
      <c r="K59" s="180">
        <v>172.1</v>
      </c>
      <c r="L59" s="541"/>
      <c r="P59" s="25"/>
      <c r="Q59" s="33"/>
    </row>
    <row r="60" spans="1:17" s="32" customFormat="1" ht="36" customHeight="1" x14ac:dyDescent="0.2">
      <c r="A60" s="446"/>
      <c r="B60" s="429"/>
      <c r="C60" s="380"/>
      <c r="D60" s="46" t="s">
        <v>30</v>
      </c>
      <c r="E60" s="95" t="s">
        <v>80</v>
      </c>
      <c r="F60" s="360"/>
      <c r="G60" s="360"/>
      <c r="H60" s="179">
        <f t="shared" si="12"/>
        <v>125.3</v>
      </c>
      <c r="I60" s="180">
        <v>125.3</v>
      </c>
      <c r="J60" s="180">
        <v>0</v>
      </c>
      <c r="K60" s="180">
        <v>0</v>
      </c>
      <c r="L60" s="541"/>
      <c r="P60" s="25"/>
      <c r="Q60" s="33"/>
    </row>
    <row r="61" spans="1:17" s="32" customFormat="1" x14ac:dyDescent="0.2">
      <c r="A61" s="446"/>
      <c r="B61" s="429"/>
      <c r="C61" s="380"/>
      <c r="D61" s="46" t="s">
        <v>30</v>
      </c>
      <c r="E61" s="95" t="s">
        <v>81</v>
      </c>
      <c r="F61" s="360"/>
      <c r="G61" s="360"/>
      <c r="H61" s="179">
        <f t="shared" si="12"/>
        <v>2814.2000000000003</v>
      </c>
      <c r="I61" s="180">
        <v>1528</v>
      </c>
      <c r="J61" s="180">
        <v>941.9</v>
      </c>
      <c r="K61" s="180">
        <v>344.3</v>
      </c>
      <c r="L61" s="541"/>
      <c r="P61" s="25"/>
      <c r="Q61" s="33"/>
    </row>
    <row r="62" spans="1:17" s="32" customFormat="1" ht="55.5" x14ac:dyDescent="0.2">
      <c r="A62" s="446"/>
      <c r="B62" s="429"/>
      <c r="C62" s="380"/>
      <c r="D62" s="46" t="s">
        <v>30</v>
      </c>
      <c r="E62" s="95" t="s">
        <v>79</v>
      </c>
      <c r="F62" s="360"/>
      <c r="G62" s="360"/>
      <c r="H62" s="179">
        <f t="shared" si="12"/>
        <v>983.30000000000007</v>
      </c>
      <c r="I62" s="180">
        <v>558.70000000000005</v>
      </c>
      <c r="J62" s="180">
        <v>252.5</v>
      </c>
      <c r="K62" s="180">
        <v>172.1</v>
      </c>
      <c r="L62" s="541"/>
      <c r="P62" s="25"/>
      <c r="Q62" s="33"/>
    </row>
    <row r="63" spans="1:17" ht="287.25" customHeight="1" x14ac:dyDescent="0.3">
      <c r="A63" s="446"/>
      <c r="B63" s="429"/>
      <c r="C63" s="96" t="s">
        <v>241</v>
      </c>
      <c r="D63" s="71" t="s">
        <v>34</v>
      </c>
      <c r="E63" s="95" t="s">
        <v>80</v>
      </c>
      <c r="F63" s="321" t="s">
        <v>18</v>
      </c>
      <c r="G63" s="319" t="s">
        <v>72</v>
      </c>
      <c r="H63" s="179">
        <f t="shared" si="12"/>
        <v>8997.5679999999993</v>
      </c>
      <c r="I63" s="180">
        <v>2500</v>
      </c>
      <c r="J63" s="180">
        <v>3168</v>
      </c>
      <c r="K63" s="193">
        <v>3329.5679999999998</v>
      </c>
      <c r="L63" s="173" t="s">
        <v>367</v>
      </c>
    </row>
    <row r="64" spans="1:17" ht="120.75" customHeight="1" x14ac:dyDescent="0.3">
      <c r="A64" s="446"/>
      <c r="B64" s="429"/>
      <c r="C64" s="326" t="s">
        <v>429</v>
      </c>
      <c r="D64" s="323" t="s">
        <v>427</v>
      </c>
      <c r="E64" s="317" t="s">
        <v>430</v>
      </c>
      <c r="F64" s="321" t="s">
        <v>18</v>
      </c>
      <c r="G64" s="319" t="s">
        <v>72</v>
      </c>
      <c r="H64" s="179">
        <f>I64+J64+K64</f>
        <v>3000</v>
      </c>
      <c r="I64" s="180">
        <v>3000</v>
      </c>
      <c r="J64" s="180">
        <v>0</v>
      </c>
      <c r="K64" s="193">
        <v>0</v>
      </c>
      <c r="L64" s="326" t="s">
        <v>435</v>
      </c>
    </row>
    <row r="65" spans="1:18" ht="83.25" x14ac:dyDescent="0.3">
      <c r="A65" s="446"/>
      <c r="B65" s="429"/>
      <c r="C65" s="322" t="s">
        <v>431</v>
      </c>
      <c r="D65" s="71" t="s">
        <v>30</v>
      </c>
      <c r="E65" s="95" t="s">
        <v>79</v>
      </c>
      <c r="F65" s="72" t="s">
        <v>227</v>
      </c>
      <c r="G65" s="86" t="s">
        <v>57</v>
      </c>
      <c r="H65" s="179">
        <f t="shared" si="12"/>
        <v>5179.0238304000004</v>
      </c>
      <c r="I65" s="180">
        <v>1635.9</v>
      </c>
      <c r="J65" s="180">
        <f>I65*1.056</f>
        <v>1727.5104000000001</v>
      </c>
      <c r="K65" s="180">
        <f>J65*1.051</f>
        <v>1815.6134304</v>
      </c>
      <c r="L65" s="172" t="s">
        <v>286</v>
      </c>
      <c r="M65" s="23"/>
      <c r="P65" s="25"/>
      <c r="Q65" s="26"/>
    </row>
    <row r="66" spans="1:18" ht="222" x14ac:dyDescent="0.3">
      <c r="A66" s="446"/>
      <c r="B66" s="429"/>
      <c r="C66" s="98" t="s">
        <v>432</v>
      </c>
      <c r="D66" s="71" t="s">
        <v>30</v>
      </c>
      <c r="E66" s="95" t="s">
        <v>79</v>
      </c>
      <c r="F66" s="72" t="s">
        <v>227</v>
      </c>
      <c r="G66" s="86" t="s">
        <v>57</v>
      </c>
      <c r="H66" s="179">
        <f>I66+J66+K66</f>
        <v>2825.9507047040001</v>
      </c>
      <c r="I66" s="180">
        <v>892.63400000000001</v>
      </c>
      <c r="J66" s="180">
        <f>I66*1.056</f>
        <v>942.62150400000007</v>
      </c>
      <c r="K66" s="180">
        <f>J66*1.051</f>
        <v>990.69520070400006</v>
      </c>
      <c r="L66" s="98" t="s">
        <v>110</v>
      </c>
      <c r="M66" s="23"/>
      <c r="P66" s="25"/>
      <c r="Q66" s="26"/>
    </row>
    <row r="67" spans="1:18" ht="29.25" customHeight="1" x14ac:dyDescent="0.3">
      <c r="A67" s="446"/>
      <c r="B67" s="429"/>
      <c r="C67" s="375" t="s">
        <v>433</v>
      </c>
      <c r="D67" s="363" t="s">
        <v>434</v>
      </c>
      <c r="E67" s="363"/>
      <c r="F67" s="363"/>
      <c r="G67" s="363"/>
      <c r="H67" s="179">
        <f>H68+H69</f>
        <v>3608.4426688000003</v>
      </c>
      <c r="I67" s="179">
        <f>I68+I69</f>
        <v>1139.8</v>
      </c>
      <c r="J67" s="179">
        <f>J68+J69</f>
        <v>1203.6288000000002</v>
      </c>
      <c r="K67" s="179">
        <f>K68+K69</f>
        <v>1265.0138688</v>
      </c>
      <c r="L67" s="375" t="s">
        <v>78</v>
      </c>
      <c r="M67" s="23"/>
      <c r="P67" s="25"/>
      <c r="Q67" s="26"/>
    </row>
    <row r="68" spans="1:18" ht="58.5" customHeight="1" x14ac:dyDescent="0.3">
      <c r="A68" s="446"/>
      <c r="B68" s="429"/>
      <c r="C68" s="375"/>
      <c r="D68" s="46" t="s">
        <v>30</v>
      </c>
      <c r="E68" s="95" t="s">
        <v>86</v>
      </c>
      <c r="F68" s="360" t="s">
        <v>227</v>
      </c>
      <c r="G68" s="360" t="s">
        <v>57</v>
      </c>
      <c r="H68" s="179">
        <f>I68+J68+K68</f>
        <v>455.88326400000005</v>
      </c>
      <c r="I68" s="180">
        <v>144</v>
      </c>
      <c r="J68" s="180">
        <f>I68*1.056</f>
        <v>152.06400000000002</v>
      </c>
      <c r="K68" s="180">
        <f>J68*1.051</f>
        <v>159.819264</v>
      </c>
      <c r="L68" s="541"/>
      <c r="M68" s="23"/>
      <c r="P68" s="25"/>
      <c r="Q68" s="26"/>
    </row>
    <row r="69" spans="1:18" ht="53.25" customHeight="1" x14ac:dyDescent="0.3">
      <c r="A69" s="446"/>
      <c r="B69" s="430"/>
      <c r="C69" s="375"/>
      <c r="D69" s="46" t="s">
        <v>30</v>
      </c>
      <c r="E69" s="95" t="s">
        <v>80</v>
      </c>
      <c r="F69" s="448"/>
      <c r="G69" s="465"/>
      <c r="H69" s="179">
        <f>I69+J69+K69</f>
        <v>3152.5594048000003</v>
      </c>
      <c r="I69" s="180">
        <v>995.8</v>
      </c>
      <c r="J69" s="180">
        <f>I69*1.056</f>
        <v>1051.5648000000001</v>
      </c>
      <c r="K69" s="180">
        <f>J69*1.051</f>
        <v>1105.1946048</v>
      </c>
      <c r="L69" s="541"/>
      <c r="M69" s="27"/>
      <c r="Q69" s="28"/>
      <c r="R69" s="29"/>
    </row>
    <row r="70" spans="1:18" ht="34.5" customHeight="1" x14ac:dyDescent="0.3">
      <c r="A70" s="557"/>
      <c r="B70" s="558"/>
      <c r="C70" s="558"/>
      <c r="D70" s="559"/>
      <c r="E70" s="453" t="s">
        <v>290</v>
      </c>
      <c r="F70" s="454"/>
      <c r="G70" s="331"/>
      <c r="H70" s="181">
        <f>H24+H37+H42+H48+H49+H50+H51+H54+H58+H63+H65+H66+H67+H64</f>
        <v>156297.14252870402</v>
      </c>
      <c r="I70" s="181">
        <f t="shared" ref="I70:K70" si="13">I24+I37+I42+I48+I49+I50+I51+I54+I58+I63+I65+I66+I67+I64</f>
        <v>121939.96400000001</v>
      </c>
      <c r="J70" s="181">
        <f t="shared" si="13"/>
        <v>17246.545504000002</v>
      </c>
      <c r="K70" s="181">
        <f t="shared" si="13"/>
        <v>17110.633024703999</v>
      </c>
      <c r="L70" s="418"/>
      <c r="M70" s="27"/>
      <c r="Q70" s="28"/>
      <c r="R70" s="29"/>
    </row>
    <row r="71" spans="1:18" ht="45.75" customHeight="1" x14ac:dyDescent="0.3">
      <c r="A71" s="560"/>
      <c r="B71" s="561"/>
      <c r="C71" s="561"/>
      <c r="D71" s="562"/>
      <c r="E71" s="455"/>
      <c r="F71" s="456"/>
      <c r="G71" s="86" t="s">
        <v>57</v>
      </c>
      <c r="H71" s="179">
        <f>H25+H37+H43+H45+H46+H47+H48+H49+H50+H53+H54+H58+H63+H65+H66+H67+H64</f>
        <v>108049.74252870398</v>
      </c>
      <c r="I71" s="179">
        <f t="shared" ref="I71:K71" si="14">I25+I37+I43+I45+I46+I47+I48+I49+I50+I53+I54+I58+I63+I65+I66+I67+I64</f>
        <v>73692.563999999998</v>
      </c>
      <c r="J71" s="179">
        <f t="shared" si="14"/>
        <v>17246.545504000002</v>
      </c>
      <c r="K71" s="179">
        <f t="shared" si="14"/>
        <v>17110.633024703999</v>
      </c>
      <c r="L71" s="419"/>
      <c r="M71" s="27"/>
      <c r="Q71" s="28"/>
      <c r="R71" s="29"/>
    </row>
    <row r="72" spans="1:18" ht="66.75" customHeight="1" x14ac:dyDescent="0.35">
      <c r="A72" s="560"/>
      <c r="B72" s="561"/>
      <c r="C72" s="561"/>
      <c r="D72" s="562"/>
      <c r="E72" s="455"/>
      <c r="F72" s="456"/>
      <c r="G72" s="132" t="s">
        <v>100</v>
      </c>
      <c r="H72" s="179">
        <f>H32</f>
        <v>45359.9</v>
      </c>
      <c r="I72" s="179">
        <f t="shared" ref="I72:K72" si="15">I32</f>
        <v>45359.9</v>
      </c>
      <c r="J72" s="179">
        <f t="shared" si="15"/>
        <v>0</v>
      </c>
      <c r="K72" s="179">
        <f t="shared" si="15"/>
        <v>0</v>
      </c>
      <c r="L72" s="419"/>
      <c r="M72" s="27"/>
      <c r="Q72" s="28"/>
      <c r="R72" s="29"/>
    </row>
    <row r="73" spans="1:18" ht="192" customHeight="1" x14ac:dyDescent="0.3">
      <c r="A73" s="560"/>
      <c r="B73" s="561"/>
      <c r="C73" s="561"/>
      <c r="D73" s="562"/>
      <c r="E73" s="455"/>
      <c r="F73" s="456"/>
      <c r="G73" s="86" t="s">
        <v>103</v>
      </c>
      <c r="H73" s="179">
        <f>H30+H44+H52</f>
        <v>2827.5</v>
      </c>
      <c r="I73" s="179">
        <f t="shared" ref="I73:K73" si="16">I30+I44+I52</f>
        <v>2827.5</v>
      </c>
      <c r="J73" s="179">
        <f t="shared" si="16"/>
        <v>0</v>
      </c>
      <c r="K73" s="179">
        <f t="shared" si="16"/>
        <v>0</v>
      </c>
      <c r="L73" s="419"/>
      <c r="M73" s="27"/>
      <c r="Q73" s="28"/>
      <c r="R73" s="29"/>
    </row>
    <row r="74" spans="1:18" ht="72" customHeight="1" x14ac:dyDescent="0.3">
      <c r="A74" s="560"/>
      <c r="B74" s="561"/>
      <c r="C74" s="561"/>
      <c r="D74" s="562"/>
      <c r="E74" s="457"/>
      <c r="F74" s="458"/>
      <c r="G74" s="131" t="s">
        <v>349</v>
      </c>
      <c r="H74" s="179">
        <f>H31</f>
        <v>60</v>
      </c>
      <c r="I74" s="179">
        <f t="shared" ref="I74:K74" si="17">I31</f>
        <v>60</v>
      </c>
      <c r="J74" s="179">
        <f t="shared" si="17"/>
        <v>0</v>
      </c>
      <c r="K74" s="179">
        <f t="shared" si="17"/>
        <v>0</v>
      </c>
      <c r="L74" s="419"/>
      <c r="M74" s="27"/>
      <c r="Q74" s="28"/>
      <c r="R74" s="29"/>
    </row>
    <row r="75" spans="1:18" ht="36" customHeight="1" x14ac:dyDescent="0.3">
      <c r="A75" s="560"/>
      <c r="B75" s="561"/>
      <c r="C75" s="561"/>
      <c r="D75" s="562"/>
      <c r="E75" s="365" t="s">
        <v>291</v>
      </c>
      <c r="F75" s="367"/>
      <c r="G75" s="86"/>
      <c r="H75" s="179"/>
      <c r="I75" s="186"/>
      <c r="J75" s="180"/>
      <c r="K75" s="180"/>
      <c r="L75" s="419"/>
      <c r="M75" s="27"/>
      <c r="Q75" s="28"/>
      <c r="R75" s="29"/>
    </row>
    <row r="76" spans="1:18" ht="36" customHeight="1" x14ac:dyDescent="0.3">
      <c r="A76" s="560"/>
      <c r="B76" s="561"/>
      <c r="C76" s="561"/>
      <c r="D76" s="562"/>
      <c r="E76" s="459" t="s">
        <v>86</v>
      </c>
      <c r="F76" s="460"/>
      <c r="G76" s="90" t="s">
        <v>102</v>
      </c>
      <c r="H76" s="179">
        <f>SUM(H77:H80)</f>
        <v>39260.297391999993</v>
      </c>
      <c r="I76" s="179">
        <f t="shared" ref="I76:K76" si="18">SUM(I77:I80)</f>
        <v>29793.200000000001</v>
      </c>
      <c r="J76" s="179">
        <f t="shared" si="18"/>
        <v>4750.692</v>
      </c>
      <c r="K76" s="179">
        <f t="shared" si="18"/>
        <v>4716.4053919999997</v>
      </c>
      <c r="L76" s="419"/>
      <c r="M76" s="27"/>
      <c r="Q76" s="28"/>
      <c r="R76" s="29"/>
    </row>
    <row r="77" spans="1:18" ht="48.75" customHeight="1" x14ac:dyDescent="0.3">
      <c r="A77" s="560"/>
      <c r="B77" s="561"/>
      <c r="C77" s="561"/>
      <c r="D77" s="562"/>
      <c r="E77" s="461"/>
      <c r="F77" s="462"/>
      <c r="G77" s="86" t="s">
        <v>57</v>
      </c>
      <c r="H77" s="179">
        <f>H26+H38+H43+H48+H49+H50+H55+H59+H68</f>
        <v>26567.497391999997</v>
      </c>
      <c r="I77" s="179">
        <f>I26+I38+I43+I48+I49+I50+I55+I59+I68</f>
        <v>17100.399999999998</v>
      </c>
      <c r="J77" s="179">
        <f>J26+J38+J43+J48+J49+J50+J55+J59+J68</f>
        <v>4750.692</v>
      </c>
      <c r="K77" s="179">
        <f>K26+K38+K43+K48+K49+K50+K55+K59+K68</f>
        <v>4716.4053919999997</v>
      </c>
      <c r="L77" s="419"/>
      <c r="M77" s="27"/>
      <c r="Q77" s="28"/>
      <c r="R77" s="29"/>
    </row>
    <row r="78" spans="1:18" ht="63.75" customHeight="1" x14ac:dyDescent="0.35">
      <c r="A78" s="560"/>
      <c r="B78" s="561"/>
      <c r="C78" s="561"/>
      <c r="D78" s="562"/>
      <c r="E78" s="461"/>
      <c r="F78" s="462"/>
      <c r="G78" s="132" t="s">
        <v>100</v>
      </c>
      <c r="H78" s="179">
        <f>H33</f>
        <v>12485.6</v>
      </c>
      <c r="I78" s="179">
        <f t="shared" ref="I78:K78" si="19">I33</f>
        <v>12485.6</v>
      </c>
      <c r="J78" s="179">
        <f t="shared" si="19"/>
        <v>0</v>
      </c>
      <c r="K78" s="179">
        <f t="shared" si="19"/>
        <v>0</v>
      </c>
      <c r="L78" s="419"/>
      <c r="M78" s="27"/>
      <c r="Q78" s="28"/>
      <c r="R78" s="29"/>
    </row>
    <row r="79" spans="1:18" ht="193.5" customHeight="1" x14ac:dyDescent="0.3">
      <c r="A79" s="560"/>
      <c r="B79" s="561"/>
      <c r="C79" s="561"/>
      <c r="D79" s="562"/>
      <c r="E79" s="461"/>
      <c r="F79" s="462"/>
      <c r="G79" s="86" t="s">
        <v>103</v>
      </c>
      <c r="H79" s="179">
        <f>H30+H44</f>
        <v>147.19999999999999</v>
      </c>
      <c r="I79" s="179">
        <f t="shared" ref="I79:K79" si="20">I30+I44</f>
        <v>147.19999999999999</v>
      </c>
      <c r="J79" s="179">
        <f t="shared" si="20"/>
        <v>0</v>
      </c>
      <c r="K79" s="179">
        <f t="shared" si="20"/>
        <v>0</v>
      </c>
      <c r="L79" s="419"/>
      <c r="M79" s="27"/>
      <c r="Q79" s="28"/>
      <c r="R79" s="29"/>
    </row>
    <row r="80" spans="1:18" ht="73.5" customHeight="1" x14ac:dyDescent="0.3">
      <c r="A80" s="560"/>
      <c r="B80" s="561"/>
      <c r="C80" s="561"/>
      <c r="D80" s="562"/>
      <c r="E80" s="463"/>
      <c r="F80" s="464"/>
      <c r="G80" s="131" t="s">
        <v>349</v>
      </c>
      <c r="H80" s="179">
        <f>H31</f>
        <v>60</v>
      </c>
      <c r="I80" s="179">
        <f t="shared" ref="I80:K80" si="21">I31</f>
        <v>60</v>
      </c>
      <c r="J80" s="179">
        <f t="shared" si="21"/>
        <v>0</v>
      </c>
      <c r="K80" s="179">
        <f t="shared" si="21"/>
        <v>0</v>
      </c>
      <c r="L80" s="419"/>
      <c r="M80" s="27"/>
      <c r="Q80" s="28"/>
      <c r="R80" s="29"/>
    </row>
    <row r="81" spans="1:18" ht="36" customHeight="1" x14ac:dyDescent="0.3">
      <c r="A81" s="560"/>
      <c r="B81" s="561"/>
      <c r="C81" s="561"/>
      <c r="D81" s="562"/>
      <c r="E81" s="459" t="s">
        <v>80</v>
      </c>
      <c r="F81" s="460"/>
      <c r="G81" s="90" t="s">
        <v>102</v>
      </c>
      <c r="H81" s="179">
        <f>SUM(H82:H83)</f>
        <v>32740.203113599993</v>
      </c>
      <c r="I81" s="179">
        <f t="shared" ref="I81:K81" si="22">SUM(I82:I83)</f>
        <v>22640.6</v>
      </c>
      <c r="J81" s="179">
        <f t="shared" si="22"/>
        <v>4924.2335999999996</v>
      </c>
      <c r="K81" s="179">
        <f t="shared" si="22"/>
        <v>5175.3695135999997</v>
      </c>
      <c r="L81" s="419"/>
      <c r="M81" s="27"/>
      <c r="Q81" s="28"/>
      <c r="R81" s="29"/>
    </row>
    <row r="82" spans="1:18" ht="49.5" customHeight="1" x14ac:dyDescent="0.3">
      <c r="A82" s="560"/>
      <c r="B82" s="561"/>
      <c r="C82" s="561"/>
      <c r="D82" s="562"/>
      <c r="E82" s="461"/>
      <c r="F82" s="462"/>
      <c r="G82" s="86" t="s">
        <v>57</v>
      </c>
      <c r="H82" s="179">
        <f>H27+H39+H45+H56+H60+H63+H69</f>
        <v>24580.103113599995</v>
      </c>
      <c r="I82" s="179">
        <f>I27+I39+I45+I56+I60+I63+I69</f>
        <v>14480.499999999996</v>
      </c>
      <c r="J82" s="179">
        <f>J27+J39+J45+J56+J60+J63+J69</f>
        <v>4924.2335999999996</v>
      </c>
      <c r="K82" s="179">
        <f>K27+K39+K45+K56+K60+K63+K69</f>
        <v>5175.3695135999997</v>
      </c>
      <c r="L82" s="419"/>
      <c r="M82" s="27"/>
      <c r="Q82" s="28"/>
      <c r="R82" s="29"/>
    </row>
    <row r="83" spans="1:18" ht="68.25" customHeight="1" x14ac:dyDescent="0.35">
      <c r="A83" s="560"/>
      <c r="B83" s="561"/>
      <c r="C83" s="561"/>
      <c r="D83" s="562"/>
      <c r="E83" s="463"/>
      <c r="F83" s="464"/>
      <c r="G83" s="132" t="s">
        <v>100</v>
      </c>
      <c r="H83" s="179">
        <f>H34</f>
        <v>8160.1</v>
      </c>
      <c r="I83" s="179">
        <f t="shared" ref="I83:K83" si="23">I34</f>
        <v>8160.1</v>
      </c>
      <c r="J83" s="179">
        <f t="shared" si="23"/>
        <v>0</v>
      </c>
      <c r="K83" s="179">
        <f t="shared" si="23"/>
        <v>0</v>
      </c>
      <c r="L83" s="419"/>
      <c r="M83" s="27"/>
      <c r="Q83" s="28"/>
      <c r="R83" s="29"/>
    </row>
    <row r="84" spans="1:18" ht="36" customHeight="1" x14ac:dyDescent="0.3">
      <c r="A84" s="560"/>
      <c r="B84" s="561"/>
      <c r="C84" s="561"/>
      <c r="D84" s="562"/>
      <c r="E84" s="459" t="s">
        <v>81</v>
      </c>
      <c r="F84" s="460"/>
      <c r="G84" s="90" t="s">
        <v>102</v>
      </c>
      <c r="H84" s="179">
        <f>SUM(H85:H87)</f>
        <v>37076.639264000005</v>
      </c>
      <c r="I84" s="179">
        <f t="shared" ref="I84:K84" si="24">SUM(I85:I87)</f>
        <v>33312.700000000004</v>
      </c>
      <c r="J84" s="179">
        <f t="shared" si="24"/>
        <v>2149.9639999999999</v>
      </c>
      <c r="K84" s="179">
        <f t="shared" si="24"/>
        <v>1613.9752639999999</v>
      </c>
      <c r="L84" s="419"/>
      <c r="M84" s="27"/>
      <c r="Q84" s="28"/>
      <c r="R84" s="29"/>
    </row>
    <row r="85" spans="1:18" ht="47.25" customHeight="1" x14ac:dyDescent="0.3">
      <c r="A85" s="560"/>
      <c r="B85" s="561"/>
      <c r="C85" s="561"/>
      <c r="D85" s="562"/>
      <c r="E85" s="461"/>
      <c r="F85" s="462"/>
      <c r="G85" s="86" t="s">
        <v>57</v>
      </c>
      <c r="H85" s="179">
        <f>H28+H40+H46+H53+H57+H61</f>
        <v>21530.139264000001</v>
      </c>
      <c r="I85" s="179">
        <f t="shared" ref="I85:K85" si="25">I28+I40+I46+I53+I57+I61</f>
        <v>17766.2</v>
      </c>
      <c r="J85" s="179">
        <f t="shared" si="25"/>
        <v>2149.9639999999999</v>
      </c>
      <c r="K85" s="179">
        <f t="shared" si="25"/>
        <v>1613.9752639999999</v>
      </c>
      <c r="L85" s="419"/>
      <c r="M85" s="27"/>
      <c r="Q85" s="28"/>
      <c r="R85" s="29"/>
    </row>
    <row r="86" spans="1:18" ht="70.5" customHeight="1" x14ac:dyDescent="0.35">
      <c r="A86" s="560"/>
      <c r="B86" s="561"/>
      <c r="C86" s="561"/>
      <c r="D86" s="562"/>
      <c r="E86" s="461"/>
      <c r="F86" s="462"/>
      <c r="G86" s="132" t="s">
        <v>100</v>
      </c>
      <c r="H86" s="179">
        <f>H35</f>
        <v>12866.2</v>
      </c>
      <c r="I86" s="179">
        <f t="shared" ref="I86:K86" si="26">I35</f>
        <v>12866.2</v>
      </c>
      <c r="J86" s="179">
        <f t="shared" si="26"/>
        <v>0</v>
      </c>
      <c r="K86" s="179">
        <f t="shared" si="26"/>
        <v>0</v>
      </c>
      <c r="L86" s="419"/>
      <c r="M86" s="27"/>
      <c r="Q86" s="28"/>
      <c r="R86" s="29"/>
    </row>
    <row r="87" spans="1:18" ht="192" customHeight="1" x14ac:dyDescent="0.3">
      <c r="A87" s="560"/>
      <c r="B87" s="561"/>
      <c r="C87" s="561"/>
      <c r="D87" s="562"/>
      <c r="E87" s="463"/>
      <c r="F87" s="464"/>
      <c r="G87" s="86" t="s">
        <v>103</v>
      </c>
      <c r="H87" s="179">
        <f>H52</f>
        <v>2680.3</v>
      </c>
      <c r="I87" s="179">
        <f t="shared" ref="I87:K87" si="27">I52</f>
        <v>2680.3</v>
      </c>
      <c r="J87" s="179">
        <f t="shared" si="27"/>
        <v>0</v>
      </c>
      <c r="K87" s="179">
        <f t="shared" si="27"/>
        <v>0</v>
      </c>
      <c r="L87" s="419"/>
      <c r="M87" s="27"/>
      <c r="Q87" s="28"/>
      <c r="R87" s="29"/>
    </row>
    <row r="88" spans="1:18" ht="36" customHeight="1" x14ac:dyDescent="0.3">
      <c r="A88" s="560"/>
      <c r="B88" s="561"/>
      <c r="C88" s="561"/>
      <c r="D88" s="562"/>
      <c r="E88" s="459" t="s">
        <v>79</v>
      </c>
      <c r="F88" s="460"/>
      <c r="G88" s="90" t="s">
        <v>102</v>
      </c>
      <c r="H88" s="179">
        <f>SUM(H89:H90)</f>
        <v>44220.002759103998</v>
      </c>
      <c r="I88" s="179">
        <f t="shared" ref="I88:K88" si="28">SUM(I89:I90)</f>
        <v>33193.464</v>
      </c>
      <c r="J88" s="179">
        <f t="shared" si="28"/>
        <v>5421.6559040000002</v>
      </c>
      <c r="K88" s="179">
        <f t="shared" si="28"/>
        <v>5604.8828551039996</v>
      </c>
      <c r="L88" s="419"/>
      <c r="M88" s="27"/>
      <c r="Q88" s="28"/>
      <c r="R88" s="29"/>
    </row>
    <row r="89" spans="1:18" ht="51" customHeight="1" x14ac:dyDescent="0.3">
      <c r="A89" s="560"/>
      <c r="B89" s="561"/>
      <c r="C89" s="561"/>
      <c r="D89" s="562"/>
      <c r="E89" s="461"/>
      <c r="F89" s="462"/>
      <c r="G89" s="86" t="s">
        <v>57</v>
      </c>
      <c r="H89" s="179">
        <f>H29+H41+H47+H62+H65+H66</f>
        <v>32372.002759103998</v>
      </c>
      <c r="I89" s="179">
        <f>I29+I41+I47+I62+I65+I66</f>
        <v>21345.464</v>
      </c>
      <c r="J89" s="179">
        <f>J29+J41+J47+J62+J65+J66</f>
        <v>5421.6559040000002</v>
      </c>
      <c r="K89" s="179">
        <f>K29+K41+K47+K62+K65+K66</f>
        <v>5604.8828551039996</v>
      </c>
      <c r="L89" s="419"/>
      <c r="M89" s="27"/>
      <c r="Q89" s="28"/>
      <c r="R89" s="29"/>
    </row>
    <row r="90" spans="1:18" ht="76.5" customHeight="1" x14ac:dyDescent="0.35">
      <c r="A90" s="560"/>
      <c r="B90" s="561"/>
      <c r="C90" s="561"/>
      <c r="D90" s="562"/>
      <c r="E90" s="463"/>
      <c r="F90" s="464"/>
      <c r="G90" s="132" t="s">
        <v>100</v>
      </c>
      <c r="H90" s="179">
        <f>H36</f>
        <v>11848</v>
      </c>
      <c r="I90" s="179">
        <f t="shared" ref="I90:K90" si="29">I36</f>
        <v>11848</v>
      </c>
      <c r="J90" s="179">
        <f t="shared" si="29"/>
        <v>0</v>
      </c>
      <c r="K90" s="179">
        <f t="shared" si="29"/>
        <v>0</v>
      </c>
      <c r="L90" s="420"/>
      <c r="M90" s="27"/>
      <c r="Q90" s="28"/>
      <c r="R90" s="29"/>
    </row>
    <row r="91" spans="1:18" ht="76.5" customHeight="1" x14ac:dyDescent="0.3">
      <c r="A91" s="563"/>
      <c r="B91" s="564"/>
      <c r="C91" s="564"/>
      <c r="D91" s="565"/>
      <c r="E91" s="555" t="s">
        <v>430</v>
      </c>
      <c r="F91" s="556"/>
      <c r="G91" s="319" t="s">
        <v>57</v>
      </c>
      <c r="H91" s="179">
        <f>H64</f>
        <v>3000</v>
      </c>
      <c r="I91" s="179">
        <f t="shared" ref="I91:K91" si="30">I64</f>
        <v>3000</v>
      </c>
      <c r="J91" s="179">
        <f t="shared" si="30"/>
        <v>0</v>
      </c>
      <c r="K91" s="179">
        <f t="shared" si="30"/>
        <v>0</v>
      </c>
      <c r="L91" s="327"/>
      <c r="M91" s="27"/>
      <c r="Q91" s="28"/>
      <c r="R91" s="29"/>
    </row>
    <row r="92" spans="1:18" s="32" customFormat="1" ht="30.75" customHeight="1" x14ac:dyDescent="0.2">
      <c r="A92" s="479" t="s">
        <v>242</v>
      </c>
      <c r="B92" s="428" t="s">
        <v>426</v>
      </c>
      <c r="C92" s="374" t="s">
        <v>244</v>
      </c>
      <c r="D92" s="434" t="s">
        <v>369</v>
      </c>
      <c r="E92" s="435"/>
      <c r="F92" s="435"/>
      <c r="G92" s="436"/>
      <c r="H92" s="179">
        <f>H93+H94</f>
        <v>10647.900000000001</v>
      </c>
      <c r="I92" s="179">
        <f>I93+I94</f>
        <v>10647.900000000001</v>
      </c>
      <c r="J92" s="179">
        <f>J93+J94</f>
        <v>0</v>
      </c>
      <c r="K92" s="179">
        <f>K93+K94</f>
        <v>0</v>
      </c>
      <c r="L92" s="399" t="s">
        <v>154</v>
      </c>
      <c r="P92" s="25"/>
      <c r="Q92" s="33"/>
    </row>
    <row r="93" spans="1:18" s="32" customFormat="1" ht="49.5" customHeight="1" x14ac:dyDescent="0.2">
      <c r="A93" s="480"/>
      <c r="B93" s="481"/>
      <c r="C93" s="374"/>
      <c r="D93" s="553" t="s">
        <v>31</v>
      </c>
      <c r="E93" s="361" t="s">
        <v>83</v>
      </c>
      <c r="F93" s="427" t="s">
        <v>227</v>
      </c>
      <c r="G93" s="86" t="s">
        <v>51</v>
      </c>
      <c r="H93" s="179">
        <f>I93+J93+K93</f>
        <v>4300.3</v>
      </c>
      <c r="I93" s="180">
        <f>4309.8-9.5</f>
        <v>4300.3</v>
      </c>
      <c r="J93" s="180">
        <v>0</v>
      </c>
      <c r="K93" s="180">
        <v>0</v>
      </c>
      <c r="L93" s="399"/>
      <c r="P93" s="25"/>
      <c r="Q93" s="33"/>
    </row>
    <row r="94" spans="1:18" s="32" customFormat="1" ht="86.25" customHeight="1" x14ac:dyDescent="0.2">
      <c r="A94" s="480"/>
      <c r="B94" s="481"/>
      <c r="C94" s="374"/>
      <c r="D94" s="554"/>
      <c r="E94" s="364"/>
      <c r="F94" s="427"/>
      <c r="G94" s="86" t="s">
        <v>100</v>
      </c>
      <c r="H94" s="179">
        <f>I94+J94+K94</f>
        <v>6347.6</v>
      </c>
      <c r="I94" s="180">
        <v>6347.6</v>
      </c>
      <c r="J94" s="180">
        <v>0</v>
      </c>
      <c r="K94" s="180">
        <v>0</v>
      </c>
      <c r="L94" s="399"/>
      <c r="P94" s="25"/>
      <c r="Q94" s="33"/>
    </row>
    <row r="95" spans="1:18" s="32" customFormat="1" ht="96.75" customHeight="1" x14ac:dyDescent="0.2">
      <c r="A95" s="480"/>
      <c r="B95" s="481"/>
      <c r="C95" s="95" t="s">
        <v>280</v>
      </c>
      <c r="D95" s="143" t="s">
        <v>31</v>
      </c>
      <c r="E95" s="108" t="s">
        <v>83</v>
      </c>
      <c r="F95" s="427"/>
      <c r="G95" s="86" t="s">
        <v>51</v>
      </c>
      <c r="H95" s="179">
        <f>I95+J95+K95</f>
        <v>3145.8</v>
      </c>
      <c r="I95" s="180">
        <v>3145.8</v>
      </c>
      <c r="J95" s="180">
        <v>0</v>
      </c>
      <c r="K95" s="180">
        <v>0</v>
      </c>
      <c r="L95" s="399"/>
      <c r="P95" s="25"/>
      <c r="Q95" s="33"/>
    </row>
    <row r="96" spans="1:18" s="32" customFormat="1" ht="98.25" customHeight="1" x14ac:dyDescent="0.2">
      <c r="A96" s="480"/>
      <c r="B96" s="481"/>
      <c r="C96" s="95" t="s">
        <v>281</v>
      </c>
      <c r="D96" s="143" t="s">
        <v>31</v>
      </c>
      <c r="E96" s="108" t="s">
        <v>83</v>
      </c>
      <c r="F96" s="427"/>
      <c r="G96" s="86" t="s">
        <v>51</v>
      </c>
      <c r="H96" s="179">
        <f>I96+J96+K96</f>
        <v>1663.6573279999998</v>
      </c>
      <c r="I96" s="193">
        <v>525.5</v>
      </c>
      <c r="J96" s="180">
        <f>I96*1.056</f>
        <v>554.928</v>
      </c>
      <c r="K96" s="195">
        <f>J96*1.051</f>
        <v>583.22932800000001</v>
      </c>
      <c r="L96" s="399"/>
      <c r="P96" s="25"/>
      <c r="Q96" s="33"/>
    </row>
    <row r="97" spans="1:17" s="32" customFormat="1" ht="152.25" customHeight="1" x14ac:dyDescent="0.2">
      <c r="A97" s="480"/>
      <c r="B97" s="482"/>
      <c r="C97" s="95" t="s">
        <v>282</v>
      </c>
      <c r="D97" s="143" t="s">
        <v>31</v>
      </c>
      <c r="E97" s="108" t="s">
        <v>83</v>
      </c>
      <c r="F97" s="427"/>
      <c r="G97" s="86" t="s">
        <v>51</v>
      </c>
      <c r="H97" s="179">
        <f>I97+J97+K97</f>
        <v>745.19999999999993</v>
      </c>
      <c r="I97" s="180">
        <v>411.8</v>
      </c>
      <c r="J97" s="180">
        <v>276</v>
      </c>
      <c r="K97" s="180">
        <v>57.4</v>
      </c>
      <c r="L97" s="399"/>
      <c r="P97" s="25"/>
      <c r="Q97" s="33"/>
    </row>
    <row r="98" spans="1:17" s="32" customFormat="1" ht="32.25" customHeight="1" x14ac:dyDescent="0.2">
      <c r="A98" s="446"/>
      <c r="B98" s="446"/>
      <c r="C98" s="446"/>
      <c r="D98" s="446"/>
      <c r="E98" s="428" t="s">
        <v>288</v>
      </c>
      <c r="F98" s="451"/>
      <c r="G98" s="86"/>
      <c r="H98" s="179">
        <f>H92+H95+H96+H97</f>
        <v>16202.557328000001</v>
      </c>
      <c r="I98" s="179">
        <f>I92+I95+I96+I97</f>
        <v>14731</v>
      </c>
      <c r="J98" s="179">
        <f>J92+J95+J96+J97</f>
        <v>830.928</v>
      </c>
      <c r="K98" s="179">
        <f>K92+K95+K96+K97</f>
        <v>640.62932799999999</v>
      </c>
      <c r="L98" s="384"/>
      <c r="P98" s="25"/>
      <c r="Q98" s="33"/>
    </row>
    <row r="99" spans="1:17" s="32" customFormat="1" ht="45.75" customHeight="1" x14ac:dyDescent="0.2">
      <c r="A99" s="446"/>
      <c r="B99" s="446"/>
      <c r="C99" s="446"/>
      <c r="D99" s="446"/>
      <c r="E99" s="481"/>
      <c r="F99" s="451"/>
      <c r="G99" s="86" t="s">
        <v>51</v>
      </c>
      <c r="H99" s="179">
        <f>H93+H95+H96+H97</f>
        <v>9854.9573280000004</v>
      </c>
      <c r="I99" s="179">
        <f t="shared" ref="I99:K99" si="31">I93+I95+I96+I97</f>
        <v>8383.4</v>
      </c>
      <c r="J99" s="179">
        <f t="shared" si="31"/>
        <v>830.928</v>
      </c>
      <c r="K99" s="179">
        <f t="shared" si="31"/>
        <v>640.62932799999999</v>
      </c>
      <c r="L99" s="385"/>
      <c r="P99" s="25"/>
      <c r="Q99" s="33"/>
    </row>
    <row r="100" spans="1:17" s="32" customFormat="1" ht="69.75" customHeight="1" x14ac:dyDescent="0.2">
      <c r="A100" s="446"/>
      <c r="B100" s="446"/>
      <c r="C100" s="446"/>
      <c r="D100" s="446"/>
      <c r="E100" s="482"/>
      <c r="F100" s="451"/>
      <c r="G100" s="86" t="s">
        <v>100</v>
      </c>
      <c r="H100" s="179">
        <f>H94</f>
        <v>6347.6</v>
      </c>
      <c r="I100" s="179">
        <f t="shared" ref="I100:K100" si="32">I94</f>
        <v>6347.6</v>
      </c>
      <c r="J100" s="179">
        <f t="shared" si="32"/>
        <v>0</v>
      </c>
      <c r="K100" s="179">
        <f t="shared" si="32"/>
        <v>0</v>
      </c>
      <c r="L100" s="525"/>
      <c r="P100" s="25"/>
      <c r="Q100" s="33"/>
    </row>
    <row r="101" spans="1:17" s="32" customFormat="1" ht="30" customHeight="1" x14ac:dyDescent="0.2">
      <c r="A101" s="446" t="s">
        <v>245</v>
      </c>
      <c r="B101" s="428" t="s">
        <v>287</v>
      </c>
      <c r="C101" s="361" t="s">
        <v>246</v>
      </c>
      <c r="D101" s="434" t="s">
        <v>370</v>
      </c>
      <c r="E101" s="435"/>
      <c r="F101" s="435"/>
      <c r="G101" s="436"/>
      <c r="H101" s="179">
        <f>H102+H103</f>
        <v>6210.4</v>
      </c>
      <c r="I101" s="179">
        <f>I102+I103</f>
        <v>6210.4</v>
      </c>
      <c r="J101" s="179">
        <f>J102+J103</f>
        <v>0</v>
      </c>
      <c r="K101" s="179">
        <f>K102+K103</f>
        <v>0</v>
      </c>
      <c r="L101" s="586" t="s">
        <v>155</v>
      </c>
      <c r="P101" s="25"/>
      <c r="Q101" s="33"/>
    </row>
    <row r="102" spans="1:17" s="32" customFormat="1" ht="48" customHeight="1" x14ac:dyDescent="0.2">
      <c r="A102" s="446"/>
      <c r="B102" s="481"/>
      <c r="C102" s="362"/>
      <c r="D102" s="553" t="s">
        <v>32</v>
      </c>
      <c r="E102" s="361" t="s">
        <v>82</v>
      </c>
      <c r="F102" s="427" t="s">
        <v>227</v>
      </c>
      <c r="G102" s="86" t="s">
        <v>51</v>
      </c>
      <c r="H102" s="179">
        <f>I102+J102+K102</f>
        <v>5078.2</v>
      </c>
      <c r="I102" s="180">
        <f>4969.2+109</f>
        <v>5078.2</v>
      </c>
      <c r="J102" s="180">
        <v>0</v>
      </c>
      <c r="K102" s="180">
        <v>0</v>
      </c>
      <c r="L102" s="587"/>
      <c r="P102" s="25"/>
      <c r="Q102" s="33"/>
    </row>
    <row r="103" spans="1:17" s="32" customFormat="1" ht="77.25" customHeight="1" x14ac:dyDescent="0.2">
      <c r="A103" s="446"/>
      <c r="B103" s="481"/>
      <c r="C103" s="364"/>
      <c r="D103" s="554"/>
      <c r="E103" s="364"/>
      <c r="F103" s="427"/>
      <c r="G103" s="86" t="s">
        <v>100</v>
      </c>
      <c r="H103" s="179">
        <f>I103+J103+K103</f>
        <v>1132.2</v>
      </c>
      <c r="I103" s="180">
        <v>1132.2</v>
      </c>
      <c r="J103" s="180">
        <v>0</v>
      </c>
      <c r="K103" s="180">
        <v>0</v>
      </c>
      <c r="L103" s="587"/>
      <c r="P103" s="25"/>
      <c r="Q103" s="33"/>
    </row>
    <row r="104" spans="1:17" s="32" customFormat="1" ht="103.5" customHeight="1" x14ac:dyDescent="0.2">
      <c r="A104" s="446"/>
      <c r="B104" s="482"/>
      <c r="C104" s="95" t="s">
        <v>247</v>
      </c>
      <c r="D104" s="143" t="s">
        <v>32</v>
      </c>
      <c r="E104" s="108" t="s">
        <v>82</v>
      </c>
      <c r="F104" s="427"/>
      <c r="G104" s="86" t="s">
        <v>51</v>
      </c>
      <c r="H104" s="179">
        <f>I104+J104+K104</f>
        <v>527.79999999999995</v>
      </c>
      <c r="I104" s="180">
        <v>527.79999999999995</v>
      </c>
      <c r="J104" s="180">
        <v>0</v>
      </c>
      <c r="K104" s="180">
        <v>0</v>
      </c>
      <c r="L104" s="588"/>
      <c r="P104" s="25"/>
      <c r="Q104" s="33"/>
    </row>
    <row r="105" spans="1:17" s="32" customFormat="1" ht="26.25" customHeight="1" x14ac:dyDescent="0.2">
      <c r="A105" s="569"/>
      <c r="B105" s="569"/>
      <c r="C105" s="569"/>
      <c r="D105" s="569"/>
      <c r="E105" s="395" t="s">
        <v>289</v>
      </c>
      <c r="F105" s="427"/>
      <c r="G105" s="86"/>
      <c r="H105" s="179">
        <f>H101+H104</f>
        <v>6738.2</v>
      </c>
      <c r="I105" s="179">
        <f t="shared" ref="I105:K105" si="33">I101+I104</f>
        <v>6738.2</v>
      </c>
      <c r="J105" s="179">
        <f t="shared" si="33"/>
        <v>0</v>
      </c>
      <c r="K105" s="179">
        <f t="shared" si="33"/>
        <v>0</v>
      </c>
      <c r="L105" s="384"/>
      <c r="P105" s="25"/>
      <c r="Q105" s="33"/>
    </row>
    <row r="106" spans="1:17" s="32" customFormat="1" ht="48.75" customHeight="1" x14ac:dyDescent="0.2">
      <c r="A106" s="569"/>
      <c r="B106" s="569"/>
      <c r="C106" s="569"/>
      <c r="D106" s="569"/>
      <c r="E106" s="514"/>
      <c r="F106" s="427"/>
      <c r="G106" s="86" t="s">
        <v>51</v>
      </c>
      <c r="H106" s="179">
        <f>H102+H104</f>
        <v>5606</v>
      </c>
      <c r="I106" s="179">
        <f t="shared" ref="I106:K106" si="34">I102+I104</f>
        <v>5606</v>
      </c>
      <c r="J106" s="179">
        <f t="shared" si="34"/>
        <v>0</v>
      </c>
      <c r="K106" s="179">
        <f t="shared" si="34"/>
        <v>0</v>
      </c>
      <c r="L106" s="385"/>
      <c r="P106" s="25"/>
      <c r="Q106" s="33"/>
    </row>
    <row r="107" spans="1:17" s="32" customFormat="1" ht="78.75" customHeight="1" x14ac:dyDescent="0.2">
      <c r="A107" s="569"/>
      <c r="B107" s="569"/>
      <c r="C107" s="569"/>
      <c r="D107" s="569"/>
      <c r="E107" s="396"/>
      <c r="F107" s="427"/>
      <c r="G107" s="86" t="s">
        <v>100</v>
      </c>
      <c r="H107" s="179">
        <f>H103</f>
        <v>1132.2</v>
      </c>
      <c r="I107" s="179">
        <f t="shared" ref="I107:K107" si="35">I103</f>
        <v>1132.2</v>
      </c>
      <c r="J107" s="179">
        <f t="shared" si="35"/>
        <v>0</v>
      </c>
      <c r="K107" s="179">
        <f t="shared" si="35"/>
        <v>0</v>
      </c>
      <c r="L107" s="525"/>
      <c r="P107" s="25"/>
      <c r="Q107" s="33"/>
    </row>
    <row r="108" spans="1:17" ht="28.5" customHeight="1" x14ac:dyDescent="0.3">
      <c r="A108" s="549" t="s">
        <v>67</v>
      </c>
      <c r="B108" s="550"/>
      <c r="C108" s="550"/>
      <c r="D108" s="550"/>
      <c r="E108" s="550"/>
      <c r="F108" s="550"/>
      <c r="G108" s="551"/>
      <c r="H108" s="187">
        <f>H21+H70+H98+H105</f>
        <v>184575.22287750401</v>
      </c>
      <c r="I108" s="187">
        <f>I21+I70+I98+I105</f>
        <v>146403.46400000004</v>
      </c>
      <c r="J108" s="187">
        <f>J21+J70+J98+J105</f>
        <v>19219.854304</v>
      </c>
      <c r="K108" s="187">
        <f>K21+K70+K98+K105</f>
        <v>18951.904573503998</v>
      </c>
      <c r="L108" s="583"/>
      <c r="M108" s="332"/>
      <c r="P108" s="25"/>
      <c r="Q108" s="26"/>
    </row>
    <row r="109" spans="1:17" s="32" customFormat="1" ht="72" customHeight="1" x14ac:dyDescent="0.2">
      <c r="A109" s="421" t="s">
        <v>19</v>
      </c>
      <c r="B109" s="421"/>
      <c r="C109" s="421"/>
      <c r="D109" s="421"/>
      <c r="E109" s="421"/>
      <c r="F109" s="422"/>
      <c r="G109" s="133" t="s">
        <v>51</v>
      </c>
      <c r="H109" s="191">
        <f>H21+H71+H99+H106</f>
        <v>128848.02287750399</v>
      </c>
      <c r="I109" s="191">
        <f>I21+I71+I99+I106</f>
        <v>90676.263999999996</v>
      </c>
      <c r="J109" s="191">
        <f>J21+J71+J99+J106</f>
        <v>19219.854304</v>
      </c>
      <c r="K109" s="191">
        <f>K21+K71+K99+K106</f>
        <v>18951.904573503998</v>
      </c>
      <c r="L109" s="584"/>
      <c r="P109" s="25"/>
      <c r="Q109" s="33"/>
    </row>
    <row r="110" spans="1:17" s="32" customFormat="1" ht="99" customHeight="1" x14ac:dyDescent="0.2">
      <c r="A110" s="423"/>
      <c r="B110" s="423"/>
      <c r="C110" s="423"/>
      <c r="D110" s="423"/>
      <c r="E110" s="423"/>
      <c r="F110" s="424"/>
      <c r="G110" s="133" t="s">
        <v>100</v>
      </c>
      <c r="H110" s="191">
        <f>H107+H100+H72</f>
        <v>52839.700000000004</v>
      </c>
      <c r="I110" s="191">
        <f>I107+I100+I72</f>
        <v>52839.700000000004</v>
      </c>
      <c r="J110" s="191">
        <f>J107+J100+J72</f>
        <v>0</v>
      </c>
      <c r="K110" s="191">
        <f>K107+K100+K72</f>
        <v>0</v>
      </c>
      <c r="L110" s="584"/>
      <c r="P110" s="25"/>
      <c r="Q110" s="33"/>
    </row>
    <row r="111" spans="1:17" s="32" customFormat="1" ht="189.75" customHeight="1" x14ac:dyDescent="0.2">
      <c r="A111" s="423"/>
      <c r="B111" s="423"/>
      <c r="C111" s="423"/>
      <c r="D111" s="423"/>
      <c r="E111" s="423"/>
      <c r="F111" s="424"/>
      <c r="G111" s="134" t="s">
        <v>103</v>
      </c>
      <c r="H111" s="191">
        <f>H73</f>
        <v>2827.5</v>
      </c>
      <c r="I111" s="191">
        <f t="shared" ref="I111:K111" si="36">I73</f>
        <v>2827.5</v>
      </c>
      <c r="J111" s="191">
        <f t="shared" si="36"/>
        <v>0</v>
      </c>
      <c r="K111" s="191">
        <f t="shared" si="36"/>
        <v>0</v>
      </c>
      <c r="L111" s="584"/>
      <c r="P111" s="25"/>
      <c r="Q111" s="33"/>
    </row>
    <row r="112" spans="1:17" s="32" customFormat="1" ht="72.75" customHeight="1" x14ac:dyDescent="0.2">
      <c r="A112" s="425"/>
      <c r="B112" s="425"/>
      <c r="C112" s="425"/>
      <c r="D112" s="425"/>
      <c r="E112" s="425"/>
      <c r="F112" s="426"/>
      <c r="G112" s="135" t="s">
        <v>349</v>
      </c>
      <c r="H112" s="191">
        <f>H74</f>
        <v>60</v>
      </c>
      <c r="I112" s="191">
        <f t="shared" ref="I112:K112" si="37">I74</f>
        <v>60</v>
      </c>
      <c r="J112" s="191">
        <f t="shared" si="37"/>
        <v>0</v>
      </c>
      <c r="K112" s="191">
        <f t="shared" si="37"/>
        <v>0</v>
      </c>
      <c r="L112" s="584"/>
      <c r="P112" s="25"/>
      <c r="Q112" s="33"/>
    </row>
    <row r="113" spans="1:17" s="32" customFormat="1" ht="27.75" customHeight="1" x14ac:dyDescent="0.2">
      <c r="A113" s="574" t="s">
        <v>295</v>
      </c>
      <c r="B113" s="575"/>
      <c r="C113" s="575"/>
      <c r="D113" s="576"/>
      <c r="E113" s="374" t="s">
        <v>86</v>
      </c>
      <c r="F113" s="444"/>
      <c r="G113" s="90" t="s">
        <v>101</v>
      </c>
      <c r="H113" s="187">
        <f>SUM(H114:H117)</f>
        <v>39260.297392</v>
      </c>
      <c r="I113" s="187">
        <f t="shared" ref="I113:K113" si="38">SUM(I114:I117)</f>
        <v>29793.199999999997</v>
      </c>
      <c r="J113" s="187">
        <f t="shared" si="38"/>
        <v>4750.692</v>
      </c>
      <c r="K113" s="187">
        <f t="shared" si="38"/>
        <v>4716.4053919999997</v>
      </c>
      <c r="L113" s="584"/>
      <c r="P113" s="25"/>
      <c r="Q113" s="33"/>
    </row>
    <row r="114" spans="1:17" ht="54" customHeight="1" x14ac:dyDescent="0.3">
      <c r="A114" s="577"/>
      <c r="B114" s="578"/>
      <c r="C114" s="578"/>
      <c r="D114" s="579"/>
      <c r="E114" s="374"/>
      <c r="F114" s="445"/>
      <c r="G114" s="86" t="s">
        <v>51</v>
      </c>
      <c r="H114" s="196">
        <f>H77</f>
        <v>26567.497391999997</v>
      </c>
      <c r="I114" s="196">
        <f t="shared" ref="I114:K114" si="39">I77</f>
        <v>17100.399999999998</v>
      </c>
      <c r="J114" s="196">
        <f t="shared" si="39"/>
        <v>4750.692</v>
      </c>
      <c r="K114" s="196">
        <f t="shared" si="39"/>
        <v>4716.4053919999997</v>
      </c>
      <c r="L114" s="584"/>
      <c r="M114" s="23"/>
      <c r="P114" s="25"/>
      <c r="Q114" s="26"/>
    </row>
    <row r="115" spans="1:17" ht="198" customHeight="1" x14ac:dyDescent="0.3">
      <c r="A115" s="577"/>
      <c r="B115" s="578"/>
      <c r="C115" s="578"/>
      <c r="D115" s="579"/>
      <c r="E115" s="374"/>
      <c r="F115" s="445"/>
      <c r="G115" s="86" t="str">
        <f>G30</f>
        <v>Субвенція з місцевого бюджету на здійснення переданих видатків у сфері охорони здоров'я за рахунок коштів медичної субвенції (загальний фонд)</v>
      </c>
      <c r="H115" s="180">
        <f>H79</f>
        <v>147.19999999999999</v>
      </c>
      <c r="I115" s="180">
        <f t="shared" ref="I115:K115" si="40">I79</f>
        <v>147.19999999999999</v>
      </c>
      <c r="J115" s="180">
        <f t="shared" si="40"/>
        <v>0</v>
      </c>
      <c r="K115" s="180">
        <f t="shared" si="40"/>
        <v>0</v>
      </c>
      <c r="L115" s="584"/>
      <c r="M115" s="23"/>
      <c r="P115" s="25"/>
      <c r="Q115" s="26"/>
    </row>
    <row r="116" spans="1:17" ht="76.5" customHeight="1" x14ac:dyDescent="0.3">
      <c r="A116" s="577"/>
      <c r="B116" s="578"/>
      <c r="C116" s="578"/>
      <c r="D116" s="579"/>
      <c r="E116" s="374"/>
      <c r="F116" s="445"/>
      <c r="G116" s="86" t="s">
        <v>349</v>
      </c>
      <c r="H116" s="196">
        <f>H80</f>
        <v>60</v>
      </c>
      <c r="I116" s="196">
        <f t="shared" ref="I116:K116" si="41">I80</f>
        <v>60</v>
      </c>
      <c r="J116" s="196">
        <f t="shared" si="41"/>
        <v>0</v>
      </c>
      <c r="K116" s="196">
        <f t="shared" si="41"/>
        <v>0</v>
      </c>
      <c r="L116" s="584"/>
      <c r="M116" s="23"/>
      <c r="P116" s="25"/>
      <c r="Q116" s="26"/>
    </row>
    <row r="117" spans="1:17" ht="75" customHeight="1" x14ac:dyDescent="0.3">
      <c r="A117" s="577"/>
      <c r="B117" s="578"/>
      <c r="C117" s="578"/>
      <c r="D117" s="579"/>
      <c r="E117" s="374"/>
      <c r="F117" s="445"/>
      <c r="G117" s="86" t="s">
        <v>100</v>
      </c>
      <c r="H117" s="196">
        <f>H78</f>
        <v>12485.6</v>
      </c>
      <c r="I117" s="196">
        <f t="shared" ref="I117:K117" si="42">I78</f>
        <v>12485.6</v>
      </c>
      <c r="J117" s="196">
        <f t="shared" si="42"/>
        <v>0</v>
      </c>
      <c r="K117" s="196">
        <f t="shared" si="42"/>
        <v>0</v>
      </c>
      <c r="L117" s="584"/>
      <c r="M117" s="23"/>
      <c r="P117" s="25"/>
      <c r="Q117" s="26"/>
    </row>
    <row r="118" spans="1:17" ht="25.5" customHeight="1" x14ac:dyDescent="0.3">
      <c r="A118" s="577"/>
      <c r="B118" s="578"/>
      <c r="C118" s="578"/>
      <c r="D118" s="579"/>
      <c r="E118" s="361" t="s">
        <v>80</v>
      </c>
      <c r="F118" s="445"/>
      <c r="G118" s="90" t="s">
        <v>101</v>
      </c>
      <c r="H118" s="187">
        <f>SUM(H119:H120)</f>
        <v>32740.203113599993</v>
      </c>
      <c r="I118" s="187">
        <f t="shared" ref="I118:K118" si="43">SUM(I119:I120)</f>
        <v>22640.6</v>
      </c>
      <c r="J118" s="187">
        <f t="shared" si="43"/>
        <v>4924.2335999999996</v>
      </c>
      <c r="K118" s="187">
        <f t="shared" si="43"/>
        <v>5175.3695135999997</v>
      </c>
      <c r="L118" s="584"/>
      <c r="M118" s="23"/>
      <c r="P118" s="25"/>
      <c r="Q118" s="26"/>
    </row>
    <row r="119" spans="1:17" ht="50.25" customHeight="1" x14ac:dyDescent="0.3">
      <c r="A119" s="577"/>
      <c r="B119" s="578"/>
      <c r="C119" s="578"/>
      <c r="D119" s="579"/>
      <c r="E119" s="362"/>
      <c r="F119" s="445"/>
      <c r="G119" s="86" t="s">
        <v>51</v>
      </c>
      <c r="H119" s="196">
        <f>H82</f>
        <v>24580.103113599995</v>
      </c>
      <c r="I119" s="196">
        <f t="shared" ref="I119:K119" si="44">I82</f>
        <v>14480.499999999996</v>
      </c>
      <c r="J119" s="196">
        <f t="shared" si="44"/>
        <v>4924.2335999999996</v>
      </c>
      <c r="K119" s="196">
        <f t="shared" si="44"/>
        <v>5175.3695135999997</v>
      </c>
      <c r="L119" s="584"/>
      <c r="M119" s="23"/>
      <c r="P119" s="25"/>
      <c r="Q119" s="26"/>
    </row>
    <row r="120" spans="1:17" ht="68.25" customHeight="1" x14ac:dyDescent="0.3">
      <c r="A120" s="577"/>
      <c r="B120" s="578"/>
      <c r="C120" s="578"/>
      <c r="D120" s="579"/>
      <c r="E120" s="364"/>
      <c r="F120" s="445"/>
      <c r="G120" s="131" t="s">
        <v>100</v>
      </c>
      <c r="H120" s="196">
        <f>H83</f>
        <v>8160.1</v>
      </c>
      <c r="I120" s="196">
        <f t="shared" ref="I120:K120" si="45">I83</f>
        <v>8160.1</v>
      </c>
      <c r="J120" s="196">
        <f t="shared" si="45"/>
        <v>0</v>
      </c>
      <c r="K120" s="196">
        <f t="shared" si="45"/>
        <v>0</v>
      </c>
      <c r="L120" s="584"/>
      <c r="M120" s="23"/>
      <c r="P120" s="25"/>
      <c r="Q120" s="26"/>
    </row>
    <row r="121" spans="1:17" ht="24.75" customHeight="1" x14ac:dyDescent="0.3">
      <c r="A121" s="577"/>
      <c r="B121" s="578"/>
      <c r="C121" s="578"/>
      <c r="D121" s="579"/>
      <c r="E121" s="361" t="s">
        <v>81</v>
      </c>
      <c r="F121" s="445"/>
      <c r="G121" s="90" t="s">
        <v>101</v>
      </c>
      <c r="H121" s="187">
        <f>SUM(H122:H124)</f>
        <v>37076.639264000005</v>
      </c>
      <c r="I121" s="187">
        <f t="shared" ref="I121:K121" si="46">SUM(I122:I124)</f>
        <v>33312.700000000004</v>
      </c>
      <c r="J121" s="187">
        <f t="shared" si="46"/>
        <v>2149.9639999999999</v>
      </c>
      <c r="K121" s="187">
        <f t="shared" si="46"/>
        <v>1613.9752639999999</v>
      </c>
      <c r="L121" s="584"/>
      <c r="M121" s="23"/>
      <c r="P121" s="25"/>
      <c r="Q121" s="26"/>
    </row>
    <row r="122" spans="1:17" ht="53.25" customHeight="1" x14ac:dyDescent="0.3">
      <c r="A122" s="577"/>
      <c r="B122" s="578"/>
      <c r="C122" s="578"/>
      <c r="D122" s="579"/>
      <c r="E122" s="362"/>
      <c r="F122" s="445"/>
      <c r="G122" s="86" t="s">
        <v>51</v>
      </c>
      <c r="H122" s="196">
        <f>H85</f>
        <v>21530.139264000001</v>
      </c>
      <c r="I122" s="196">
        <f t="shared" ref="I122:K122" si="47">I85</f>
        <v>17766.2</v>
      </c>
      <c r="J122" s="196">
        <f t="shared" si="47"/>
        <v>2149.9639999999999</v>
      </c>
      <c r="K122" s="196">
        <f t="shared" si="47"/>
        <v>1613.9752639999999</v>
      </c>
      <c r="L122" s="584"/>
      <c r="M122" s="23"/>
      <c r="P122" s="25"/>
      <c r="Q122" s="26"/>
    </row>
    <row r="123" spans="1:17" ht="77.25" customHeight="1" x14ac:dyDescent="0.3">
      <c r="A123" s="577"/>
      <c r="B123" s="578"/>
      <c r="C123" s="578"/>
      <c r="D123" s="579"/>
      <c r="E123" s="362"/>
      <c r="F123" s="445"/>
      <c r="G123" s="131" t="s">
        <v>100</v>
      </c>
      <c r="H123" s="196">
        <f>H86</f>
        <v>12866.2</v>
      </c>
      <c r="I123" s="196">
        <f t="shared" ref="I123:K123" si="48">I86</f>
        <v>12866.2</v>
      </c>
      <c r="J123" s="196">
        <f t="shared" si="48"/>
        <v>0</v>
      </c>
      <c r="K123" s="196">
        <f t="shared" si="48"/>
        <v>0</v>
      </c>
      <c r="L123" s="584"/>
      <c r="M123" s="23"/>
      <c r="P123" s="25"/>
      <c r="Q123" s="26"/>
    </row>
    <row r="124" spans="1:17" ht="123.75" customHeight="1" x14ac:dyDescent="0.3">
      <c r="A124" s="577"/>
      <c r="B124" s="578"/>
      <c r="C124" s="578"/>
      <c r="D124" s="579"/>
      <c r="E124" s="364"/>
      <c r="F124" s="445"/>
      <c r="G124" s="88" t="s">
        <v>103</v>
      </c>
      <c r="H124" s="196">
        <f>H87</f>
        <v>2680.3</v>
      </c>
      <c r="I124" s="196">
        <f t="shared" ref="I124:K124" si="49">I87</f>
        <v>2680.3</v>
      </c>
      <c r="J124" s="196">
        <f t="shared" si="49"/>
        <v>0</v>
      </c>
      <c r="K124" s="196">
        <f t="shared" si="49"/>
        <v>0</v>
      </c>
      <c r="L124" s="584"/>
      <c r="M124" s="23"/>
      <c r="P124" s="25"/>
      <c r="Q124" s="26"/>
    </row>
    <row r="125" spans="1:17" ht="28.5" customHeight="1" x14ac:dyDescent="0.3">
      <c r="A125" s="577"/>
      <c r="B125" s="578"/>
      <c r="C125" s="578"/>
      <c r="D125" s="579"/>
      <c r="E125" s="361" t="s">
        <v>79</v>
      </c>
      <c r="F125" s="445"/>
      <c r="G125" s="90" t="s">
        <v>101</v>
      </c>
      <c r="H125" s="187">
        <f>SUM(H126:H127)</f>
        <v>44220.002759103998</v>
      </c>
      <c r="I125" s="187">
        <f t="shared" ref="I125:K125" si="50">SUM(I126:I127)</f>
        <v>33193.464</v>
      </c>
      <c r="J125" s="187">
        <f t="shared" si="50"/>
        <v>5421.6559040000002</v>
      </c>
      <c r="K125" s="187">
        <f t="shared" si="50"/>
        <v>5604.8828551039996</v>
      </c>
      <c r="L125" s="584"/>
      <c r="M125" s="23"/>
      <c r="P125" s="25"/>
      <c r="Q125" s="26"/>
    </row>
    <row r="126" spans="1:17" ht="51" customHeight="1" x14ac:dyDescent="0.3">
      <c r="A126" s="577"/>
      <c r="B126" s="578"/>
      <c r="C126" s="578"/>
      <c r="D126" s="579"/>
      <c r="E126" s="362"/>
      <c r="F126" s="445"/>
      <c r="G126" s="131" t="s">
        <v>51</v>
      </c>
      <c r="H126" s="196">
        <f>H89</f>
        <v>32372.002759103998</v>
      </c>
      <c r="I126" s="196">
        <f t="shared" ref="I126:K126" si="51">I89</f>
        <v>21345.464</v>
      </c>
      <c r="J126" s="196">
        <f t="shared" si="51"/>
        <v>5421.6559040000002</v>
      </c>
      <c r="K126" s="196">
        <f t="shared" si="51"/>
        <v>5604.8828551039996</v>
      </c>
      <c r="L126" s="584"/>
      <c r="M126" s="23"/>
      <c r="P126" s="25"/>
      <c r="Q126" s="26"/>
    </row>
    <row r="127" spans="1:17" ht="74.25" customHeight="1" x14ac:dyDescent="0.3">
      <c r="A127" s="577"/>
      <c r="B127" s="578"/>
      <c r="C127" s="578"/>
      <c r="D127" s="579"/>
      <c r="E127" s="364"/>
      <c r="F127" s="445"/>
      <c r="G127" s="131" t="s">
        <v>100</v>
      </c>
      <c r="H127" s="196">
        <f>H90</f>
        <v>11848</v>
      </c>
      <c r="I127" s="196">
        <f t="shared" ref="I127:K127" si="52">I90</f>
        <v>11848</v>
      </c>
      <c r="J127" s="196">
        <f t="shared" si="52"/>
        <v>0</v>
      </c>
      <c r="K127" s="196">
        <f t="shared" si="52"/>
        <v>0</v>
      </c>
      <c r="L127" s="584"/>
      <c r="M127" s="23"/>
      <c r="P127" s="25"/>
      <c r="Q127" s="26"/>
    </row>
    <row r="128" spans="1:17" ht="25.5" customHeight="1" x14ac:dyDescent="0.3">
      <c r="A128" s="577"/>
      <c r="B128" s="578"/>
      <c r="C128" s="578"/>
      <c r="D128" s="579"/>
      <c r="E128" s="361" t="s">
        <v>83</v>
      </c>
      <c r="F128" s="445"/>
      <c r="G128" s="90" t="s">
        <v>101</v>
      </c>
      <c r="H128" s="187">
        <f>SUM(H129:H130)</f>
        <v>16202.557328000001</v>
      </c>
      <c r="I128" s="187">
        <f t="shared" ref="I128:K128" si="53">SUM(I129:I130)</f>
        <v>14731</v>
      </c>
      <c r="J128" s="187">
        <f t="shared" si="53"/>
        <v>830.928</v>
      </c>
      <c r="K128" s="187">
        <f t="shared" si="53"/>
        <v>640.62932799999999</v>
      </c>
      <c r="L128" s="584"/>
      <c r="M128" s="23"/>
      <c r="P128" s="25"/>
      <c r="Q128" s="26"/>
    </row>
    <row r="129" spans="1:17" ht="60" customHeight="1" x14ac:dyDescent="0.3">
      <c r="A129" s="577"/>
      <c r="B129" s="578"/>
      <c r="C129" s="578"/>
      <c r="D129" s="579"/>
      <c r="E129" s="362"/>
      <c r="F129" s="445"/>
      <c r="G129" s="131" t="s">
        <v>51</v>
      </c>
      <c r="H129" s="196">
        <f>H99</f>
        <v>9854.9573280000004</v>
      </c>
      <c r="I129" s="196">
        <f t="shared" ref="I129:K129" si="54">I99</f>
        <v>8383.4</v>
      </c>
      <c r="J129" s="196">
        <f t="shared" si="54"/>
        <v>830.928</v>
      </c>
      <c r="K129" s="196">
        <f t="shared" si="54"/>
        <v>640.62932799999999</v>
      </c>
      <c r="L129" s="584"/>
      <c r="M129" s="23"/>
      <c r="P129" s="25"/>
      <c r="Q129" s="26"/>
    </row>
    <row r="130" spans="1:17" ht="67.5" customHeight="1" x14ac:dyDescent="0.3">
      <c r="A130" s="577"/>
      <c r="B130" s="578"/>
      <c r="C130" s="578"/>
      <c r="D130" s="579"/>
      <c r="E130" s="364"/>
      <c r="F130" s="445"/>
      <c r="G130" s="131" t="s">
        <v>100</v>
      </c>
      <c r="H130" s="196">
        <f>H100</f>
        <v>6347.6</v>
      </c>
      <c r="I130" s="196">
        <f t="shared" ref="I130:K130" si="55">I100</f>
        <v>6347.6</v>
      </c>
      <c r="J130" s="196">
        <f t="shared" si="55"/>
        <v>0</v>
      </c>
      <c r="K130" s="196">
        <f t="shared" si="55"/>
        <v>0</v>
      </c>
      <c r="L130" s="584"/>
      <c r="M130" s="23"/>
      <c r="P130" s="25"/>
      <c r="Q130" s="26"/>
    </row>
    <row r="131" spans="1:17" ht="30.75" customHeight="1" x14ac:dyDescent="0.3">
      <c r="A131" s="577"/>
      <c r="B131" s="578"/>
      <c r="C131" s="578"/>
      <c r="D131" s="579"/>
      <c r="E131" s="361" t="s">
        <v>82</v>
      </c>
      <c r="F131" s="445"/>
      <c r="G131" s="90" t="s">
        <v>101</v>
      </c>
      <c r="H131" s="187">
        <f>SUM(H132:H133)</f>
        <v>6738.2</v>
      </c>
      <c r="I131" s="187">
        <f t="shared" ref="I131:K131" si="56">SUM(I132:I133)</f>
        <v>6738.2</v>
      </c>
      <c r="J131" s="187">
        <f t="shared" si="56"/>
        <v>0</v>
      </c>
      <c r="K131" s="187">
        <f t="shared" si="56"/>
        <v>0</v>
      </c>
      <c r="L131" s="584"/>
      <c r="M131" s="23"/>
      <c r="P131" s="25"/>
      <c r="Q131" s="26"/>
    </row>
    <row r="132" spans="1:17" ht="54.75" customHeight="1" x14ac:dyDescent="0.3">
      <c r="A132" s="577"/>
      <c r="B132" s="578"/>
      <c r="C132" s="578"/>
      <c r="D132" s="579"/>
      <c r="E132" s="362"/>
      <c r="F132" s="445"/>
      <c r="G132" s="131" t="s">
        <v>51</v>
      </c>
      <c r="H132" s="196">
        <f>H106</f>
        <v>5606</v>
      </c>
      <c r="I132" s="196">
        <f>I106</f>
        <v>5606</v>
      </c>
      <c r="J132" s="196">
        <f t="shared" ref="J132:K132" si="57">J106</f>
        <v>0</v>
      </c>
      <c r="K132" s="196">
        <f t="shared" si="57"/>
        <v>0</v>
      </c>
      <c r="L132" s="584"/>
      <c r="M132" s="23"/>
      <c r="P132" s="25"/>
      <c r="Q132" s="26"/>
    </row>
    <row r="133" spans="1:17" ht="75" customHeight="1" x14ac:dyDescent="0.3">
      <c r="A133" s="577"/>
      <c r="B133" s="578"/>
      <c r="C133" s="578"/>
      <c r="D133" s="579"/>
      <c r="E133" s="364"/>
      <c r="F133" s="445"/>
      <c r="G133" s="131" t="s">
        <v>100</v>
      </c>
      <c r="H133" s="196">
        <f>H107</f>
        <v>1132.2</v>
      </c>
      <c r="I133" s="196">
        <f t="shared" ref="I133:K133" si="58">I107</f>
        <v>1132.2</v>
      </c>
      <c r="J133" s="196">
        <f t="shared" si="58"/>
        <v>0</v>
      </c>
      <c r="K133" s="196">
        <f t="shared" si="58"/>
        <v>0</v>
      </c>
      <c r="L133" s="584"/>
      <c r="M133" s="23"/>
      <c r="P133" s="25"/>
      <c r="Q133" s="26"/>
    </row>
    <row r="134" spans="1:17" ht="58.5" customHeight="1" x14ac:dyDescent="0.3">
      <c r="A134" s="577"/>
      <c r="B134" s="578"/>
      <c r="C134" s="578"/>
      <c r="D134" s="579"/>
      <c r="E134" s="108" t="s">
        <v>84</v>
      </c>
      <c r="F134" s="445"/>
      <c r="G134" s="131" t="s">
        <v>51</v>
      </c>
      <c r="H134" s="187">
        <f>H22</f>
        <v>2663.235392</v>
      </c>
      <c r="I134" s="187">
        <f t="shared" ref="I134:K134" si="59">I22</f>
        <v>1511</v>
      </c>
      <c r="J134" s="187">
        <f t="shared" si="59"/>
        <v>561.79200000000003</v>
      </c>
      <c r="K134" s="187">
        <f t="shared" si="59"/>
        <v>590.44339200000002</v>
      </c>
      <c r="L134" s="584"/>
      <c r="M134" s="23"/>
      <c r="P134" s="25"/>
      <c r="Q134" s="26"/>
    </row>
    <row r="135" spans="1:17" ht="59.25" customHeight="1" x14ac:dyDescent="0.3">
      <c r="A135" s="577"/>
      <c r="B135" s="578"/>
      <c r="C135" s="578"/>
      <c r="D135" s="579"/>
      <c r="E135" s="95" t="s">
        <v>85</v>
      </c>
      <c r="F135" s="445"/>
      <c r="G135" s="131" t="s">
        <v>51</v>
      </c>
      <c r="H135" s="187">
        <f>H23</f>
        <v>2674.0876287999999</v>
      </c>
      <c r="I135" s="187">
        <f t="shared" ref="I135:K135" si="60">I23</f>
        <v>1483.3</v>
      </c>
      <c r="J135" s="187">
        <f t="shared" si="60"/>
        <v>580.58879999999999</v>
      </c>
      <c r="K135" s="187">
        <f t="shared" si="60"/>
        <v>610.1988288</v>
      </c>
      <c r="L135" s="584"/>
      <c r="M135" s="23"/>
      <c r="P135" s="25"/>
      <c r="Q135" s="26"/>
    </row>
    <row r="136" spans="1:17" ht="59.25" customHeight="1" x14ac:dyDescent="0.3">
      <c r="A136" s="580"/>
      <c r="B136" s="581"/>
      <c r="C136" s="581"/>
      <c r="D136" s="582"/>
      <c r="E136" s="317" t="s">
        <v>430</v>
      </c>
      <c r="F136" s="532"/>
      <c r="G136" s="324" t="s">
        <v>51</v>
      </c>
      <c r="H136" s="187">
        <f>H91</f>
        <v>3000</v>
      </c>
      <c r="I136" s="187">
        <f t="shared" ref="I136:K136" si="61">I91</f>
        <v>3000</v>
      </c>
      <c r="J136" s="187">
        <f t="shared" si="61"/>
        <v>0</v>
      </c>
      <c r="K136" s="187">
        <f t="shared" si="61"/>
        <v>0</v>
      </c>
      <c r="L136" s="585"/>
      <c r="M136" s="23"/>
      <c r="P136" s="25"/>
      <c r="Q136" s="26"/>
    </row>
    <row r="137" spans="1:17" ht="33.75" customHeight="1" x14ac:dyDescent="0.3">
      <c r="A137" s="408" t="s">
        <v>228</v>
      </c>
      <c r="B137" s="409"/>
      <c r="C137" s="409"/>
      <c r="D137" s="409"/>
      <c r="E137" s="409"/>
      <c r="F137" s="409"/>
      <c r="G137" s="409"/>
      <c r="H137" s="409"/>
      <c r="I137" s="409"/>
      <c r="J137" s="409"/>
      <c r="K137" s="409"/>
      <c r="L137" s="410"/>
    </row>
    <row r="138" spans="1:17" ht="33.75" customHeight="1" x14ac:dyDescent="0.3">
      <c r="A138" s="569" t="s">
        <v>237</v>
      </c>
      <c r="B138" s="570" t="s">
        <v>229</v>
      </c>
      <c r="C138" s="447" t="s">
        <v>248</v>
      </c>
      <c r="D138" s="549" t="s">
        <v>371</v>
      </c>
      <c r="E138" s="550"/>
      <c r="F138" s="550"/>
      <c r="G138" s="551"/>
      <c r="H138" s="187">
        <f>SUM(H139:H140)</f>
        <v>16443.456063999998</v>
      </c>
      <c r="I138" s="187">
        <f>SUM(I139:I140)</f>
        <v>5194</v>
      </c>
      <c r="J138" s="187">
        <f t="shared" ref="J138:K138" si="62">SUM(J139:J140)</f>
        <v>5484.8639999999996</v>
      </c>
      <c r="K138" s="187">
        <f t="shared" si="62"/>
        <v>5764.5920639999995</v>
      </c>
      <c r="L138" s="375" t="s">
        <v>292</v>
      </c>
    </row>
    <row r="139" spans="1:17" ht="267.75" customHeight="1" x14ac:dyDescent="0.3">
      <c r="A139" s="569"/>
      <c r="B139" s="570"/>
      <c r="C139" s="447"/>
      <c r="D139" s="46" t="s">
        <v>34</v>
      </c>
      <c r="E139" s="194" t="s">
        <v>84</v>
      </c>
      <c r="F139" s="360" t="s">
        <v>227</v>
      </c>
      <c r="G139" s="360" t="s">
        <v>51</v>
      </c>
      <c r="H139" s="179">
        <f>I139+J139+K139</f>
        <v>7380.5600927999994</v>
      </c>
      <c r="I139" s="180">
        <v>2331.2999999999997</v>
      </c>
      <c r="J139" s="180">
        <v>2461.8527999999997</v>
      </c>
      <c r="K139" s="180">
        <v>2587.4072927999996</v>
      </c>
      <c r="L139" s="375"/>
    </row>
    <row r="140" spans="1:17" ht="270.75" customHeight="1" x14ac:dyDescent="0.3">
      <c r="A140" s="569"/>
      <c r="B140" s="570"/>
      <c r="C140" s="447"/>
      <c r="D140" s="46" t="s">
        <v>34</v>
      </c>
      <c r="E140" s="194" t="s">
        <v>85</v>
      </c>
      <c r="F140" s="360"/>
      <c r="G140" s="360"/>
      <c r="H140" s="179">
        <f>I140+J140+K140</f>
        <v>9062.8959711999996</v>
      </c>
      <c r="I140" s="180">
        <v>2862.7</v>
      </c>
      <c r="J140" s="180">
        <v>3023.0111999999999</v>
      </c>
      <c r="K140" s="180">
        <v>3177.1847711999999</v>
      </c>
      <c r="L140" s="375"/>
    </row>
    <row r="141" spans="1:17" s="32" customFormat="1" ht="32.25" customHeight="1" x14ac:dyDescent="0.2">
      <c r="A141" s="569"/>
      <c r="B141" s="570"/>
      <c r="C141" s="571" t="s">
        <v>249</v>
      </c>
      <c r="D141" s="566" t="s">
        <v>372</v>
      </c>
      <c r="E141" s="566"/>
      <c r="F141" s="566"/>
      <c r="G141" s="566"/>
      <c r="H141" s="179">
        <f>H142+H143</f>
        <v>2638.4243904</v>
      </c>
      <c r="I141" s="179">
        <f>I142+I143</f>
        <v>833.40000000000009</v>
      </c>
      <c r="J141" s="179">
        <f t="shared" ref="J141:K141" si="63">J142+J143</f>
        <v>880.07040000000006</v>
      </c>
      <c r="K141" s="179">
        <f t="shared" si="63"/>
        <v>924.95399040000007</v>
      </c>
      <c r="L141" s="374" t="s">
        <v>47</v>
      </c>
      <c r="P141" s="25"/>
      <c r="Q141" s="33"/>
    </row>
    <row r="142" spans="1:17" ht="61.5" customHeight="1" x14ac:dyDescent="0.3">
      <c r="A142" s="569"/>
      <c r="B142" s="570"/>
      <c r="C142" s="572"/>
      <c r="D142" s="46" t="s">
        <v>34</v>
      </c>
      <c r="E142" s="95" t="s">
        <v>84</v>
      </c>
      <c r="F142" s="360" t="s">
        <v>227</v>
      </c>
      <c r="G142" s="360" t="s">
        <v>51</v>
      </c>
      <c r="H142" s="179">
        <f t="shared" ref="H142:H143" si="64">I142+J142+K142</f>
        <v>1515.8118528</v>
      </c>
      <c r="I142" s="180">
        <v>478.8</v>
      </c>
      <c r="J142" s="180">
        <f>I142*1.056</f>
        <v>505.61280000000005</v>
      </c>
      <c r="K142" s="180">
        <f>J142*1.051</f>
        <v>531.39905280000005</v>
      </c>
      <c r="L142" s="374"/>
    </row>
    <row r="143" spans="1:17" ht="81.75" customHeight="1" x14ac:dyDescent="0.3">
      <c r="A143" s="569"/>
      <c r="B143" s="570"/>
      <c r="C143" s="573"/>
      <c r="D143" s="46" t="s">
        <v>34</v>
      </c>
      <c r="E143" s="106" t="s">
        <v>85</v>
      </c>
      <c r="F143" s="360"/>
      <c r="G143" s="360"/>
      <c r="H143" s="179">
        <f t="shared" si="64"/>
        <v>1122.6125376</v>
      </c>
      <c r="I143" s="180">
        <v>354.6</v>
      </c>
      <c r="J143" s="180">
        <f>I143*1.056</f>
        <v>374.45760000000001</v>
      </c>
      <c r="K143" s="180">
        <f>J143*1.051</f>
        <v>393.55493760000002</v>
      </c>
      <c r="L143" s="374"/>
    </row>
    <row r="144" spans="1:17" ht="120" customHeight="1" x14ac:dyDescent="0.3">
      <c r="A144" s="569"/>
      <c r="B144" s="570"/>
      <c r="C144" s="98" t="s">
        <v>250</v>
      </c>
      <c r="D144" s="73" t="s">
        <v>30</v>
      </c>
      <c r="E144" s="95" t="s">
        <v>79</v>
      </c>
      <c r="F144" s="170" t="s">
        <v>227</v>
      </c>
      <c r="G144" s="86" t="s">
        <v>51</v>
      </c>
      <c r="H144" s="179">
        <f t="shared" ref="H144" si="65">I144+J144+K144</f>
        <v>2849.2704000000003</v>
      </c>
      <c r="I144" s="180">
        <v>900</v>
      </c>
      <c r="J144" s="180">
        <v>950.40000000000009</v>
      </c>
      <c r="K144" s="180">
        <v>998.87040000000002</v>
      </c>
      <c r="L144" s="381" t="s">
        <v>76</v>
      </c>
    </row>
    <row r="145" spans="1:17" s="8" customFormat="1" ht="32.25" customHeight="1" x14ac:dyDescent="0.3">
      <c r="A145" s="569"/>
      <c r="B145" s="570"/>
      <c r="C145" s="377" t="s">
        <v>251</v>
      </c>
      <c r="D145" s="566" t="s">
        <v>373</v>
      </c>
      <c r="E145" s="566"/>
      <c r="F145" s="566"/>
      <c r="G145" s="566"/>
      <c r="H145" s="179">
        <f>SUM(H146:H148)</f>
        <v>23082.0259104</v>
      </c>
      <c r="I145" s="179">
        <f>SUM(I146:I148)</f>
        <v>7290.9</v>
      </c>
      <c r="J145" s="179">
        <f t="shared" ref="J145:K145" si="66">SUM(J146:J148)</f>
        <v>7699.1904000000004</v>
      </c>
      <c r="K145" s="179">
        <f t="shared" si="66"/>
        <v>8091.9355104000006</v>
      </c>
      <c r="L145" s="382"/>
    </row>
    <row r="146" spans="1:17" s="8" customFormat="1" ht="57" customHeight="1" x14ac:dyDescent="0.3">
      <c r="A146" s="569"/>
      <c r="B146" s="570"/>
      <c r="C146" s="378"/>
      <c r="D146" s="71" t="s">
        <v>30</v>
      </c>
      <c r="E146" s="95" t="s">
        <v>79</v>
      </c>
      <c r="F146" s="427" t="s">
        <v>18</v>
      </c>
      <c r="G146" s="360" t="s">
        <v>51</v>
      </c>
      <c r="H146" s="179">
        <f>I146+J146+K146</f>
        <v>1899.6</v>
      </c>
      <c r="I146" s="180">
        <v>600</v>
      </c>
      <c r="J146" s="180">
        <v>633.6</v>
      </c>
      <c r="K146" s="180">
        <v>666</v>
      </c>
      <c r="L146" s="382"/>
    </row>
    <row r="147" spans="1:17" s="8" customFormat="1" ht="53.25" customHeight="1" x14ac:dyDescent="0.3">
      <c r="A147" s="569"/>
      <c r="B147" s="570"/>
      <c r="C147" s="378"/>
      <c r="D147" s="46" t="s">
        <v>37</v>
      </c>
      <c r="E147" s="95" t="s">
        <v>84</v>
      </c>
      <c r="F147" s="427"/>
      <c r="G147" s="360"/>
      <c r="H147" s="179">
        <f>I147+J147+K147</f>
        <v>9630.2173664000002</v>
      </c>
      <c r="I147" s="180">
        <v>3041.9</v>
      </c>
      <c r="J147" s="180">
        <v>3212.2464000000004</v>
      </c>
      <c r="K147" s="180">
        <v>3376.0709664000001</v>
      </c>
      <c r="L147" s="382"/>
    </row>
    <row r="148" spans="1:17" s="8" customFormat="1" ht="69" customHeight="1" x14ac:dyDescent="0.3">
      <c r="A148" s="569"/>
      <c r="B148" s="570"/>
      <c r="C148" s="379"/>
      <c r="D148" s="46" t="s">
        <v>37</v>
      </c>
      <c r="E148" s="106" t="s">
        <v>85</v>
      </c>
      <c r="F148" s="427"/>
      <c r="G148" s="360"/>
      <c r="H148" s="179">
        <f>I148+J148+K148</f>
        <v>11552.208544000001</v>
      </c>
      <c r="I148" s="180">
        <v>3649</v>
      </c>
      <c r="J148" s="180">
        <v>3853.3440000000001</v>
      </c>
      <c r="K148" s="180">
        <v>4049.864544</v>
      </c>
      <c r="L148" s="382"/>
    </row>
    <row r="149" spans="1:17" s="8" customFormat="1" ht="177" customHeight="1" x14ac:dyDescent="0.3">
      <c r="A149" s="569"/>
      <c r="B149" s="570"/>
      <c r="C149" s="97" t="s">
        <v>252</v>
      </c>
      <c r="D149" s="71" t="s">
        <v>30</v>
      </c>
      <c r="E149" s="95" t="s">
        <v>79</v>
      </c>
      <c r="F149" s="427"/>
      <c r="G149" s="360"/>
      <c r="H149" s="179">
        <f>I149+J149+K149</f>
        <v>1329.6</v>
      </c>
      <c r="I149" s="180">
        <v>420</v>
      </c>
      <c r="J149" s="180">
        <v>443.5</v>
      </c>
      <c r="K149" s="180">
        <v>466.1</v>
      </c>
      <c r="L149" s="383"/>
    </row>
    <row r="150" spans="1:17" ht="26.25" customHeight="1" x14ac:dyDescent="0.3">
      <c r="A150" s="569"/>
      <c r="B150" s="570"/>
      <c r="C150" s="375" t="s">
        <v>253</v>
      </c>
      <c r="D150" s="566" t="s">
        <v>374</v>
      </c>
      <c r="E150" s="566"/>
      <c r="F150" s="566"/>
      <c r="G150" s="566"/>
      <c r="H150" s="179">
        <f>H151+H152</f>
        <v>6081.2847583999992</v>
      </c>
      <c r="I150" s="179">
        <f>I151+I152</f>
        <v>1920.9</v>
      </c>
      <c r="J150" s="179">
        <f t="shared" ref="J150:K150" si="67">J151+J152</f>
        <v>2028.4384</v>
      </c>
      <c r="K150" s="179">
        <f t="shared" si="67"/>
        <v>2131.9463584</v>
      </c>
      <c r="L150" s="375" t="s">
        <v>111</v>
      </c>
    </row>
    <row r="151" spans="1:17" ht="33.75" customHeight="1" x14ac:dyDescent="0.3">
      <c r="A151" s="569"/>
      <c r="B151" s="570"/>
      <c r="C151" s="375"/>
      <c r="D151" s="376" t="s">
        <v>34</v>
      </c>
      <c r="E151" s="95" t="s">
        <v>80</v>
      </c>
      <c r="F151" s="427" t="s">
        <v>227</v>
      </c>
      <c r="G151" s="360" t="s">
        <v>51</v>
      </c>
      <c r="H151" s="179">
        <f t="shared" ref="H151:H152" si="68">I151+J151+K151</f>
        <v>1816.8847584</v>
      </c>
      <c r="I151" s="180">
        <v>573.9</v>
      </c>
      <c r="J151" s="180">
        <v>606.03840000000002</v>
      </c>
      <c r="K151" s="180">
        <v>636.94635840000001</v>
      </c>
      <c r="L151" s="375"/>
    </row>
    <row r="152" spans="1:17" ht="87.75" customHeight="1" x14ac:dyDescent="0.3">
      <c r="A152" s="569"/>
      <c r="B152" s="570"/>
      <c r="C152" s="375"/>
      <c r="D152" s="376"/>
      <c r="E152" s="95" t="s">
        <v>82</v>
      </c>
      <c r="F152" s="427"/>
      <c r="G152" s="360"/>
      <c r="H152" s="179">
        <f t="shared" si="68"/>
        <v>4264.3999999999996</v>
      </c>
      <c r="I152" s="180">
        <v>1347</v>
      </c>
      <c r="J152" s="180">
        <v>1422.4</v>
      </c>
      <c r="K152" s="180">
        <v>1495</v>
      </c>
      <c r="L152" s="375"/>
    </row>
    <row r="153" spans="1:17" ht="143.25" customHeight="1" x14ac:dyDescent="0.3">
      <c r="A153" s="569"/>
      <c r="B153" s="570"/>
      <c r="C153" s="95" t="s">
        <v>254</v>
      </c>
      <c r="D153" s="56" t="s">
        <v>30</v>
      </c>
      <c r="E153" s="95" t="s">
        <v>81</v>
      </c>
      <c r="F153" s="171" t="s">
        <v>227</v>
      </c>
      <c r="G153" s="88" t="s">
        <v>51</v>
      </c>
      <c r="H153" s="179">
        <f>I153+J153+K153</f>
        <v>520</v>
      </c>
      <c r="I153" s="180">
        <v>120</v>
      </c>
      <c r="J153" s="180">
        <v>200</v>
      </c>
      <c r="K153" s="180">
        <v>200</v>
      </c>
      <c r="L153" s="98" t="s">
        <v>112</v>
      </c>
    </row>
    <row r="154" spans="1:17" ht="33.75" customHeight="1" x14ac:dyDescent="0.3">
      <c r="A154" s="569"/>
      <c r="B154" s="570"/>
      <c r="C154" s="380" t="s">
        <v>293</v>
      </c>
      <c r="D154" s="566" t="s">
        <v>375</v>
      </c>
      <c r="E154" s="566"/>
      <c r="F154" s="566"/>
      <c r="G154" s="566"/>
      <c r="H154" s="179">
        <f>H155+H156+H157</f>
        <v>11743.6</v>
      </c>
      <c r="I154" s="179">
        <f>I155+I156+I157</f>
        <v>11743.6</v>
      </c>
      <c r="J154" s="179">
        <f t="shared" ref="J154:K154" si="69">J155+J156+J157</f>
        <v>0</v>
      </c>
      <c r="K154" s="179">
        <f t="shared" si="69"/>
        <v>0</v>
      </c>
      <c r="L154" s="374" t="s">
        <v>73</v>
      </c>
    </row>
    <row r="155" spans="1:17" ht="193.5" customHeight="1" x14ac:dyDescent="0.3">
      <c r="A155" s="569"/>
      <c r="B155" s="570"/>
      <c r="C155" s="380"/>
      <c r="D155" s="376" t="s">
        <v>35</v>
      </c>
      <c r="E155" s="375" t="s">
        <v>227</v>
      </c>
      <c r="F155" s="411"/>
      <c r="G155" s="86" t="s">
        <v>103</v>
      </c>
      <c r="H155" s="179">
        <f>I155+J155+K155</f>
        <v>1490.1</v>
      </c>
      <c r="I155" s="180">
        <v>1490.1</v>
      </c>
      <c r="J155" s="193">
        <v>0</v>
      </c>
      <c r="K155" s="180">
        <v>0</v>
      </c>
      <c r="L155" s="374"/>
    </row>
    <row r="156" spans="1:17" ht="237" customHeight="1" x14ac:dyDescent="0.3">
      <c r="A156" s="569"/>
      <c r="B156" s="570"/>
      <c r="C156" s="380"/>
      <c r="D156" s="376"/>
      <c r="E156" s="375"/>
      <c r="F156" s="411"/>
      <c r="G156" s="86" t="s">
        <v>104</v>
      </c>
      <c r="H156" s="179">
        <f>I156+J156+K156</f>
        <v>7853.5</v>
      </c>
      <c r="I156" s="180">
        <f>4342.6+3510.9</f>
        <v>7853.5</v>
      </c>
      <c r="J156" s="193">
        <v>0</v>
      </c>
      <c r="K156" s="180">
        <v>0</v>
      </c>
      <c r="L156" s="374"/>
    </row>
    <row r="157" spans="1:17" ht="47.25" customHeight="1" x14ac:dyDescent="0.3">
      <c r="A157" s="569"/>
      <c r="B157" s="570"/>
      <c r="C157" s="380"/>
      <c r="D157" s="376"/>
      <c r="E157" s="375"/>
      <c r="F157" s="411"/>
      <c r="G157" s="86" t="s">
        <v>57</v>
      </c>
      <c r="H157" s="179">
        <f>I157+J157+K157</f>
        <v>2400</v>
      </c>
      <c r="I157" s="180">
        <f>1600+800</f>
        <v>2400</v>
      </c>
      <c r="J157" s="180">
        <v>0</v>
      </c>
      <c r="K157" s="180">
        <v>0</v>
      </c>
      <c r="L157" s="374"/>
    </row>
    <row r="158" spans="1:17" ht="35.25" customHeight="1" x14ac:dyDescent="0.3">
      <c r="A158" s="569"/>
      <c r="B158" s="570"/>
      <c r="C158" s="375" t="s">
        <v>294</v>
      </c>
      <c r="D158" s="549" t="s">
        <v>376</v>
      </c>
      <c r="E158" s="550"/>
      <c r="F158" s="550"/>
      <c r="G158" s="551"/>
      <c r="H158" s="179">
        <f>SUM(H159:H163)</f>
        <v>2774.5230271999999</v>
      </c>
      <c r="I158" s="179">
        <f>SUM(I159:I163)</f>
        <v>876.8</v>
      </c>
      <c r="J158" s="179">
        <f t="shared" ref="J158:K158" si="70">SUM(J159:J163)</f>
        <v>925.26720000000012</v>
      </c>
      <c r="K158" s="179">
        <f t="shared" si="70"/>
        <v>972.45582720000004</v>
      </c>
      <c r="L158" s="375" t="s">
        <v>53</v>
      </c>
    </row>
    <row r="159" spans="1:17" s="32" customFormat="1" ht="49.5" customHeight="1" x14ac:dyDescent="0.2">
      <c r="A159" s="569"/>
      <c r="B159" s="570"/>
      <c r="C159" s="375"/>
      <c r="D159" s="567" t="s">
        <v>30</v>
      </c>
      <c r="E159" s="374" t="s">
        <v>86</v>
      </c>
      <c r="F159" s="427" t="s">
        <v>18</v>
      </c>
      <c r="G159" s="86" t="s">
        <v>51</v>
      </c>
      <c r="H159" s="179">
        <f t="shared" ref="H159:H163" si="71">I159+J159+K159</f>
        <v>893.08797760000004</v>
      </c>
      <c r="I159" s="180">
        <v>282.10000000000002</v>
      </c>
      <c r="J159" s="180">
        <f>I159*1.056</f>
        <v>297.89760000000001</v>
      </c>
      <c r="K159" s="180">
        <f>J159*1.051</f>
        <v>313.09037760000001</v>
      </c>
      <c r="L159" s="375"/>
      <c r="P159" s="25"/>
      <c r="Q159" s="33"/>
    </row>
    <row r="160" spans="1:17" s="32" customFormat="1" ht="162.75" x14ac:dyDescent="0.2">
      <c r="A160" s="569"/>
      <c r="B160" s="570"/>
      <c r="C160" s="375"/>
      <c r="D160" s="568"/>
      <c r="E160" s="374"/>
      <c r="F160" s="427"/>
      <c r="G160" s="86" t="s">
        <v>103</v>
      </c>
      <c r="H160" s="179">
        <f t="shared" si="71"/>
        <v>0.6</v>
      </c>
      <c r="I160" s="180">
        <v>0.6</v>
      </c>
      <c r="J160" s="180"/>
      <c r="K160" s="180"/>
      <c r="L160" s="375"/>
      <c r="P160" s="25"/>
      <c r="Q160" s="33"/>
    </row>
    <row r="161" spans="1:17" s="32" customFormat="1" ht="30.75" customHeight="1" x14ac:dyDescent="0.2">
      <c r="A161" s="569"/>
      <c r="B161" s="570"/>
      <c r="C161" s="375"/>
      <c r="D161" s="52" t="s">
        <v>30</v>
      </c>
      <c r="E161" s="95" t="s">
        <v>80</v>
      </c>
      <c r="F161" s="427"/>
      <c r="G161" s="360" t="s">
        <v>51</v>
      </c>
      <c r="H161" s="179">
        <f t="shared" si="71"/>
        <v>1215.6887040000001</v>
      </c>
      <c r="I161" s="180">
        <v>384</v>
      </c>
      <c r="J161" s="180">
        <f>I161*1.056</f>
        <v>405.50400000000002</v>
      </c>
      <c r="K161" s="180">
        <f>J161*1.051</f>
        <v>426.18470400000001</v>
      </c>
      <c r="L161" s="375"/>
      <c r="P161" s="25"/>
      <c r="Q161" s="33"/>
    </row>
    <row r="162" spans="1:17" s="32" customFormat="1" ht="30.75" customHeight="1" x14ac:dyDescent="0.2">
      <c r="A162" s="569"/>
      <c r="B162" s="570"/>
      <c r="C162" s="375"/>
      <c r="D162" s="52" t="s">
        <v>30</v>
      </c>
      <c r="E162" s="95" t="s">
        <v>81</v>
      </c>
      <c r="F162" s="427"/>
      <c r="G162" s="360"/>
      <c r="H162" s="179">
        <f t="shared" si="71"/>
        <v>611.95996480000008</v>
      </c>
      <c r="I162" s="180">
        <v>193.3</v>
      </c>
      <c r="J162" s="180">
        <f>I162*1.056</f>
        <v>204.12480000000002</v>
      </c>
      <c r="K162" s="180">
        <f>J162*1.051</f>
        <v>214.53516480000002</v>
      </c>
      <c r="L162" s="375"/>
      <c r="P162" s="25"/>
      <c r="Q162" s="33"/>
    </row>
    <row r="163" spans="1:17" s="32" customFormat="1" ht="63.75" customHeight="1" x14ac:dyDescent="0.2">
      <c r="A163" s="569"/>
      <c r="B163" s="570"/>
      <c r="C163" s="375"/>
      <c r="D163" s="52" t="s">
        <v>30</v>
      </c>
      <c r="E163" s="95" t="s">
        <v>79</v>
      </c>
      <c r="F163" s="427"/>
      <c r="G163" s="360"/>
      <c r="H163" s="179">
        <f t="shared" si="71"/>
        <v>53.186380800000002</v>
      </c>
      <c r="I163" s="180">
        <v>16.8</v>
      </c>
      <c r="J163" s="180">
        <f>I163*1.056</f>
        <v>17.7408</v>
      </c>
      <c r="K163" s="180">
        <f>J163*1.051</f>
        <v>18.645580799999998</v>
      </c>
      <c r="L163" s="375"/>
      <c r="P163" s="25"/>
      <c r="Q163" s="33"/>
    </row>
    <row r="164" spans="1:17" ht="30" x14ac:dyDescent="0.3">
      <c r="A164" s="538" t="s">
        <v>69</v>
      </c>
      <c r="B164" s="539"/>
      <c r="C164" s="539"/>
      <c r="D164" s="539"/>
      <c r="E164" s="539"/>
      <c r="F164" s="540"/>
      <c r="G164" s="90"/>
      <c r="H164" s="179">
        <f>H138+H141+H144+H145+H149+H150+H153+H154+H158</f>
        <v>67462.184550399994</v>
      </c>
      <c r="I164" s="179">
        <f t="shared" ref="I164:K164" si="72">I138+I141+I144+I145+I149+I150+I153+I154+I158</f>
        <v>29299.600000000002</v>
      </c>
      <c r="J164" s="179">
        <f t="shared" si="72"/>
        <v>18611.730399999997</v>
      </c>
      <c r="K164" s="179">
        <f t="shared" si="72"/>
        <v>19550.854150399999</v>
      </c>
      <c r="L164" s="384"/>
    </row>
    <row r="165" spans="1:17" s="32" customFormat="1" ht="56.25" customHeight="1" x14ac:dyDescent="0.2">
      <c r="A165" s="421" t="s">
        <v>19</v>
      </c>
      <c r="B165" s="421"/>
      <c r="C165" s="99"/>
      <c r="D165" s="51"/>
      <c r="E165" s="100"/>
      <c r="F165" s="55"/>
      <c r="G165" s="133" t="s">
        <v>51</v>
      </c>
      <c r="H165" s="191">
        <f>H139+H140+H142+H143+H144+H146+H147+H148+H149+H151+H152+H153+H157+H159+H161+H162+H163</f>
        <v>58117.984550400004</v>
      </c>
      <c r="I165" s="191">
        <f t="shared" ref="I165:K165" si="73">I139+I140+I142+I143+I144+I146+I147+I148+I149+I151+I152+I153+I157+I159+I161+I162+I163</f>
        <v>19955.399999999998</v>
      </c>
      <c r="J165" s="191">
        <f t="shared" si="73"/>
        <v>18611.7304</v>
      </c>
      <c r="K165" s="191">
        <f t="shared" si="73"/>
        <v>19550.854150399999</v>
      </c>
      <c r="L165" s="385"/>
      <c r="P165" s="25"/>
      <c r="Q165" s="33"/>
    </row>
    <row r="166" spans="1:17" s="32" customFormat="1" ht="198" customHeight="1" x14ac:dyDescent="0.2">
      <c r="A166" s="66"/>
      <c r="B166" s="62"/>
      <c r="C166" s="100"/>
      <c r="D166" s="51"/>
      <c r="E166" s="100"/>
      <c r="F166" s="54"/>
      <c r="G166" s="134" t="s">
        <v>103</v>
      </c>
      <c r="H166" s="192">
        <f>H160+H155</f>
        <v>1490.6999999999998</v>
      </c>
      <c r="I166" s="192">
        <f t="shared" ref="I166:K166" si="74">I160+I155</f>
        <v>1490.6999999999998</v>
      </c>
      <c r="J166" s="192">
        <f t="shared" si="74"/>
        <v>0</v>
      </c>
      <c r="K166" s="192">
        <f t="shared" si="74"/>
        <v>0</v>
      </c>
      <c r="L166" s="385"/>
      <c r="P166" s="25"/>
      <c r="Q166" s="33"/>
    </row>
    <row r="167" spans="1:17" s="32" customFormat="1" ht="232.5" x14ac:dyDescent="0.2">
      <c r="A167" s="66"/>
      <c r="B167" s="62"/>
      <c r="C167" s="100"/>
      <c r="D167" s="51"/>
      <c r="E167" s="100"/>
      <c r="F167" s="54"/>
      <c r="G167" s="135" t="s">
        <v>104</v>
      </c>
      <c r="H167" s="192">
        <f>H156</f>
        <v>7853.5</v>
      </c>
      <c r="I167" s="192">
        <f t="shared" ref="I167:K167" si="75">I156</f>
        <v>7853.5</v>
      </c>
      <c r="J167" s="192">
        <f t="shared" si="75"/>
        <v>0</v>
      </c>
      <c r="K167" s="192">
        <f t="shared" si="75"/>
        <v>0</v>
      </c>
      <c r="L167" s="385"/>
      <c r="P167" s="25"/>
      <c r="Q167" s="33"/>
    </row>
    <row r="168" spans="1:17" s="32" customFormat="1" ht="33.75" customHeight="1" x14ac:dyDescent="0.2">
      <c r="A168" s="363" t="s">
        <v>295</v>
      </c>
      <c r="B168" s="363"/>
      <c r="C168" s="363"/>
      <c r="D168" s="363"/>
      <c r="E168" s="399" t="s">
        <v>86</v>
      </c>
      <c r="F168" s="399"/>
      <c r="G168" s="136" t="s">
        <v>102</v>
      </c>
      <c r="H168" s="187">
        <f>SUM(H169:H170)</f>
        <v>893.68797760000007</v>
      </c>
      <c r="I168" s="187">
        <f t="shared" ref="I168:K168" si="76">SUM(I169:I170)</f>
        <v>282.70000000000005</v>
      </c>
      <c r="J168" s="187">
        <f t="shared" si="76"/>
        <v>297.89760000000001</v>
      </c>
      <c r="K168" s="187">
        <f t="shared" si="76"/>
        <v>313.09037760000001</v>
      </c>
      <c r="L168" s="385"/>
      <c r="P168" s="25"/>
      <c r="Q168" s="33"/>
    </row>
    <row r="169" spans="1:17" s="32" customFormat="1" ht="214.5" customHeight="1" x14ac:dyDescent="0.2">
      <c r="A169" s="363"/>
      <c r="B169" s="363"/>
      <c r="C169" s="363"/>
      <c r="D169" s="363"/>
      <c r="E169" s="399"/>
      <c r="F169" s="399"/>
      <c r="G169" s="90" t="s">
        <v>103</v>
      </c>
      <c r="H169" s="187">
        <f>H160</f>
        <v>0.6</v>
      </c>
      <c r="I169" s="187">
        <f t="shared" ref="I169:K169" si="77">I160</f>
        <v>0.6</v>
      </c>
      <c r="J169" s="187">
        <f t="shared" si="77"/>
        <v>0</v>
      </c>
      <c r="K169" s="187">
        <f t="shared" si="77"/>
        <v>0</v>
      </c>
      <c r="L169" s="385"/>
      <c r="P169" s="25"/>
      <c r="Q169" s="33"/>
    </row>
    <row r="170" spans="1:17" s="32" customFormat="1" ht="54.75" customHeight="1" x14ac:dyDescent="0.2">
      <c r="A170" s="363"/>
      <c r="B170" s="363"/>
      <c r="C170" s="363"/>
      <c r="D170" s="363"/>
      <c r="E170" s="399"/>
      <c r="F170" s="399"/>
      <c r="G170" s="90" t="s">
        <v>51</v>
      </c>
      <c r="H170" s="187">
        <f>H159</f>
        <v>893.08797760000004</v>
      </c>
      <c r="I170" s="187">
        <f t="shared" ref="I170:K170" si="78">I159</f>
        <v>282.10000000000002</v>
      </c>
      <c r="J170" s="187">
        <f t="shared" si="78"/>
        <v>297.89760000000001</v>
      </c>
      <c r="K170" s="187">
        <f t="shared" si="78"/>
        <v>313.09037760000001</v>
      </c>
      <c r="L170" s="385"/>
      <c r="P170" s="25"/>
      <c r="Q170" s="33"/>
    </row>
    <row r="171" spans="1:17" ht="25.5" customHeight="1" x14ac:dyDescent="0.3">
      <c r="A171" s="363"/>
      <c r="B171" s="363"/>
      <c r="C171" s="363"/>
      <c r="D171" s="363"/>
      <c r="E171" s="399" t="s">
        <v>80</v>
      </c>
      <c r="F171" s="399"/>
      <c r="G171" s="400" t="s">
        <v>51</v>
      </c>
      <c r="H171" s="187">
        <f>H161+H151</f>
        <v>3032.5734624000002</v>
      </c>
      <c r="I171" s="187">
        <f t="shared" ref="I171:K171" si="79">I161+I151</f>
        <v>957.9</v>
      </c>
      <c r="J171" s="187">
        <f t="shared" si="79"/>
        <v>1011.5424</v>
      </c>
      <c r="K171" s="187">
        <f t="shared" si="79"/>
        <v>1063.1310624</v>
      </c>
      <c r="L171" s="385"/>
      <c r="M171" s="23"/>
      <c r="P171" s="25"/>
      <c r="Q171" s="26"/>
    </row>
    <row r="172" spans="1:17" ht="25.5" customHeight="1" x14ac:dyDescent="0.3">
      <c r="A172" s="363"/>
      <c r="B172" s="363"/>
      <c r="C172" s="363"/>
      <c r="D172" s="363"/>
      <c r="E172" s="399" t="s">
        <v>81</v>
      </c>
      <c r="F172" s="399"/>
      <c r="G172" s="401"/>
      <c r="H172" s="187">
        <f>H162+H153</f>
        <v>1131.9599648000001</v>
      </c>
      <c r="I172" s="187">
        <f t="shared" ref="I172:K172" si="80">I162+I153</f>
        <v>313.3</v>
      </c>
      <c r="J172" s="187">
        <f t="shared" si="80"/>
        <v>404.12480000000005</v>
      </c>
      <c r="K172" s="187">
        <f t="shared" si="80"/>
        <v>414.53516480000002</v>
      </c>
      <c r="L172" s="385"/>
      <c r="M172" s="23"/>
      <c r="P172" s="25"/>
      <c r="Q172" s="26"/>
    </row>
    <row r="173" spans="1:17" ht="26.25" customHeight="1" x14ac:dyDescent="0.3">
      <c r="A173" s="363"/>
      <c r="B173" s="363"/>
      <c r="C173" s="363"/>
      <c r="D173" s="363"/>
      <c r="E173" s="399" t="s">
        <v>79</v>
      </c>
      <c r="F173" s="399"/>
      <c r="G173" s="401"/>
      <c r="H173" s="187">
        <f>H163+H149+H146+H144</f>
        <v>6131.6567808</v>
      </c>
      <c r="I173" s="187">
        <f t="shared" ref="I173:K173" si="81">I163+I149+I146+I144</f>
        <v>1936.8</v>
      </c>
      <c r="J173" s="187">
        <f t="shared" si="81"/>
        <v>2045.2408</v>
      </c>
      <c r="K173" s="187">
        <f t="shared" si="81"/>
        <v>2149.6159808000002</v>
      </c>
      <c r="L173" s="385"/>
      <c r="M173" s="23"/>
      <c r="P173" s="25"/>
      <c r="Q173" s="26"/>
    </row>
    <row r="174" spans="1:17" ht="26.25" customHeight="1" x14ac:dyDescent="0.3">
      <c r="A174" s="363"/>
      <c r="B174" s="363"/>
      <c r="C174" s="363"/>
      <c r="D174" s="363"/>
      <c r="E174" s="412" t="s">
        <v>82</v>
      </c>
      <c r="F174" s="413"/>
      <c r="G174" s="401"/>
      <c r="H174" s="187">
        <f>H152</f>
        <v>4264.3999999999996</v>
      </c>
      <c r="I174" s="187">
        <f>I152</f>
        <v>1347</v>
      </c>
      <c r="J174" s="187">
        <f t="shared" ref="J174:K174" si="82">J152</f>
        <v>1422.4</v>
      </c>
      <c r="K174" s="187">
        <f t="shared" si="82"/>
        <v>1495</v>
      </c>
      <c r="L174" s="385"/>
      <c r="M174" s="23"/>
      <c r="P174" s="25"/>
      <c r="Q174" s="26"/>
    </row>
    <row r="175" spans="1:17" ht="49.5" customHeight="1" x14ac:dyDescent="0.3">
      <c r="A175" s="363"/>
      <c r="B175" s="363"/>
      <c r="C175" s="363"/>
      <c r="D175" s="363"/>
      <c r="E175" s="399" t="s">
        <v>84</v>
      </c>
      <c r="F175" s="399"/>
      <c r="G175" s="401"/>
      <c r="H175" s="187">
        <f>H139+H142+H147</f>
        <v>18526.589312</v>
      </c>
      <c r="I175" s="187">
        <f t="shared" ref="I175:K175" si="83">I139+I142+I147</f>
        <v>5852</v>
      </c>
      <c r="J175" s="187">
        <f t="shared" si="83"/>
        <v>6179.7119999999995</v>
      </c>
      <c r="K175" s="187">
        <f t="shared" si="83"/>
        <v>6494.8773119999996</v>
      </c>
      <c r="L175" s="385"/>
      <c r="M175" s="23"/>
      <c r="P175" s="25"/>
      <c r="Q175" s="26"/>
    </row>
    <row r="176" spans="1:17" ht="53.25" customHeight="1" x14ac:dyDescent="0.3">
      <c r="A176" s="363"/>
      <c r="B176" s="363"/>
      <c r="C176" s="363"/>
      <c r="D176" s="363"/>
      <c r="E176" s="399" t="s">
        <v>85</v>
      </c>
      <c r="F176" s="399"/>
      <c r="G176" s="402"/>
      <c r="H176" s="187">
        <f>H140+H143+H148</f>
        <v>21737.717052799999</v>
      </c>
      <c r="I176" s="187">
        <f t="shared" ref="I176:K176" si="84">I140+I143+I148</f>
        <v>6866.2999999999993</v>
      </c>
      <c r="J176" s="187">
        <f t="shared" si="84"/>
        <v>7250.8127999999997</v>
      </c>
      <c r="K176" s="187">
        <f t="shared" si="84"/>
        <v>7620.6042527999998</v>
      </c>
      <c r="L176" s="385"/>
      <c r="M176" s="23"/>
      <c r="P176" s="25"/>
      <c r="Q176" s="26"/>
    </row>
    <row r="177" spans="1:17" ht="29.25" customHeight="1" x14ac:dyDescent="0.3">
      <c r="A177" s="363"/>
      <c r="B177" s="363"/>
      <c r="C177" s="363"/>
      <c r="D177" s="363"/>
      <c r="E177" s="399" t="s">
        <v>56</v>
      </c>
      <c r="F177" s="399"/>
      <c r="G177" s="136" t="s">
        <v>102</v>
      </c>
      <c r="H177" s="179">
        <f>SUM(H178:H180)</f>
        <v>11743.6</v>
      </c>
      <c r="I177" s="179">
        <f t="shared" ref="I177:K177" si="85">SUM(I178:I180)</f>
        <v>11743.6</v>
      </c>
      <c r="J177" s="179">
        <f t="shared" si="85"/>
        <v>0</v>
      </c>
      <c r="K177" s="179">
        <f t="shared" si="85"/>
        <v>0</v>
      </c>
      <c r="L177" s="385"/>
      <c r="M177" s="23"/>
      <c r="P177" s="25"/>
      <c r="Q177" s="26"/>
    </row>
    <row r="178" spans="1:17" ht="209.25" customHeight="1" x14ac:dyDescent="0.3">
      <c r="A178" s="363"/>
      <c r="B178" s="363"/>
      <c r="C178" s="363"/>
      <c r="D178" s="363"/>
      <c r="E178" s="399"/>
      <c r="F178" s="399"/>
      <c r="G178" s="149" t="s">
        <v>103</v>
      </c>
      <c r="H178" s="179">
        <f>H155</f>
        <v>1490.1</v>
      </c>
      <c r="I178" s="179">
        <f>I155</f>
        <v>1490.1</v>
      </c>
      <c r="J178" s="179">
        <f t="shared" ref="J178:K178" si="86">J155</f>
        <v>0</v>
      </c>
      <c r="K178" s="179">
        <f t="shared" si="86"/>
        <v>0</v>
      </c>
      <c r="L178" s="385"/>
      <c r="M178" s="23"/>
      <c r="P178" s="25"/>
      <c r="Q178" s="26"/>
    </row>
    <row r="179" spans="1:17" ht="255.75" customHeight="1" x14ac:dyDescent="0.3">
      <c r="A179" s="363"/>
      <c r="B179" s="363"/>
      <c r="C179" s="363"/>
      <c r="D179" s="363"/>
      <c r="E179" s="399"/>
      <c r="F179" s="399"/>
      <c r="G179" s="90" t="s">
        <v>104</v>
      </c>
      <c r="H179" s="179">
        <f>H156</f>
        <v>7853.5</v>
      </c>
      <c r="I179" s="179">
        <f t="shared" ref="I179:K179" si="87">I156</f>
        <v>7853.5</v>
      </c>
      <c r="J179" s="179">
        <f t="shared" si="87"/>
        <v>0</v>
      </c>
      <c r="K179" s="179">
        <f t="shared" si="87"/>
        <v>0</v>
      </c>
      <c r="L179" s="385"/>
      <c r="M179" s="23"/>
      <c r="P179" s="25"/>
      <c r="Q179" s="26"/>
    </row>
    <row r="180" spans="1:17" ht="79.5" customHeight="1" x14ac:dyDescent="0.3">
      <c r="A180" s="363"/>
      <c r="B180" s="363"/>
      <c r="C180" s="363"/>
      <c r="D180" s="363"/>
      <c r="E180" s="399"/>
      <c r="F180" s="399"/>
      <c r="G180" s="90" t="s">
        <v>57</v>
      </c>
      <c r="H180" s="179">
        <f>H157</f>
        <v>2400</v>
      </c>
      <c r="I180" s="179">
        <f t="shared" ref="I180:K180" si="88">I157</f>
        <v>2400</v>
      </c>
      <c r="J180" s="179">
        <f t="shared" si="88"/>
        <v>0</v>
      </c>
      <c r="K180" s="179">
        <f t="shared" si="88"/>
        <v>0</v>
      </c>
      <c r="L180" s="525"/>
      <c r="M180" s="23"/>
      <c r="P180" s="25"/>
      <c r="Q180" s="26"/>
    </row>
    <row r="181" spans="1:17" ht="37.5" customHeight="1" x14ac:dyDescent="0.3">
      <c r="A181" s="589" t="s">
        <v>417</v>
      </c>
      <c r="B181" s="590"/>
      <c r="C181" s="590"/>
      <c r="D181" s="590"/>
      <c r="E181" s="590"/>
      <c r="F181" s="590"/>
      <c r="G181" s="590"/>
      <c r="H181" s="590"/>
      <c r="I181" s="590"/>
      <c r="J181" s="590"/>
      <c r="K181" s="590"/>
      <c r="L181" s="591"/>
    </row>
    <row r="182" spans="1:17" ht="151.5" customHeight="1" x14ac:dyDescent="0.3">
      <c r="A182" s="397" t="s">
        <v>255</v>
      </c>
      <c r="B182" s="395" t="s">
        <v>230</v>
      </c>
      <c r="C182" s="153" t="s">
        <v>256</v>
      </c>
      <c r="D182" s="143" t="s">
        <v>34</v>
      </c>
      <c r="E182" s="157" t="s">
        <v>56</v>
      </c>
      <c r="F182" s="53"/>
      <c r="G182" s="89" t="s">
        <v>72</v>
      </c>
      <c r="H182" s="119">
        <f>I182+J182+K182</f>
        <v>150</v>
      </c>
      <c r="I182" s="120">
        <v>50</v>
      </c>
      <c r="J182" s="120">
        <v>50</v>
      </c>
      <c r="K182" s="120">
        <v>50</v>
      </c>
      <c r="L182" s="108" t="s">
        <v>348</v>
      </c>
    </row>
    <row r="183" spans="1:17" ht="170.25" customHeight="1" x14ac:dyDescent="0.3">
      <c r="A183" s="398"/>
      <c r="B183" s="396"/>
      <c r="C183" s="150" t="s">
        <v>344</v>
      </c>
      <c r="D183" s="143" t="s">
        <v>34</v>
      </c>
      <c r="E183" s="157" t="s">
        <v>56</v>
      </c>
      <c r="F183" s="145"/>
      <c r="G183" s="144" t="s">
        <v>72</v>
      </c>
      <c r="H183" s="119">
        <f>I183+J183+K183</f>
        <v>2420</v>
      </c>
      <c r="I183" s="120">
        <v>0</v>
      </c>
      <c r="J183" s="122">
        <v>1100</v>
      </c>
      <c r="K183" s="122">
        <v>1320</v>
      </c>
      <c r="L183" s="159" t="s">
        <v>345</v>
      </c>
    </row>
    <row r="184" spans="1:17" ht="51.75" customHeight="1" x14ac:dyDescent="0.3">
      <c r="A184" s="158"/>
      <c r="B184" s="392"/>
      <c r="C184" s="393"/>
      <c r="D184" s="394"/>
      <c r="E184" s="148" t="s">
        <v>379</v>
      </c>
      <c r="F184" s="156"/>
      <c r="G184" s="144" t="s">
        <v>72</v>
      </c>
      <c r="H184" s="119">
        <f>H182+H183</f>
        <v>2570</v>
      </c>
      <c r="I184" s="119">
        <f t="shared" ref="I184:K184" si="89">I182+I183</f>
        <v>50</v>
      </c>
      <c r="J184" s="119">
        <f t="shared" si="89"/>
        <v>1150</v>
      </c>
      <c r="K184" s="119">
        <f t="shared" si="89"/>
        <v>1370</v>
      </c>
      <c r="L184" s="159"/>
    </row>
    <row r="185" spans="1:17" s="8" customFormat="1" ht="251.25" customHeight="1" x14ac:dyDescent="0.35">
      <c r="A185" s="75" t="s">
        <v>257</v>
      </c>
      <c r="B185" s="155" t="s">
        <v>231</v>
      </c>
      <c r="C185" s="101" t="s">
        <v>259</v>
      </c>
      <c r="D185" s="64" t="s">
        <v>33</v>
      </c>
      <c r="E185" s="109" t="s">
        <v>18</v>
      </c>
      <c r="F185" s="160"/>
      <c r="G185" s="137" t="s">
        <v>51</v>
      </c>
      <c r="H185" s="121">
        <f>I185+J185+K185</f>
        <v>9162.7000000000007</v>
      </c>
      <c r="I185" s="122">
        <v>2894.2</v>
      </c>
      <c r="J185" s="122">
        <v>3056.3</v>
      </c>
      <c r="K185" s="122">
        <v>3212.2</v>
      </c>
      <c r="L185" s="159" t="s">
        <v>74</v>
      </c>
    </row>
    <row r="186" spans="1:17" ht="147" customHeight="1" x14ac:dyDescent="0.3">
      <c r="A186" s="593" t="s">
        <v>258</v>
      </c>
      <c r="B186" s="570" t="s">
        <v>98</v>
      </c>
      <c r="C186" s="150" t="s">
        <v>260</v>
      </c>
      <c r="D186" s="147" t="s">
        <v>34</v>
      </c>
      <c r="E186" s="150" t="s">
        <v>56</v>
      </c>
      <c r="F186" s="145"/>
      <c r="G186" s="146" t="s">
        <v>51</v>
      </c>
      <c r="H186" s="161">
        <f>I186+J186+K186</f>
        <v>13939</v>
      </c>
      <c r="I186" s="117">
        <f>15739-1800</f>
        <v>13939</v>
      </c>
      <c r="J186" s="117">
        <v>0</v>
      </c>
      <c r="K186" s="117">
        <v>0</v>
      </c>
      <c r="L186" s="108" t="s">
        <v>378</v>
      </c>
    </row>
    <row r="187" spans="1:17" s="8" customFormat="1" ht="27.75" customHeight="1" x14ac:dyDescent="0.3">
      <c r="A187" s="593"/>
      <c r="B187" s="570"/>
      <c r="C187" s="447" t="s">
        <v>261</v>
      </c>
      <c r="D187" s="601" t="s">
        <v>377</v>
      </c>
      <c r="E187" s="601"/>
      <c r="F187" s="601"/>
      <c r="G187" s="601"/>
      <c r="H187" s="162">
        <f>H188+H189</f>
        <v>2745.6000000000004</v>
      </c>
      <c r="I187" s="123">
        <f t="shared" ref="I187:K187" si="90">I188+I189</f>
        <v>2745.6000000000004</v>
      </c>
      <c r="J187" s="123">
        <f t="shared" si="90"/>
        <v>0</v>
      </c>
      <c r="K187" s="123">
        <f t="shared" si="90"/>
        <v>0</v>
      </c>
      <c r="L187" s="414" t="s">
        <v>68</v>
      </c>
      <c r="M187" s="10"/>
      <c r="N187" s="10"/>
      <c r="O187" s="10"/>
      <c r="P187" s="10"/>
      <c r="Q187" s="10"/>
    </row>
    <row r="188" spans="1:17" s="11" customFormat="1" ht="236.25" customHeight="1" x14ac:dyDescent="0.3">
      <c r="A188" s="593"/>
      <c r="B188" s="570"/>
      <c r="C188" s="447"/>
      <c r="D188" s="60" t="s">
        <v>37</v>
      </c>
      <c r="E188" s="152" t="s">
        <v>84</v>
      </c>
      <c r="F188" s="137" t="s">
        <v>18</v>
      </c>
      <c r="G188" s="137" t="s">
        <v>104</v>
      </c>
      <c r="H188" s="162">
        <f t="shared" ref="H188:H194" si="91">I188+J188+K188</f>
        <v>2.5</v>
      </c>
      <c r="I188" s="122">
        <v>2.5</v>
      </c>
      <c r="J188" s="122"/>
      <c r="K188" s="122"/>
      <c r="L188" s="415"/>
      <c r="P188" s="12"/>
    </row>
    <row r="189" spans="1:17" s="11" customFormat="1" ht="27.75" customHeight="1" x14ac:dyDescent="0.3">
      <c r="A189" s="593"/>
      <c r="B189" s="570"/>
      <c r="C189" s="447"/>
      <c r="D189" s="600" t="s">
        <v>102</v>
      </c>
      <c r="E189" s="600"/>
      <c r="F189" s="600"/>
      <c r="G189" s="600"/>
      <c r="H189" s="162">
        <f>H190+H191+H192+H193+H194</f>
        <v>2743.1000000000004</v>
      </c>
      <c r="I189" s="123">
        <f t="shared" ref="I189:K189" si="92">I190+I191+I192+I193+I194</f>
        <v>2743.1000000000004</v>
      </c>
      <c r="J189" s="123">
        <f t="shared" si="92"/>
        <v>0</v>
      </c>
      <c r="K189" s="123">
        <f t="shared" si="92"/>
        <v>0</v>
      </c>
      <c r="L189" s="415"/>
      <c r="P189" s="12"/>
    </row>
    <row r="190" spans="1:17" s="11" customFormat="1" ht="66.75" customHeight="1" x14ac:dyDescent="0.3">
      <c r="A190" s="593"/>
      <c r="B190" s="570"/>
      <c r="C190" s="447"/>
      <c r="D190" s="60" t="s">
        <v>37</v>
      </c>
      <c r="E190" s="151" t="s">
        <v>84</v>
      </c>
      <c r="F190" s="417" t="s">
        <v>18</v>
      </c>
      <c r="G190" s="417" t="s">
        <v>51</v>
      </c>
      <c r="H190" s="162">
        <f t="shared" si="91"/>
        <v>50</v>
      </c>
      <c r="I190" s="122">
        <v>50</v>
      </c>
      <c r="J190" s="122"/>
      <c r="K190" s="122"/>
      <c r="L190" s="415"/>
      <c r="P190" s="12"/>
    </row>
    <row r="191" spans="1:17" s="11" customFormat="1" ht="63" customHeight="1" x14ac:dyDescent="0.3">
      <c r="A191" s="593"/>
      <c r="B191" s="570"/>
      <c r="C191" s="447"/>
      <c r="D191" s="60" t="s">
        <v>37</v>
      </c>
      <c r="E191" s="151" t="s">
        <v>85</v>
      </c>
      <c r="F191" s="417"/>
      <c r="G191" s="417"/>
      <c r="H191" s="162">
        <f t="shared" si="91"/>
        <v>50</v>
      </c>
      <c r="I191" s="122">
        <v>50</v>
      </c>
      <c r="J191" s="122"/>
      <c r="K191" s="122"/>
      <c r="L191" s="415"/>
      <c r="P191" s="12"/>
    </row>
    <row r="192" spans="1:17" s="11" customFormat="1" ht="36" customHeight="1" x14ac:dyDescent="0.3">
      <c r="A192" s="593"/>
      <c r="B192" s="570"/>
      <c r="C192" s="447"/>
      <c r="D192" s="60" t="s">
        <v>30</v>
      </c>
      <c r="E192" s="151" t="s">
        <v>80</v>
      </c>
      <c r="F192" s="417"/>
      <c r="G192" s="417"/>
      <c r="H192" s="162">
        <f t="shared" si="91"/>
        <v>621.70000000000005</v>
      </c>
      <c r="I192" s="122">
        <f>50+571.7</f>
        <v>621.70000000000005</v>
      </c>
      <c r="J192" s="122"/>
      <c r="K192" s="122"/>
      <c r="L192" s="415"/>
      <c r="P192" s="12"/>
    </row>
    <row r="193" spans="1:17" s="11" customFormat="1" ht="37.5" customHeight="1" x14ac:dyDescent="0.3">
      <c r="A193" s="593"/>
      <c r="B193" s="570"/>
      <c r="C193" s="447"/>
      <c r="D193" s="60" t="s">
        <v>30</v>
      </c>
      <c r="E193" s="151" t="s">
        <v>81</v>
      </c>
      <c r="F193" s="417"/>
      <c r="G193" s="417"/>
      <c r="H193" s="162">
        <f t="shared" si="91"/>
        <v>1335.4</v>
      </c>
      <c r="I193" s="122">
        <f>150+1185.4</f>
        <v>1335.4</v>
      </c>
      <c r="J193" s="122"/>
      <c r="K193" s="122"/>
      <c r="L193" s="415"/>
      <c r="P193" s="12"/>
    </row>
    <row r="194" spans="1:17" s="11" customFormat="1" ht="62.25" customHeight="1" x14ac:dyDescent="0.3">
      <c r="A194" s="593"/>
      <c r="B194" s="570"/>
      <c r="C194" s="447"/>
      <c r="D194" s="60" t="s">
        <v>30</v>
      </c>
      <c r="E194" s="151" t="s">
        <v>79</v>
      </c>
      <c r="F194" s="417"/>
      <c r="G194" s="417"/>
      <c r="H194" s="162">
        <f t="shared" si="91"/>
        <v>686</v>
      </c>
      <c r="I194" s="122">
        <f>200+486</f>
        <v>686</v>
      </c>
      <c r="J194" s="122"/>
      <c r="K194" s="122"/>
      <c r="L194" s="416"/>
      <c r="P194" s="12"/>
    </row>
    <row r="195" spans="1:17" s="8" customFormat="1" ht="62.25" customHeight="1" x14ac:dyDescent="0.3">
      <c r="A195" s="593"/>
      <c r="B195" s="592"/>
      <c r="C195" s="592"/>
      <c r="D195" s="592"/>
      <c r="E195" s="163" t="s">
        <v>380</v>
      </c>
      <c r="F195" s="56"/>
      <c r="G195" s="56"/>
      <c r="H195" s="164">
        <f>H186+H187</f>
        <v>16684.599999999999</v>
      </c>
      <c r="I195" s="164">
        <f t="shared" ref="I195:K195" si="93">I186+I187</f>
        <v>16684.599999999999</v>
      </c>
      <c r="J195" s="164">
        <f t="shared" si="93"/>
        <v>0</v>
      </c>
      <c r="K195" s="164">
        <f t="shared" si="93"/>
        <v>0</v>
      </c>
      <c r="L195" s="384"/>
    </row>
    <row r="196" spans="1:17" s="8" customFormat="1" ht="51" customHeight="1" x14ac:dyDescent="0.3">
      <c r="A196" s="594"/>
      <c r="B196" s="595"/>
      <c r="C196" s="595"/>
      <c r="D196" s="595"/>
      <c r="E196" s="595"/>
      <c r="F196" s="596"/>
      <c r="G196" s="56" t="s">
        <v>51</v>
      </c>
      <c r="H196" s="164">
        <f>H186+H189</f>
        <v>16682.099999999999</v>
      </c>
      <c r="I196" s="176">
        <f t="shared" ref="I196:K196" si="94">I186+I189</f>
        <v>16682.099999999999</v>
      </c>
      <c r="J196" s="176">
        <f t="shared" si="94"/>
        <v>0</v>
      </c>
      <c r="K196" s="176">
        <f t="shared" si="94"/>
        <v>0</v>
      </c>
      <c r="L196" s="385"/>
    </row>
    <row r="197" spans="1:17" s="8" customFormat="1" ht="249.75" customHeight="1" x14ac:dyDescent="0.3">
      <c r="A197" s="597"/>
      <c r="B197" s="598"/>
      <c r="C197" s="598"/>
      <c r="D197" s="598"/>
      <c r="E197" s="598"/>
      <c r="F197" s="599"/>
      <c r="G197" s="56" t="s">
        <v>104</v>
      </c>
      <c r="H197" s="175">
        <f>H188</f>
        <v>2.5</v>
      </c>
      <c r="I197" s="174">
        <f t="shared" ref="I197:K197" si="95">I188</f>
        <v>2.5</v>
      </c>
      <c r="J197" s="174">
        <f t="shared" si="95"/>
        <v>0</v>
      </c>
      <c r="K197" s="174">
        <f t="shared" si="95"/>
        <v>0</v>
      </c>
      <c r="L197" s="525"/>
    </row>
    <row r="198" spans="1:17" ht="32.25" customHeight="1" x14ac:dyDescent="0.3">
      <c r="A198" s="538" t="s">
        <v>75</v>
      </c>
      <c r="B198" s="539"/>
      <c r="C198" s="539"/>
      <c r="D198" s="539"/>
      <c r="E198" s="539"/>
      <c r="F198" s="540"/>
      <c r="G198" s="177"/>
      <c r="H198" s="179">
        <f>H184+H185+H195</f>
        <v>28417.3</v>
      </c>
      <c r="I198" s="179">
        <f t="shared" ref="I198:K198" si="96">I184+I185+I195</f>
        <v>19628.8</v>
      </c>
      <c r="J198" s="179">
        <f t="shared" si="96"/>
        <v>4206.3</v>
      </c>
      <c r="K198" s="179">
        <f t="shared" si="96"/>
        <v>4582.2</v>
      </c>
      <c r="L198" s="500"/>
    </row>
    <row r="199" spans="1:17" s="32" customFormat="1" ht="75" customHeight="1" x14ac:dyDescent="0.2">
      <c r="A199" s="421" t="s">
        <v>19</v>
      </c>
      <c r="B199" s="421"/>
      <c r="C199" s="99"/>
      <c r="D199" s="51"/>
      <c r="E199" s="100"/>
      <c r="F199" s="55"/>
      <c r="G199" s="133" t="s">
        <v>51</v>
      </c>
      <c r="H199" s="191">
        <f>H196+H185+H184</f>
        <v>28414.799999999999</v>
      </c>
      <c r="I199" s="191">
        <f t="shared" ref="I199:K199" si="97">I196+I185+I184</f>
        <v>19626.3</v>
      </c>
      <c r="J199" s="191">
        <f t="shared" si="97"/>
        <v>4206.3</v>
      </c>
      <c r="K199" s="191">
        <f t="shared" si="97"/>
        <v>4582.2</v>
      </c>
      <c r="L199" s="500"/>
      <c r="P199" s="25"/>
      <c r="Q199" s="33"/>
    </row>
    <row r="200" spans="1:17" s="32" customFormat="1" ht="249" customHeight="1" x14ac:dyDescent="0.2">
      <c r="A200" s="67"/>
      <c r="B200" s="63"/>
      <c r="C200" s="99"/>
      <c r="D200" s="51"/>
      <c r="E200" s="100"/>
      <c r="F200" s="55"/>
      <c r="G200" s="135" t="s">
        <v>104</v>
      </c>
      <c r="H200" s="192">
        <f>H188</f>
        <v>2.5</v>
      </c>
      <c r="I200" s="192">
        <f t="shared" ref="I200:K200" si="98">I188</f>
        <v>2.5</v>
      </c>
      <c r="J200" s="192">
        <f t="shared" si="98"/>
        <v>0</v>
      </c>
      <c r="K200" s="192">
        <f t="shared" si="98"/>
        <v>0</v>
      </c>
      <c r="L200" s="500"/>
      <c r="P200" s="25"/>
      <c r="Q200" s="33"/>
    </row>
    <row r="201" spans="1:17" s="32" customFormat="1" ht="33.75" customHeight="1" x14ac:dyDescent="0.2">
      <c r="A201" s="421" t="s">
        <v>99</v>
      </c>
      <c r="B201" s="421"/>
      <c r="C201" s="421"/>
      <c r="D201" s="422"/>
      <c r="E201" s="361" t="s">
        <v>84</v>
      </c>
      <c r="F201" s="444"/>
      <c r="G201" s="136" t="s">
        <v>102</v>
      </c>
      <c r="H201" s="187">
        <f>H202+H203</f>
        <v>52.5</v>
      </c>
      <c r="I201" s="187">
        <f t="shared" ref="I201:K201" si="99">I202+I203</f>
        <v>52.5</v>
      </c>
      <c r="J201" s="187">
        <f t="shared" si="99"/>
        <v>0</v>
      </c>
      <c r="K201" s="187">
        <f t="shared" si="99"/>
        <v>0</v>
      </c>
      <c r="L201" s="500"/>
      <c r="P201" s="25"/>
      <c r="Q201" s="33"/>
    </row>
    <row r="202" spans="1:17" s="32" customFormat="1" ht="250.5" customHeight="1" x14ac:dyDescent="0.2">
      <c r="A202" s="423"/>
      <c r="B202" s="423"/>
      <c r="C202" s="423"/>
      <c r="D202" s="424"/>
      <c r="E202" s="362"/>
      <c r="F202" s="445"/>
      <c r="G202" s="90" t="s">
        <v>104</v>
      </c>
      <c r="H202" s="187">
        <f>H188</f>
        <v>2.5</v>
      </c>
      <c r="I202" s="187">
        <f t="shared" ref="I202:K202" si="100">I188</f>
        <v>2.5</v>
      </c>
      <c r="J202" s="187">
        <f t="shared" si="100"/>
        <v>0</v>
      </c>
      <c r="K202" s="187">
        <f t="shared" si="100"/>
        <v>0</v>
      </c>
      <c r="L202" s="500"/>
      <c r="P202" s="25"/>
      <c r="Q202" s="33"/>
    </row>
    <row r="203" spans="1:17" ht="48" customHeight="1" x14ac:dyDescent="0.3">
      <c r="A203" s="423"/>
      <c r="B203" s="423"/>
      <c r="C203" s="423"/>
      <c r="D203" s="424"/>
      <c r="E203" s="364"/>
      <c r="F203" s="445"/>
      <c r="G203" s="138" t="s">
        <v>51</v>
      </c>
      <c r="H203" s="118">
        <f>H190</f>
        <v>50</v>
      </c>
      <c r="I203" s="118">
        <f t="shared" ref="I203:K203" si="101">I190</f>
        <v>50</v>
      </c>
      <c r="J203" s="118">
        <f t="shared" si="101"/>
        <v>0</v>
      </c>
      <c r="K203" s="118">
        <f t="shared" si="101"/>
        <v>0</v>
      </c>
      <c r="L203" s="500"/>
      <c r="M203" s="23"/>
      <c r="P203" s="25"/>
      <c r="Q203" s="26"/>
    </row>
    <row r="204" spans="1:17" ht="61.5" customHeight="1" x14ac:dyDescent="0.3">
      <c r="A204" s="423"/>
      <c r="B204" s="423"/>
      <c r="C204" s="423"/>
      <c r="D204" s="424"/>
      <c r="E204" s="110" t="s">
        <v>56</v>
      </c>
      <c r="F204" s="445"/>
      <c r="G204" s="400" t="s">
        <v>51</v>
      </c>
      <c r="H204" s="118">
        <f>H182+H183+H185+H186</f>
        <v>25671.7</v>
      </c>
      <c r="I204" s="118">
        <f t="shared" ref="I204:K204" si="102">I182+I183+I185+I186</f>
        <v>16883.2</v>
      </c>
      <c r="J204" s="118">
        <f t="shared" si="102"/>
        <v>4206.3</v>
      </c>
      <c r="K204" s="118">
        <f t="shared" si="102"/>
        <v>4582.2</v>
      </c>
      <c r="L204" s="500"/>
      <c r="M204" s="23"/>
      <c r="P204" s="25"/>
      <c r="Q204" s="26"/>
    </row>
    <row r="205" spans="1:17" ht="61.5" customHeight="1" x14ac:dyDescent="0.3">
      <c r="A205" s="423"/>
      <c r="B205" s="423"/>
      <c r="C205" s="423"/>
      <c r="D205" s="424"/>
      <c r="E205" s="110" t="s">
        <v>85</v>
      </c>
      <c r="F205" s="445"/>
      <c r="G205" s="401"/>
      <c r="H205" s="118">
        <f>H191</f>
        <v>50</v>
      </c>
      <c r="I205" s="118">
        <f t="shared" ref="I205:K205" si="103">I191</f>
        <v>50</v>
      </c>
      <c r="J205" s="118">
        <f t="shared" si="103"/>
        <v>0</v>
      </c>
      <c r="K205" s="118">
        <f t="shared" si="103"/>
        <v>0</v>
      </c>
      <c r="L205" s="500"/>
      <c r="M205" s="23"/>
      <c r="P205" s="25"/>
      <c r="Q205" s="26"/>
    </row>
    <row r="206" spans="1:17" ht="38.25" customHeight="1" x14ac:dyDescent="0.3">
      <c r="A206" s="423"/>
      <c r="B206" s="423"/>
      <c r="C206" s="423"/>
      <c r="D206" s="424"/>
      <c r="E206" s="110" t="s">
        <v>80</v>
      </c>
      <c r="F206" s="445"/>
      <c r="G206" s="401"/>
      <c r="H206" s="118">
        <f>H192</f>
        <v>621.70000000000005</v>
      </c>
      <c r="I206" s="118">
        <f t="shared" ref="I206:K206" si="104">I192</f>
        <v>621.70000000000005</v>
      </c>
      <c r="J206" s="118">
        <f t="shared" si="104"/>
        <v>0</v>
      </c>
      <c r="K206" s="118">
        <f t="shared" si="104"/>
        <v>0</v>
      </c>
      <c r="L206" s="500"/>
      <c r="M206" s="23"/>
      <c r="P206" s="25"/>
      <c r="Q206" s="26"/>
    </row>
    <row r="207" spans="1:17" ht="34.5" customHeight="1" x14ac:dyDescent="0.3">
      <c r="A207" s="423"/>
      <c r="B207" s="423"/>
      <c r="C207" s="423"/>
      <c r="D207" s="424"/>
      <c r="E207" s="110" t="s">
        <v>81</v>
      </c>
      <c r="F207" s="445"/>
      <c r="G207" s="401"/>
      <c r="H207" s="118">
        <f>H193</f>
        <v>1335.4</v>
      </c>
      <c r="I207" s="118">
        <f t="shared" ref="I207:K207" si="105">I193</f>
        <v>1335.4</v>
      </c>
      <c r="J207" s="118">
        <f t="shared" si="105"/>
        <v>0</v>
      </c>
      <c r="K207" s="118">
        <f t="shared" si="105"/>
        <v>0</v>
      </c>
      <c r="L207" s="500"/>
      <c r="M207" s="23"/>
      <c r="P207" s="25"/>
      <c r="Q207" s="26"/>
    </row>
    <row r="208" spans="1:17" ht="65.25" customHeight="1" x14ac:dyDescent="0.3">
      <c r="A208" s="425"/>
      <c r="B208" s="425"/>
      <c r="C208" s="425"/>
      <c r="D208" s="426"/>
      <c r="E208" s="110" t="s">
        <v>79</v>
      </c>
      <c r="F208" s="532"/>
      <c r="G208" s="402"/>
      <c r="H208" s="118">
        <f>H194</f>
        <v>686</v>
      </c>
      <c r="I208" s="118">
        <f t="shared" ref="I208:K208" si="106">I194</f>
        <v>686</v>
      </c>
      <c r="J208" s="118">
        <f t="shared" si="106"/>
        <v>0</v>
      </c>
      <c r="K208" s="118">
        <f t="shared" si="106"/>
        <v>0</v>
      </c>
      <c r="L208" s="500"/>
      <c r="M208" s="23"/>
      <c r="P208" s="25"/>
      <c r="Q208" s="26"/>
    </row>
    <row r="209" spans="1:17" ht="30.75" customHeight="1" x14ac:dyDescent="0.3">
      <c r="A209" s="408" t="s">
        <v>262</v>
      </c>
      <c r="B209" s="409"/>
      <c r="C209" s="409"/>
      <c r="D209" s="409"/>
      <c r="E209" s="409"/>
      <c r="F209" s="409"/>
      <c r="G209" s="409"/>
      <c r="H209" s="409"/>
      <c r="I209" s="409"/>
      <c r="J209" s="409"/>
      <c r="K209" s="409"/>
      <c r="L209" s="410"/>
      <c r="M209" s="23"/>
      <c r="P209" s="25"/>
      <c r="Q209" s="26"/>
    </row>
    <row r="210" spans="1:17" ht="30.75" customHeight="1" x14ac:dyDescent="0.3">
      <c r="A210" s="542" t="s">
        <v>263</v>
      </c>
      <c r="B210" s="543" t="s">
        <v>264</v>
      </c>
      <c r="C210" s="546" t="s">
        <v>265</v>
      </c>
      <c r="D210" s="549" t="s">
        <v>381</v>
      </c>
      <c r="E210" s="550"/>
      <c r="F210" s="550"/>
      <c r="G210" s="551"/>
      <c r="H210" s="187">
        <f>H211+H219</f>
        <v>68469.37000000001</v>
      </c>
      <c r="I210" s="187">
        <f t="shared" ref="I210:K210" si="107">I211+I219</f>
        <v>68469.37000000001</v>
      </c>
      <c r="J210" s="187">
        <f t="shared" si="107"/>
        <v>0</v>
      </c>
      <c r="K210" s="187">
        <f t="shared" si="107"/>
        <v>0</v>
      </c>
      <c r="L210" s="361" t="s">
        <v>105</v>
      </c>
      <c r="M210" s="23"/>
      <c r="P210" s="25"/>
      <c r="Q210" s="26"/>
    </row>
    <row r="211" spans="1:17" ht="30.75" customHeight="1" x14ac:dyDescent="0.3">
      <c r="A211" s="542"/>
      <c r="B211" s="544"/>
      <c r="C211" s="547"/>
      <c r="D211" s="368" t="s">
        <v>101</v>
      </c>
      <c r="E211" s="369"/>
      <c r="F211" s="369"/>
      <c r="G211" s="370"/>
      <c r="H211" s="188">
        <f>H212+H213+H214+H215+H216+H217+H218</f>
        <v>66093.27</v>
      </c>
      <c r="I211" s="188">
        <f t="shared" ref="I211:K211" si="108">I212+I213+I214+I215+I216+I217+I218</f>
        <v>66093.27</v>
      </c>
      <c r="J211" s="188">
        <f t="shared" si="108"/>
        <v>0</v>
      </c>
      <c r="K211" s="188">
        <f t="shared" si="108"/>
        <v>0</v>
      </c>
      <c r="L211" s="362"/>
      <c r="M211" s="23"/>
      <c r="P211" s="25"/>
      <c r="Q211" s="26"/>
    </row>
    <row r="212" spans="1:17" ht="54" customHeight="1" x14ac:dyDescent="0.3">
      <c r="A212" s="542"/>
      <c r="B212" s="544"/>
      <c r="C212" s="547"/>
      <c r="D212" s="74" t="s">
        <v>34</v>
      </c>
      <c r="E212" s="308" t="s">
        <v>56</v>
      </c>
      <c r="F212" s="371" t="s">
        <v>18</v>
      </c>
      <c r="G212" s="405" t="s">
        <v>60</v>
      </c>
      <c r="H212" s="181">
        <f>I212+J212+K212</f>
        <v>19723.3</v>
      </c>
      <c r="I212" s="180">
        <f>14923.3+1800+3000</f>
        <v>19723.3</v>
      </c>
      <c r="J212" s="180">
        <v>0</v>
      </c>
      <c r="K212" s="180">
        <v>0</v>
      </c>
      <c r="L212" s="362"/>
    </row>
    <row r="213" spans="1:17" ht="55.5" customHeight="1" x14ac:dyDescent="0.3">
      <c r="A213" s="542"/>
      <c r="B213" s="544"/>
      <c r="C213" s="547"/>
      <c r="D213" s="74" t="s">
        <v>30</v>
      </c>
      <c r="E213" s="95" t="s">
        <v>86</v>
      </c>
      <c r="F213" s="372"/>
      <c r="G213" s="406"/>
      <c r="H213" s="179">
        <f t="shared" ref="H213:H230" si="109">I213+J213+K213</f>
        <v>6940.5</v>
      </c>
      <c r="I213" s="183">
        <f>6890.5+50</f>
        <v>6940.5</v>
      </c>
      <c r="J213" s="180">
        <v>0</v>
      </c>
      <c r="K213" s="180">
        <v>0</v>
      </c>
      <c r="L213" s="362"/>
      <c r="N213" s="31"/>
      <c r="O213" s="31"/>
      <c r="P213" s="31"/>
      <c r="Q213" s="31"/>
    </row>
    <row r="214" spans="1:17" ht="32.25" customHeight="1" x14ac:dyDescent="0.3">
      <c r="A214" s="542"/>
      <c r="B214" s="544"/>
      <c r="C214" s="547"/>
      <c r="D214" s="57" t="s">
        <v>30</v>
      </c>
      <c r="E214" s="95" t="s">
        <v>80</v>
      </c>
      <c r="F214" s="372"/>
      <c r="G214" s="406"/>
      <c r="H214" s="179">
        <f t="shared" si="109"/>
        <v>432</v>
      </c>
      <c r="I214" s="183">
        <f>232+200</f>
        <v>432</v>
      </c>
      <c r="J214" s="180">
        <v>0</v>
      </c>
      <c r="K214" s="180">
        <v>0</v>
      </c>
      <c r="L214" s="362"/>
      <c r="N214" s="31"/>
      <c r="O214" s="31"/>
      <c r="P214" s="31"/>
      <c r="Q214" s="31"/>
    </row>
    <row r="215" spans="1:17" ht="28.5" customHeight="1" x14ac:dyDescent="0.3">
      <c r="A215" s="542"/>
      <c r="B215" s="544"/>
      <c r="C215" s="547"/>
      <c r="D215" s="57" t="s">
        <v>30</v>
      </c>
      <c r="E215" s="95" t="s">
        <v>81</v>
      </c>
      <c r="F215" s="372"/>
      <c r="G215" s="406"/>
      <c r="H215" s="179">
        <f t="shared" si="109"/>
        <v>11216</v>
      </c>
      <c r="I215" s="183">
        <f>11036+180</f>
        <v>11216</v>
      </c>
      <c r="J215" s="180">
        <v>0</v>
      </c>
      <c r="K215" s="180">
        <v>0</v>
      </c>
      <c r="L215" s="362"/>
      <c r="M215" s="31"/>
      <c r="N215" s="31"/>
      <c r="O215" s="31"/>
      <c r="P215" s="31"/>
      <c r="Q215" s="31"/>
    </row>
    <row r="216" spans="1:17" ht="64.5" customHeight="1" x14ac:dyDescent="0.3">
      <c r="A216" s="542"/>
      <c r="B216" s="544"/>
      <c r="C216" s="547"/>
      <c r="D216" s="57" t="s">
        <v>30</v>
      </c>
      <c r="E216" s="95" t="s">
        <v>79</v>
      </c>
      <c r="F216" s="372"/>
      <c r="G216" s="406"/>
      <c r="H216" s="179">
        <f t="shared" si="109"/>
        <v>20261.469999999998</v>
      </c>
      <c r="I216" s="183">
        <f>20031.8+15+214.67</f>
        <v>20261.469999999998</v>
      </c>
      <c r="J216" s="180">
        <v>0</v>
      </c>
      <c r="K216" s="180">
        <v>0</v>
      </c>
      <c r="L216" s="362"/>
      <c r="N216" s="31"/>
      <c r="O216" s="31"/>
      <c r="P216" s="31"/>
      <c r="Q216" s="31"/>
    </row>
    <row r="217" spans="1:17" ht="104.25" customHeight="1" x14ac:dyDescent="0.3">
      <c r="A217" s="542"/>
      <c r="B217" s="544"/>
      <c r="C217" s="547"/>
      <c r="D217" s="57" t="s">
        <v>31</v>
      </c>
      <c r="E217" s="111" t="s">
        <v>83</v>
      </c>
      <c r="F217" s="372"/>
      <c r="G217" s="406"/>
      <c r="H217" s="179">
        <f t="shared" si="109"/>
        <v>6830</v>
      </c>
      <c r="I217" s="180">
        <f>6800+30</f>
        <v>6830</v>
      </c>
      <c r="J217" s="180">
        <v>0</v>
      </c>
      <c r="K217" s="180">
        <v>0</v>
      </c>
      <c r="L217" s="362"/>
      <c r="N217" s="31"/>
      <c r="O217" s="31"/>
      <c r="P217" s="31"/>
      <c r="Q217" s="31"/>
    </row>
    <row r="218" spans="1:17" ht="63" customHeight="1" x14ac:dyDescent="0.3">
      <c r="A218" s="542"/>
      <c r="B218" s="544"/>
      <c r="C218" s="547"/>
      <c r="D218" s="74" t="s">
        <v>32</v>
      </c>
      <c r="E218" s="111" t="s">
        <v>82</v>
      </c>
      <c r="F218" s="373"/>
      <c r="G218" s="407"/>
      <c r="H218" s="179">
        <f t="shared" si="109"/>
        <v>690</v>
      </c>
      <c r="I218" s="186">
        <f>590+100</f>
        <v>690</v>
      </c>
      <c r="J218" s="180">
        <v>0</v>
      </c>
      <c r="K218" s="180">
        <v>0</v>
      </c>
      <c r="L218" s="362"/>
      <c r="N218" s="31"/>
      <c r="O218" s="31"/>
      <c r="P218" s="31"/>
      <c r="Q218" s="31"/>
    </row>
    <row r="219" spans="1:17" ht="27.75" customHeight="1" x14ac:dyDescent="0.3">
      <c r="A219" s="542"/>
      <c r="B219" s="544"/>
      <c r="C219" s="547"/>
      <c r="D219" s="368" t="s">
        <v>101</v>
      </c>
      <c r="E219" s="369"/>
      <c r="F219" s="369"/>
      <c r="G219" s="370"/>
      <c r="H219" s="179">
        <f>H220+H221+H222</f>
        <v>2376.1</v>
      </c>
      <c r="I219" s="179">
        <f t="shared" ref="I219:K219" si="110">I220+I221+I222</f>
        <v>2376.1</v>
      </c>
      <c r="J219" s="179">
        <f t="shared" si="110"/>
        <v>0</v>
      </c>
      <c r="K219" s="179">
        <f t="shared" si="110"/>
        <v>0</v>
      </c>
      <c r="L219" s="362"/>
      <c r="N219" s="31"/>
      <c r="O219" s="31"/>
      <c r="P219" s="31"/>
      <c r="Q219" s="31"/>
    </row>
    <row r="220" spans="1:17" ht="61.5" customHeight="1" x14ac:dyDescent="0.3">
      <c r="A220" s="542"/>
      <c r="B220" s="544"/>
      <c r="C220" s="547"/>
      <c r="D220" s="57" t="s">
        <v>38</v>
      </c>
      <c r="E220" s="282" t="s">
        <v>86</v>
      </c>
      <c r="F220" s="371" t="s">
        <v>18</v>
      </c>
      <c r="G220" s="371" t="s">
        <v>212</v>
      </c>
      <c r="H220" s="179">
        <f t="shared" si="109"/>
        <v>250</v>
      </c>
      <c r="I220" s="186">
        <v>250</v>
      </c>
      <c r="J220" s="180">
        <v>0</v>
      </c>
      <c r="K220" s="180">
        <v>0</v>
      </c>
      <c r="L220" s="362"/>
      <c r="N220" s="31"/>
      <c r="O220" s="31"/>
      <c r="P220" s="31"/>
      <c r="Q220" s="31"/>
    </row>
    <row r="221" spans="1:17" ht="61.5" customHeight="1" x14ac:dyDescent="0.3">
      <c r="A221" s="542"/>
      <c r="B221" s="544"/>
      <c r="C221" s="547"/>
      <c r="D221" s="57" t="s">
        <v>38</v>
      </c>
      <c r="E221" s="154" t="s">
        <v>79</v>
      </c>
      <c r="F221" s="372"/>
      <c r="G221" s="372"/>
      <c r="H221" s="179">
        <f t="shared" si="109"/>
        <v>1196.0999999999999</v>
      </c>
      <c r="I221" s="186">
        <v>1196.0999999999999</v>
      </c>
      <c r="J221" s="180">
        <v>0</v>
      </c>
      <c r="K221" s="180">
        <v>0</v>
      </c>
      <c r="L221" s="362"/>
      <c r="N221" s="31"/>
      <c r="O221" s="31"/>
      <c r="P221" s="31"/>
      <c r="Q221" s="31"/>
    </row>
    <row r="222" spans="1:17" ht="84" customHeight="1" x14ac:dyDescent="0.3">
      <c r="A222" s="542"/>
      <c r="B222" s="544"/>
      <c r="C222" s="548"/>
      <c r="D222" s="57" t="s">
        <v>38</v>
      </c>
      <c r="E222" s="111" t="s">
        <v>83</v>
      </c>
      <c r="F222" s="373"/>
      <c r="G222" s="373"/>
      <c r="H222" s="179">
        <f t="shared" si="109"/>
        <v>930</v>
      </c>
      <c r="I222" s="186">
        <v>930</v>
      </c>
      <c r="J222" s="180">
        <v>0</v>
      </c>
      <c r="K222" s="180">
        <v>0</v>
      </c>
      <c r="L222" s="362"/>
      <c r="N222" s="31"/>
      <c r="O222" s="31"/>
      <c r="P222" s="31"/>
      <c r="Q222" s="31"/>
    </row>
    <row r="223" spans="1:17" ht="29.25" customHeight="1" x14ac:dyDescent="0.3">
      <c r="A223" s="542"/>
      <c r="B223" s="544"/>
      <c r="C223" s="546" t="s">
        <v>266</v>
      </c>
      <c r="D223" s="549" t="s">
        <v>382</v>
      </c>
      <c r="E223" s="550"/>
      <c r="F223" s="550"/>
      <c r="G223" s="551"/>
      <c r="H223" s="179">
        <f>SUM(H224:H228)</f>
        <v>27730</v>
      </c>
      <c r="I223" s="179">
        <f>SUM(I224:I228)</f>
        <v>27730</v>
      </c>
      <c r="J223" s="179">
        <f t="shared" ref="J223:K223" si="111">SUM(J224:J228)</f>
        <v>0</v>
      </c>
      <c r="K223" s="179">
        <f t="shared" si="111"/>
        <v>0</v>
      </c>
      <c r="L223" s="362"/>
      <c r="N223" s="31"/>
      <c r="O223" s="31"/>
      <c r="P223" s="31"/>
      <c r="Q223" s="31"/>
    </row>
    <row r="224" spans="1:17" ht="55.5" x14ac:dyDescent="0.3">
      <c r="A224" s="542"/>
      <c r="B224" s="544"/>
      <c r="C224" s="547"/>
      <c r="D224" s="57" t="s">
        <v>187</v>
      </c>
      <c r="E224" s="282" t="s">
        <v>86</v>
      </c>
      <c r="F224" s="371" t="s">
        <v>18</v>
      </c>
      <c r="G224" s="360" t="s">
        <v>60</v>
      </c>
      <c r="H224" s="179">
        <f t="shared" si="109"/>
        <v>6150</v>
      </c>
      <c r="I224" s="186">
        <v>6150</v>
      </c>
      <c r="J224" s="180">
        <v>0</v>
      </c>
      <c r="K224" s="180">
        <v>0</v>
      </c>
      <c r="L224" s="362"/>
      <c r="N224" s="31"/>
      <c r="O224" s="31"/>
      <c r="P224" s="31"/>
      <c r="Q224" s="31"/>
    </row>
    <row r="225" spans="1:17" x14ac:dyDescent="0.3">
      <c r="A225" s="542"/>
      <c r="B225" s="544"/>
      <c r="C225" s="547"/>
      <c r="D225" s="57" t="s">
        <v>187</v>
      </c>
      <c r="E225" s="95" t="s">
        <v>81</v>
      </c>
      <c r="F225" s="372"/>
      <c r="G225" s="360"/>
      <c r="H225" s="179">
        <f t="shared" si="109"/>
        <v>6930</v>
      </c>
      <c r="I225" s="186">
        <v>6930</v>
      </c>
      <c r="J225" s="180">
        <v>0</v>
      </c>
      <c r="K225" s="180">
        <v>0</v>
      </c>
      <c r="L225" s="362"/>
      <c r="N225" s="31"/>
      <c r="O225" s="31"/>
      <c r="P225" s="31"/>
      <c r="Q225" s="31"/>
    </row>
    <row r="226" spans="1:17" ht="64.5" customHeight="1" x14ac:dyDescent="0.3">
      <c r="A226" s="542"/>
      <c r="B226" s="544"/>
      <c r="C226" s="547"/>
      <c r="D226" s="57" t="s">
        <v>187</v>
      </c>
      <c r="E226" s="95" t="s">
        <v>79</v>
      </c>
      <c r="F226" s="372"/>
      <c r="G226" s="360"/>
      <c r="H226" s="179">
        <f t="shared" si="109"/>
        <v>3500</v>
      </c>
      <c r="I226" s="186">
        <f>3000+500</f>
        <v>3500</v>
      </c>
      <c r="J226" s="180">
        <v>0</v>
      </c>
      <c r="K226" s="180">
        <v>0</v>
      </c>
      <c r="L226" s="362"/>
      <c r="N226" s="31"/>
      <c r="O226" s="31"/>
      <c r="P226" s="31"/>
      <c r="Q226" s="31"/>
    </row>
    <row r="227" spans="1:17" ht="60" customHeight="1" x14ac:dyDescent="0.3">
      <c r="A227" s="542"/>
      <c r="B227" s="544"/>
      <c r="C227" s="547"/>
      <c r="D227" s="57" t="s">
        <v>187</v>
      </c>
      <c r="E227" s="111" t="s">
        <v>83</v>
      </c>
      <c r="F227" s="372"/>
      <c r="G227" s="360"/>
      <c r="H227" s="179">
        <f t="shared" si="109"/>
        <v>10590</v>
      </c>
      <c r="I227" s="186">
        <v>10590</v>
      </c>
      <c r="J227" s="180">
        <v>0</v>
      </c>
      <c r="K227" s="180">
        <v>0</v>
      </c>
      <c r="L227" s="362"/>
      <c r="N227" s="31"/>
      <c r="O227" s="31"/>
      <c r="P227" s="31"/>
      <c r="Q227" s="31"/>
    </row>
    <row r="228" spans="1:17" ht="58.5" customHeight="1" x14ac:dyDescent="0.3">
      <c r="A228" s="542"/>
      <c r="B228" s="544"/>
      <c r="C228" s="548"/>
      <c r="D228" s="57" t="s">
        <v>187</v>
      </c>
      <c r="E228" s="111" t="s">
        <v>82</v>
      </c>
      <c r="F228" s="372"/>
      <c r="G228" s="360"/>
      <c r="H228" s="179">
        <f t="shared" si="109"/>
        <v>560</v>
      </c>
      <c r="I228" s="186">
        <v>560</v>
      </c>
      <c r="J228" s="180">
        <v>0</v>
      </c>
      <c r="K228" s="180">
        <v>0</v>
      </c>
      <c r="L228" s="362"/>
      <c r="N228" s="31"/>
      <c r="O228" s="31"/>
      <c r="P228" s="31"/>
      <c r="Q228" s="31"/>
    </row>
    <row r="229" spans="1:17" ht="174.75" customHeight="1" x14ac:dyDescent="0.3">
      <c r="A229" s="542"/>
      <c r="B229" s="544"/>
      <c r="C229" s="102" t="s">
        <v>383</v>
      </c>
      <c r="D229" s="310" t="s">
        <v>71</v>
      </c>
      <c r="E229" s="285" t="s">
        <v>79</v>
      </c>
      <c r="F229" s="372"/>
      <c r="G229" s="360"/>
      <c r="H229" s="179">
        <f t="shared" ref="H229" si="112">I229+J229+K229</f>
        <v>2594</v>
      </c>
      <c r="I229" s="180">
        <f>3000+307.7-713.7</f>
        <v>2594</v>
      </c>
      <c r="J229" s="180">
        <v>0</v>
      </c>
      <c r="K229" s="180">
        <v>0</v>
      </c>
      <c r="L229" s="362"/>
      <c r="N229" s="31"/>
      <c r="O229" s="31"/>
      <c r="P229" s="31"/>
      <c r="Q229" s="31"/>
    </row>
    <row r="230" spans="1:17" ht="342" customHeight="1" x14ac:dyDescent="0.3">
      <c r="A230" s="542"/>
      <c r="B230" s="545"/>
      <c r="C230" s="102" t="s">
        <v>419</v>
      </c>
      <c r="D230" s="310" t="s">
        <v>424</v>
      </c>
      <c r="E230" s="306" t="s">
        <v>56</v>
      </c>
      <c r="F230" s="372"/>
      <c r="G230" s="311" t="s">
        <v>418</v>
      </c>
      <c r="H230" s="179">
        <f t="shared" si="109"/>
        <v>799.7</v>
      </c>
      <c r="I230" s="180">
        <v>799.7</v>
      </c>
      <c r="J230" s="180">
        <v>0</v>
      </c>
      <c r="K230" s="180">
        <v>0</v>
      </c>
      <c r="L230" s="316" t="s">
        <v>423</v>
      </c>
      <c r="N230" s="31"/>
      <c r="O230" s="31"/>
      <c r="P230" s="31"/>
      <c r="Q230" s="31"/>
    </row>
    <row r="231" spans="1:17" ht="29.25" customHeight="1" x14ac:dyDescent="0.3">
      <c r="A231" s="497" t="s">
        <v>77</v>
      </c>
      <c r="B231" s="498"/>
      <c r="C231" s="498"/>
      <c r="D231" s="498"/>
      <c r="E231" s="498"/>
      <c r="F231" s="498"/>
      <c r="G231" s="499"/>
      <c r="H231" s="179">
        <f>H210+H223+H229+H230</f>
        <v>99593.07</v>
      </c>
      <c r="I231" s="179">
        <f t="shared" ref="I231:K231" si="113">I210+I223+I229+I230</f>
        <v>99593.07</v>
      </c>
      <c r="J231" s="179">
        <f t="shared" si="113"/>
        <v>0</v>
      </c>
      <c r="K231" s="179">
        <f t="shared" si="113"/>
        <v>0</v>
      </c>
      <c r="L231" s="500"/>
      <c r="M231" s="79"/>
      <c r="N231" s="79"/>
    </row>
    <row r="232" spans="1:17" ht="213" customHeight="1" x14ac:dyDescent="0.3">
      <c r="A232" s="501" t="s">
        <v>19</v>
      </c>
      <c r="B232" s="501"/>
      <c r="C232" s="501"/>
      <c r="D232" s="501"/>
      <c r="E232" s="501"/>
      <c r="F232" s="454"/>
      <c r="G232" s="135" t="s">
        <v>211</v>
      </c>
      <c r="H232" s="189">
        <f>H220+H221+H222</f>
        <v>2376.1</v>
      </c>
      <c r="I232" s="189">
        <f>I220+I221+I222</f>
        <v>2376.1</v>
      </c>
      <c r="J232" s="189">
        <f t="shared" ref="J232:K232" si="114">J220+J221+J222</f>
        <v>0</v>
      </c>
      <c r="K232" s="189">
        <f t="shared" si="114"/>
        <v>0</v>
      </c>
      <c r="L232" s="500"/>
    </row>
    <row r="233" spans="1:17" ht="78" customHeight="1" x14ac:dyDescent="0.3">
      <c r="A233" s="502"/>
      <c r="B233" s="502"/>
      <c r="C233" s="502"/>
      <c r="D233" s="502"/>
      <c r="E233" s="502"/>
      <c r="F233" s="456"/>
      <c r="G233" s="312" t="s">
        <v>418</v>
      </c>
      <c r="H233" s="189">
        <f>H230</f>
        <v>799.7</v>
      </c>
      <c r="I233" s="189">
        <f t="shared" ref="I233:K233" si="115">I230</f>
        <v>799.7</v>
      </c>
      <c r="J233" s="189">
        <f t="shared" si="115"/>
        <v>0</v>
      </c>
      <c r="K233" s="189">
        <f t="shared" si="115"/>
        <v>0</v>
      </c>
      <c r="L233" s="500"/>
    </row>
    <row r="234" spans="1:17" ht="73.5" customHeight="1" x14ac:dyDescent="0.3">
      <c r="A234" s="503"/>
      <c r="B234" s="503"/>
      <c r="C234" s="503"/>
      <c r="D234" s="503"/>
      <c r="E234" s="503"/>
      <c r="F234" s="458"/>
      <c r="G234" s="135" t="s">
        <v>60</v>
      </c>
      <c r="H234" s="189">
        <f>H211+H223+H229</f>
        <v>96417.27</v>
      </c>
      <c r="I234" s="189">
        <f t="shared" ref="I234:K234" si="116">I211+I223+I229</f>
        <v>96417.27</v>
      </c>
      <c r="J234" s="189">
        <f t="shared" si="116"/>
        <v>0</v>
      </c>
      <c r="K234" s="189">
        <f t="shared" si="116"/>
        <v>0</v>
      </c>
      <c r="L234" s="500"/>
    </row>
    <row r="235" spans="1:17" ht="25.15" customHeight="1" x14ac:dyDescent="0.35">
      <c r="A235" s="483" t="s">
        <v>99</v>
      </c>
      <c r="B235" s="484"/>
      <c r="C235" s="484"/>
      <c r="D235" s="485"/>
      <c r="E235" s="361" t="s">
        <v>86</v>
      </c>
      <c r="F235" s="504"/>
      <c r="G235" s="91" t="s">
        <v>101</v>
      </c>
      <c r="H235" s="190">
        <f>SUM(H236:H237)</f>
        <v>13340.5</v>
      </c>
      <c r="I235" s="190">
        <f>SUM(I236:I237)</f>
        <v>13340.5</v>
      </c>
      <c r="J235" s="190">
        <f>SUM(J236:J237)</f>
        <v>0</v>
      </c>
      <c r="K235" s="190">
        <f>SUM(K236:K237)</f>
        <v>0</v>
      </c>
      <c r="L235" s="500"/>
      <c r="M235" s="23"/>
      <c r="P235" s="25"/>
      <c r="Q235" s="26"/>
    </row>
    <row r="236" spans="1:17" ht="86.25" customHeight="1" x14ac:dyDescent="0.3">
      <c r="A236" s="486"/>
      <c r="B236" s="487"/>
      <c r="C236" s="487"/>
      <c r="D236" s="488"/>
      <c r="E236" s="362"/>
      <c r="F236" s="504"/>
      <c r="G236" s="90" t="s">
        <v>60</v>
      </c>
      <c r="H236" s="187">
        <f>H213+H224</f>
        <v>13090.5</v>
      </c>
      <c r="I236" s="187">
        <f t="shared" ref="I236:K236" si="117">I213+I224</f>
        <v>13090.5</v>
      </c>
      <c r="J236" s="187">
        <f t="shared" si="117"/>
        <v>0</v>
      </c>
      <c r="K236" s="187">
        <f t="shared" si="117"/>
        <v>0</v>
      </c>
      <c r="L236" s="500"/>
      <c r="M236" s="23"/>
      <c r="P236" s="25"/>
      <c r="Q236" s="26"/>
    </row>
    <row r="237" spans="1:17" ht="215.25" customHeight="1" x14ac:dyDescent="0.3">
      <c r="A237" s="486"/>
      <c r="B237" s="487"/>
      <c r="C237" s="487"/>
      <c r="D237" s="488"/>
      <c r="E237" s="364"/>
      <c r="F237" s="504"/>
      <c r="G237" s="90" t="s">
        <v>211</v>
      </c>
      <c r="H237" s="187">
        <f>H220</f>
        <v>250</v>
      </c>
      <c r="I237" s="187">
        <f>I220</f>
        <v>250</v>
      </c>
      <c r="J237" s="187">
        <f>J220</f>
        <v>0</v>
      </c>
      <c r="K237" s="187">
        <f>K220</f>
        <v>0</v>
      </c>
      <c r="L237" s="500"/>
      <c r="M237" s="23"/>
      <c r="P237" s="25"/>
      <c r="Q237" s="26"/>
    </row>
    <row r="238" spans="1:17" ht="46.5" customHeight="1" x14ac:dyDescent="0.3">
      <c r="A238" s="486"/>
      <c r="B238" s="487"/>
      <c r="C238" s="487"/>
      <c r="D238" s="488"/>
      <c r="E238" s="95" t="s">
        <v>80</v>
      </c>
      <c r="F238" s="504"/>
      <c r="G238" s="504" t="s">
        <v>60</v>
      </c>
      <c r="H238" s="187">
        <f>H214</f>
        <v>432</v>
      </c>
      <c r="I238" s="187">
        <f>I214</f>
        <v>432</v>
      </c>
      <c r="J238" s="187">
        <f>J214</f>
        <v>0</v>
      </c>
      <c r="K238" s="187">
        <f>K214</f>
        <v>0</v>
      </c>
      <c r="L238" s="500"/>
      <c r="M238" s="23"/>
      <c r="P238" s="25"/>
      <c r="Q238" s="26"/>
    </row>
    <row r="239" spans="1:17" ht="28.5" customHeight="1" x14ac:dyDescent="0.3">
      <c r="A239" s="486"/>
      <c r="B239" s="487"/>
      <c r="C239" s="487"/>
      <c r="D239" s="488"/>
      <c r="E239" s="95" t="s">
        <v>81</v>
      </c>
      <c r="F239" s="504"/>
      <c r="G239" s="504"/>
      <c r="H239" s="187">
        <f>H215+H225</f>
        <v>18146</v>
      </c>
      <c r="I239" s="187">
        <f>I215+I225</f>
        <v>18146</v>
      </c>
      <c r="J239" s="187">
        <f>J215+J225</f>
        <v>0</v>
      </c>
      <c r="K239" s="187">
        <f>K215+K225</f>
        <v>0</v>
      </c>
      <c r="L239" s="500"/>
      <c r="M239" s="23"/>
      <c r="P239" s="25"/>
      <c r="Q239" s="26"/>
    </row>
    <row r="240" spans="1:17" ht="26.25" customHeight="1" x14ac:dyDescent="0.3">
      <c r="A240" s="486"/>
      <c r="B240" s="487"/>
      <c r="C240" s="487"/>
      <c r="D240" s="488"/>
      <c r="E240" s="361" t="s">
        <v>79</v>
      </c>
      <c r="F240" s="504"/>
      <c r="G240" s="91" t="s">
        <v>101</v>
      </c>
      <c r="H240" s="187">
        <f>H241+H242</f>
        <v>27551.569999999996</v>
      </c>
      <c r="I240" s="187">
        <f t="shared" ref="I240:K240" si="118">I241+I242</f>
        <v>27551.569999999996</v>
      </c>
      <c r="J240" s="187">
        <f t="shared" si="118"/>
        <v>0</v>
      </c>
      <c r="K240" s="187">
        <f t="shared" si="118"/>
        <v>0</v>
      </c>
      <c r="L240" s="500"/>
      <c r="M240" s="23"/>
      <c r="P240" s="25"/>
      <c r="Q240" s="26"/>
    </row>
    <row r="241" spans="1:17" ht="79.5" customHeight="1" x14ac:dyDescent="0.3">
      <c r="A241" s="486"/>
      <c r="B241" s="487"/>
      <c r="C241" s="487"/>
      <c r="D241" s="488"/>
      <c r="E241" s="362"/>
      <c r="F241" s="504"/>
      <c r="G241" s="90" t="s">
        <v>60</v>
      </c>
      <c r="H241" s="187">
        <f>H216+H226+H229</f>
        <v>26355.469999999998</v>
      </c>
      <c r="I241" s="187">
        <f t="shared" ref="I241:K241" si="119">I216+I226+I229</f>
        <v>26355.469999999998</v>
      </c>
      <c r="J241" s="187">
        <f t="shared" si="119"/>
        <v>0</v>
      </c>
      <c r="K241" s="187">
        <f t="shared" si="119"/>
        <v>0</v>
      </c>
      <c r="L241" s="500"/>
      <c r="M241" s="23"/>
      <c r="P241" s="25"/>
      <c r="Q241" s="26"/>
    </row>
    <row r="242" spans="1:17" ht="219" customHeight="1" x14ac:dyDescent="0.3">
      <c r="A242" s="486"/>
      <c r="B242" s="487"/>
      <c r="C242" s="487"/>
      <c r="D242" s="488"/>
      <c r="E242" s="364"/>
      <c r="F242" s="504"/>
      <c r="G242" s="90" t="s">
        <v>211</v>
      </c>
      <c r="H242" s="187">
        <f>H221</f>
        <v>1196.0999999999999</v>
      </c>
      <c r="I242" s="187">
        <f>I221</f>
        <v>1196.0999999999999</v>
      </c>
      <c r="J242" s="187">
        <f>J221</f>
        <v>0</v>
      </c>
      <c r="K242" s="187">
        <f>K221</f>
        <v>0</v>
      </c>
      <c r="L242" s="500"/>
      <c r="M242" s="23"/>
      <c r="P242" s="25"/>
      <c r="Q242" s="26"/>
    </row>
    <row r="243" spans="1:17" ht="25.5" customHeight="1" x14ac:dyDescent="0.3">
      <c r="A243" s="486"/>
      <c r="B243" s="487"/>
      <c r="C243" s="487"/>
      <c r="D243" s="488"/>
      <c r="E243" s="361" t="s">
        <v>83</v>
      </c>
      <c r="F243" s="504"/>
      <c r="G243" s="91" t="s">
        <v>101</v>
      </c>
      <c r="H243" s="187">
        <f>H244+H245</f>
        <v>18350</v>
      </c>
      <c r="I243" s="187">
        <f t="shared" ref="I243:K243" si="120">I244+I245</f>
        <v>18350</v>
      </c>
      <c r="J243" s="187">
        <f t="shared" si="120"/>
        <v>0</v>
      </c>
      <c r="K243" s="187">
        <f t="shared" si="120"/>
        <v>0</v>
      </c>
      <c r="L243" s="500"/>
      <c r="M243" s="23"/>
      <c r="P243" s="25"/>
      <c r="Q243" s="26"/>
    </row>
    <row r="244" spans="1:17" ht="69" customHeight="1" x14ac:dyDescent="0.3">
      <c r="A244" s="486"/>
      <c r="B244" s="487"/>
      <c r="C244" s="487"/>
      <c r="D244" s="488"/>
      <c r="E244" s="362"/>
      <c r="F244" s="504"/>
      <c r="G244" s="90" t="s">
        <v>60</v>
      </c>
      <c r="H244" s="187">
        <f>H217+H227</f>
        <v>17420</v>
      </c>
      <c r="I244" s="187">
        <f>I217+I227</f>
        <v>17420</v>
      </c>
      <c r="J244" s="187">
        <f>J217+J227</f>
        <v>0</v>
      </c>
      <c r="K244" s="187">
        <f>K217+K227</f>
        <v>0</v>
      </c>
      <c r="L244" s="500"/>
      <c r="M244" s="23"/>
      <c r="P244" s="25"/>
      <c r="Q244" s="26"/>
    </row>
    <row r="245" spans="1:17" ht="216.75" customHeight="1" x14ac:dyDescent="0.3">
      <c r="A245" s="486"/>
      <c r="B245" s="487"/>
      <c r="C245" s="487"/>
      <c r="D245" s="488"/>
      <c r="E245" s="364"/>
      <c r="F245" s="504"/>
      <c r="G245" s="90" t="s">
        <v>211</v>
      </c>
      <c r="H245" s="187">
        <f>H222</f>
        <v>930</v>
      </c>
      <c r="I245" s="187">
        <f>I222</f>
        <v>930</v>
      </c>
      <c r="J245" s="187">
        <f>J222</f>
        <v>0</v>
      </c>
      <c r="K245" s="187">
        <f>K222</f>
        <v>0</v>
      </c>
      <c r="L245" s="500"/>
      <c r="M245" s="23"/>
      <c r="P245" s="25"/>
      <c r="Q245" s="26"/>
    </row>
    <row r="246" spans="1:17" ht="74.25" customHeight="1" x14ac:dyDescent="0.3">
      <c r="A246" s="486"/>
      <c r="B246" s="487"/>
      <c r="C246" s="487"/>
      <c r="D246" s="488"/>
      <c r="E246" s="95" t="s">
        <v>82</v>
      </c>
      <c r="F246" s="504"/>
      <c r="G246" s="313" t="s">
        <v>60</v>
      </c>
      <c r="H246" s="187">
        <f>H218+H228</f>
        <v>1250</v>
      </c>
      <c r="I246" s="187">
        <f>I218+I228</f>
        <v>1250</v>
      </c>
      <c r="J246" s="187">
        <f>J218+J228</f>
        <v>0</v>
      </c>
      <c r="K246" s="187">
        <f>K218+K228</f>
        <v>0</v>
      </c>
      <c r="L246" s="500"/>
      <c r="M246" s="23"/>
      <c r="P246" s="25"/>
      <c r="Q246" s="26"/>
    </row>
    <row r="247" spans="1:17" ht="26.25" customHeight="1" x14ac:dyDescent="0.3">
      <c r="A247" s="486"/>
      <c r="B247" s="487"/>
      <c r="C247" s="487"/>
      <c r="D247" s="488"/>
      <c r="E247" s="361" t="s">
        <v>56</v>
      </c>
      <c r="F247" s="504"/>
      <c r="G247" s="91" t="s">
        <v>101</v>
      </c>
      <c r="H247" s="187">
        <f>H248+H249</f>
        <v>20523</v>
      </c>
      <c r="I247" s="187">
        <f t="shared" ref="I247:K247" si="121">I248+I249</f>
        <v>20523</v>
      </c>
      <c r="J247" s="187">
        <f t="shared" si="121"/>
        <v>0</v>
      </c>
      <c r="K247" s="187">
        <f t="shared" si="121"/>
        <v>0</v>
      </c>
      <c r="L247" s="500"/>
      <c r="M247" s="23"/>
      <c r="P247" s="25"/>
      <c r="Q247" s="26"/>
    </row>
    <row r="248" spans="1:17" ht="74.25" customHeight="1" x14ac:dyDescent="0.3">
      <c r="A248" s="486"/>
      <c r="B248" s="487"/>
      <c r="C248" s="487"/>
      <c r="D248" s="488"/>
      <c r="E248" s="362"/>
      <c r="F248" s="504"/>
      <c r="G248" s="329" t="s">
        <v>418</v>
      </c>
      <c r="H248" s="187">
        <f>H230</f>
        <v>799.7</v>
      </c>
      <c r="I248" s="187">
        <f t="shared" ref="I248:K248" si="122">I230</f>
        <v>799.7</v>
      </c>
      <c r="J248" s="187">
        <f t="shared" si="122"/>
        <v>0</v>
      </c>
      <c r="K248" s="187">
        <f t="shared" si="122"/>
        <v>0</v>
      </c>
      <c r="L248" s="500"/>
      <c r="M248" s="23"/>
      <c r="P248" s="25"/>
      <c r="Q248" s="26"/>
    </row>
    <row r="249" spans="1:17" ht="73.5" customHeight="1" x14ac:dyDescent="0.3">
      <c r="A249" s="489"/>
      <c r="B249" s="490"/>
      <c r="C249" s="490"/>
      <c r="D249" s="491"/>
      <c r="E249" s="364"/>
      <c r="F249" s="504"/>
      <c r="G249" s="328" t="s">
        <v>60</v>
      </c>
      <c r="H249" s="187">
        <f>H212</f>
        <v>19723.3</v>
      </c>
      <c r="I249" s="187">
        <f>I212</f>
        <v>19723.3</v>
      </c>
      <c r="J249" s="187">
        <f>J212</f>
        <v>0</v>
      </c>
      <c r="K249" s="187">
        <f>K212</f>
        <v>0</v>
      </c>
      <c r="L249" s="500"/>
      <c r="M249" s="23"/>
      <c r="P249" s="25"/>
      <c r="Q249" s="26"/>
    </row>
    <row r="250" spans="1:17" ht="30" customHeight="1" x14ac:dyDescent="0.3">
      <c r="A250" s="497" t="s">
        <v>106</v>
      </c>
      <c r="B250" s="498"/>
      <c r="C250" s="498"/>
      <c r="D250" s="498"/>
      <c r="E250" s="498"/>
      <c r="F250" s="499"/>
      <c r="G250" s="42"/>
      <c r="H250" s="179">
        <f>H108+H164+H198+H231</f>
        <v>380047.77742790402</v>
      </c>
      <c r="I250" s="179">
        <f>I108+I164+I198+I231</f>
        <v>294924.93400000001</v>
      </c>
      <c r="J250" s="179">
        <f>J108+J164+J198+J231</f>
        <v>42037.884703999996</v>
      </c>
      <c r="K250" s="179">
        <f>K108+K164+K198+K231</f>
        <v>43084.958723903997</v>
      </c>
      <c r="L250" s="384"/>
    </row>
    <row r="251" spans="1:17" ht="72" customHeight="1" x14ac:dyDescent="0.3">
      <c r="A251" s="386" t="s">
        <v>107</v>
      </c>
      <c r="B251" s="386"/>
      <c r="C251" s="386"/>
      <c r="D251" s="386"/>
      <c r="E251" s="386"/>
      <c r="F251" s="387"/>
      <c r="G251" s="138" t="s">
        <v>72</v>
      </c>
      <c r="H251" s="179">
        <f>H109+H165+H199</f>
        <v>215380.80742790399</v>
      </c>
      <c r="I251" s="179">
        <f>I109+I165+I199</f>
        <v>130257.96399999999</v>
      </c>
      <c r="J251" s="179">
        <f>J109+J165+J199</f>
        <v>42037.884704000004</v>
      </c>
      <c r="K251" s="179">
        <f>K109+K165+K199</f>
        <v>43084.958723903997</v>
      </c>
      <c r="L251" s="385"/>
    </row>
    <row r="252" spans="1:17" ht="70.5" customHeight="1" x14ac:dyDescent="0.3">
      <c r="A252" s="388"/>
      <c r="B252" s="388"/>
      <c r="C252" s="388"/>
      <c r="D252" s="388"/>
      <c r="E252" s="388"/>
      <c r="F252" s="389"/>
      <c r="G252" s="138" t="s">
        <v>60</v>
      </c>
      <c r="H252" s="179">
        <f>H234</f>
        <v>96417.27</v>
      </c>
      <c r="I252" s="179">
        <f t="shared" ref="I252:K252" si="123">I234</f>
        <v>96417.27</v>
      </c>
      <c r="J252" s="179">
        <f t="shared" si="123"/>
        <v>0</v>
      </c>
      <c r="K252" s="179">
        <f t="shared" si="123"/>
        <v>0</v>
      </c>
      <c r="L252" s="385"/>
    </row>
    <row r="253" spans="1:17" ht="77.25" customHeight="1" x14ac:dyDescent="0.3">
      <c r="A253" s="388"/>
      <c r="B253" s="388"/>
      <c r="C253" s="388"/>
      <c r="D253" s="388"/>
      <c r="E253" s="388"/>
      <c r="F253" s="389"/>
      <c r="G253" s="138" t="s">
        <v>100</v>
      </c>
      <c r="H253" s="179">
        <f>H110</f>
        <v>52839.700000000004</v>
      </c>
      <c r="I253" s="179">
        <f t="shared" ref="I253:K253" si="124">I110</f>
        <v>52839.700000000004</v>
      </c>
      <c r="J253" s="179">
        <f t="shared" si="124"/>
        <v>0</v>
      </c>
      <c r="K253" s="179">
        <f t="shared" si="124"/>
        <v>0</v>
      </c>
      <c r="L253" s="385"/>
    </row>
    <row r="254" spans="1:17" ht="258.75" customHeight="1" x14ac:dyDescent="0.3">
      <c r="A254" s="388"/>
      <c r="B254" s="388"/>
      <c r="C254" s="388"/>
      <c r="D254" s="388"/>
      <c r="E254" s="388"/>
      <c r="F254" s="389"/>
      <c r="G254" s="90" t="s">
        <v>104</v>
      </c>
      <c r="H254" s="179">
        <f>H167+H200</f>
        <v>7856</v>
      </c>
      <c r="I254" s="179">
        <f>I167+I200</f>
        <v>7856</v>
      </c>
      <c r="J254" s="179">
        <f>J167+J200</f>
        <v>0</v>
      </c>
      <c r="K254" s="179">
        <f>K167+K200</f>
        <v>0</v>
      </c>
      <c r="L254" s="385"/>
    </row>
    <row r="255" spans="1:17" ht="217.5" customHeight="1" x14ac:dyDescent="0.3">
      <c r="A255" s="388"/>
      <c r="B255" s="388"/>
      <c r="C255" s="388"/>
      <c r="D255" s="388"/>
      <c r="E255" s="388"/>
      <c r="F255" s="389"/>
      <c r="G255" s="138" t="s">
        <v>103</v>
      </c>
      <c r="H255" s="179">
        <f>H111+H166</f>
        <v>4318.2</v>
      </c>
      <c r="I255" s="179">
        <f t="shared" ref="I255:K255" si="125">I111+I166</f>
        <v>4318.2</v>
      </c>
      <c r="J255" s="179">
        <f t="shared" si="125"/>
        <v>0</v>
      </c>
      <c r="K255" s="179">
        <f t="shared" si="125"/>
        <v>0</v>
      </c>
      <c r="L255" s="385"/>
    </row>
    <row r="256" spans="1:17" ht="212.25" customHeight="1" x14ac:dyDescent="0.3">
      <c r="A256" s="388"/>
      <c r="B256" s="388"/>
      <c r="C256" s="388"/>
      <c r="D256" s="388"/>
      <c r="E256" s="388"/>
      <c r="F256" s="389"/>
      <c r="G256" s="90" t="s">
        <v>211</v>
      </c>
      <c r="H256" s="179">
        <f>H232</f>
        <v>2376.1</v>
      </c>
      <c r="I256" s="179">
        <f t="shared" ref="I256:K256" si="126">I232</f>
        <v>2376.1</v>
      </c>
      <c r="J256" s="179">
        <f t="shared" si="126"/>
        <v>0</v>
      </c>
      <c r="K256" s="179">
        <f t="shared" si="126"/>
        <v>0</v>
      </c>
      <c r="L256" s="385"/>
    </row>
    <row r="257" spans="1:12" ht="79.5" customHeight="1" x14ac:dyDescent="0.3">
      <c r="A257" s="388"/>
      <c r="B257" s="388"/>
      <c r="C257" s="388"/>
      <c r="D257" s="388"/>
      <c r="E257" s="388"/>
      <c r="F257" s="389"/>
      <c r="G257" s="284" t="s">
        <v>418</v>
      </c>
      <c r="H257" s="179">
        <f>H233</f>
        <v>799.7</v>
      </c>
      <c r="I257" s="179">
        <f t="shared" ref="I257:K257" si="127">I233</f>
        <v>799.7</v>
      </c>
      <c r="J257" s="179">
        <f t="shared" si="127"/>
        <v>0</v>
      </c>
      <c r="K257" s="179">
        <f t="shared" si="127"/>
        <v>0</v>
      </c>
      <c r="L257" s="385"/>
    </row>
    <row r="258" spans="1:12" ht="71.25" customHeight="1" x14ac:dyDescent="0.3">
      <c r="A258" s="390"/>
      <c r="B258" s="390"/>
      <c r="C258" s="390"/>
      <c r="D258" s="390"/>
      <c r="E258" s="390"/>
      <c r="F258" s="391"/>
      <c r="G258" s="166" t="s">
        <v>349</v>
      </c>
      <c r="H258" s="179">
        <f>H112</f>
        <v>60</v>
      </c>
      <c r="I258" s="179">
        <f t="shared" ref="I258:K258" si="128">I112</f>
        <v>60</v>
      </c>
      <c r="J258" s="179">
        <f t="shared" si="128"/>
        <v>0</v>
      </c>
      <c r="K258" s="179">
        <f t="shared" si="128"/>
        <v>0</v>
      </c>
      <c r="L258" s="385"/>
    </row>
    <row r="259" spans="1:12" ht="27.75" customHeight="1" x14ac:dyDescent="0.3">
      <c r="A259" s="386" t="s">
        <v>99</v>
      </c>
      <c r="B259" s="386"/>
      <c r="C259" s="386"/>
      <c r="D259" s="387"/>
      <c r="E259" s="395" t="s">
        <v>86</v>
      </c>
      <c r="F259" s="515"/>
      <c r="G259" s="138" t="s">
        <v>94</v>
      </c>
      <c r="H259" s="179">
        <f>SUM(H260:H265)</f>
        <v>53494.485369599999</v>
      </c>
      <c r="I259" s="179">
        <f>SUM(I260:I265)</f>
        <v>43416.399999999994</v>
      </c>
      <c r="J259" s="179">
        <f>SUM(J260:J265)</f>
        <v>5048.5896000000002</v>
      </c>
      <c r="K259" s="179">
        <f>SUM(K260:K265)</f>
        <v>5029.4957696000001</v>
      </c>
      <c r="L259" s="124"/>
    </row>
    <row r="260" spans="1:12" ht="52.5" customHeight="1" x14ac:dyDescent="0.3">
      <c r="A260" s="388"/>
      <c r="B260" s="388"/>
      <c r="C260" s="388"/>
      <c r="D260" s="389"/>
      <c r="E260" s="514"/>
      <c r="F260" s="516"/>
      <c r="G260" s="86" t="s">
        <v>51</v>
      </c>
      <c r="H260" s="180">
        <f>H114+H170</f>
        <v>27460.585369599998</v>
      </c>
      <c r="I260" s="180">
        <f>I114+I170</f>
        <v>17382.499999999996</v>
      </c>
      <c r="J260" s="180">
        <f t="shared" ref="J260:K260" si="129">J114+J170</f>
        <v>5048.5896000000002</v>
      </c>
      <c r="K260" s="180">
        <f t="shared" si="129"/>
        <v>5029.4957696000001</v>
      </c>
      <c r="L260" s="128"/>
    </row>
    <row r="261" spans="1:12" ht="79.5" customHeight="1" x14ac:dyDescent="0.3">
      <c r="A261" s="388"/>
      <c r="B261" s="388"/>
      <c r="C261" s="388"/>
      <c r="D261" s="389"/>
      <c r="E261" s="514"/>
      <c r="F261" s="516"/>
      <c r="G261" s="88" t="s">
        <v>100</v>
      </c>
      <c r="H261" s="180">
        <f>H117</f>
        <v>12485.6</v>
      </c>
      <c r="I261" s="180">
        <f t="shared" ref="I261:K261" si="130">I117</f>
        <v>12485.6</v>
      </c>
      <c r="J261" s="180">
        <f t="shared" si="130"/>
        <v>0</v>
      </c>
      <c r="K261" s="180">
        <f t="shared" si="130"/>
        <v>0</v>
      </c>
      <c r="L261" s="128"/>
    </row>
    <row r="262" spans="1:12" ht="195.75" customHeight="1" x14ac:dyDescent="0.3">
      <c r="A262" s="388"/>
      <c r="B262" s="388"/>
      <c r="C262" s="388"/>
      <c r="D262" s="389"/>
      <c r="E262" s="514"/>
      <c r="F262" s="516"/>
      <c r="G262" s="88" t="str">
        <f>G115</f>
        <v>Субвенція з місцевого бюджету на здійснення переданих видатків у сфері охорони здоров'я за рахунок коштів медичної субвенції (загальний фонд)</v>
      </c>
      <c r="H262" s="183">
        <f>H115+H169</f>
        <v>147.79999999999998</v>
      </c>
      <c r="I262" s="183">
        <f t="shared" ref="I262:K262" si="131">I115+I169</f>
        <v>147.79999999999998</v>
      </c>
      <c r="J262" s="183">
        <f t="shared" si="131"/>
        <v>0</v>
      </c>
      <c r="K262" s="183">
        <f t="shared" si="131"/>
        <v>0</v>
      </c>
      <c r="L262" s="128"/>
    </row>
    <row r="263" spans="1:12" ht="162.75" x14ac:dyDescent="0.3">
      <c r="A263" s="388"/>
      <c r="B263" s="388"/>
      <c r="C263" s="388"/>
      <c r="D263" s="389"/>
      <c r="E263" s="514"/>
      <c r="F263" s="516"/>
      <c r="G263" s="88" t="s">
        <v>211</v>
      </c>
      <c r="H263" s="180">
        <f>H237</f>
        <v>250</v>
      </c>
      <c r="I263" s="180">
        <f t="shared" ref="I263:K263" si="132">I237</f>
        <v>250</v>
      </c>
      <c r="J263" s="180">
        <f t="shared" si="132"/>
        <v>0</v>
      </c>
      <c r="K263" s="180">
        <f t="shared" si="132"/>
        <v>0</v>
      </c>
      <c r="L263" s="128"/>
    </row>
    <row r="264" spans="1:12" ht="79.5" customHeight="1" x14ac:dyDescent="0.3">
      <c r="A264" s="388"/>
      <c r="B264" s="388"/>
      <c r="C264" s="388"/>
      <c r="D264" s="389"/>
      <c r="E264" s="514"/>
      <c r="F264" s="516"/>
      <c r="G264" s="169" t="s">
        <v>349</v>
      </c>
      <c r="H264" s="180">
        <f>H116</f>
        <v>60</v>
      </c>
      <c r="I264" s="180">
        <f t="shared" ref="I264:K264" si="133">I116</f>
        <v>60</v>
      </c>
      <c r="J264" s="180">
        <f t="shared" si="133"/>
        <v>0</v>
      </c>
      <c r="K264" s="180">
        <f t="shared" si="133"/>
        <v>0</v>
      </c>
      <c r="L264" s="128"/>
    </row>
    <row r="265" spans="1:12" ht="63" customHeight="1" x14ac:dyDescent="0.3">
      <c r="A265" s="388"/>
      <c r="B265" s="388"/>
      <c r="C265" s="388"/>
      <c r="D265" s="389"/>
      <c r="E265" s="396"/>
      <c r="F265" s="516"/>
      <c r="G265" s="86" t="s">
        <v>60</v>
      </c>
      <c r="H265" s="180">
        <f>H236</f>
        <v>13090.5</v>
      </c>
      <c r="I265" s="180">
        <f>I236</f>
        <v>13090.5</v>
      </c>
      <c r="J265" s="180">
        <f t="shared" ref="J265:K265" si="134">J236</f>
        <v>0</v>
      </c>
      <c r="K265" s="180">
        <f t="shared" si="134"/>
        <v>0</v>
      </c>
      <c r="L265" s="128"/>
    </row>
    <row r="266" spans="1:12" ht="24.75" customHeight="1" x14ac:dyDescent="0.3">
      <c r="A266" s="388"/>
      <c r="B266" s="388"/>
      <c r="C266" s="388"/>
      <c r="D266" s="389"/>
      <c r="E266" s="395" t="s">
        <v>80</v>
      </c>
      <c r="F266" s="516"/>
      <c r="G266" s="138" t="s">
        <v>94</v>
      </c>
      <c r="H266" s="179">
        <f>SUM(H267:H269)</f>
        <v>36826.476575999994</v>
      </c>
      <c r="I266" s="179">
        <f t="shared" ref="I266:K266" si="135">SUM(I267:I269)</f>
        <v>24652.199999999997</v>
      </c>
      <c r="J266" s="179">
        <f t="shared" si="135"/>
        <v>5935.7759999999998</v>
      </c>
      <c r="K266" s="179">
        <f t="shared" si="135"/>
        <v>6238.5005759999995</v>
      </c>
      <c r="L266" s="128"/>
    </row>
    <row r="267" spans="1:12" ht="48" customHeight="1" x14ac:dyDescent="0.3">
      <c r="A267" s="388"/>
      <c r="B267" s="388"/>
      <c r="C267" s="388"/>
      <c r="D267" s="389"/>
      <c r="E267" s="514"/>
      <c r="F267" s="516"/>
      <c r="G267" s="86" t="s">
        <v>51</v>
      </c>
      <c r="H267" s="180">
        <f>H119+H171+H206</f>
        <v>28234.376575999995</v>
      </c>
      <c r="I267" s="180">
        <f>I119+I171+I206</f>
        <v>16060.099999999997</v>
      </c>
      <c r="J267" s="180">
        <f>J119+J171+J206</f>
        <v>5935.7759999999998</v>
      </c>
      <c r="K267" s="180">
        <f>K119+K171+K206</f>
        <v>6238.5005759999995</v>
      </c>
      <c r="L267" s="129"/>
    </row>
    <row r="268" spans="1:12" ht="75.75" customHeight="1" x14ac:dyDescent="0.3">
      <c r="A268" s="388"/>
      <c r="B268" s="388"/>
      <c r="C268" s="388"/>
      <c r="D268" s="389"/>
      <c r="E268" s="514"/>
      <c r="F268" s="516"/>
      <c r="G268" s="88" t="s">
        <v>100</v>
      </c>
      <c r="H268" s="180">
        <f>H120</f>
        <v>8160.1</v>
      </c>
      <c r="I268" s="180">
        <f t="shared" ref="I268:K268" si="136">I120</f>
        <v>8160.1</v>
      </c>
      <c r="J268" s="180">
        <f t="shared" si="136"/>
        <v>0</v>
      </c>
      <c r="K268" s="180">
        <f t="shared" si="136"/>
        <v>0</v>
      </c>
      <c r="L268" s="128"/>
    </row>
    <row r="269" spans="1:12" ht="51.75" customHeight="1" x14ac:dyDescent="0.3">
      <c r="A269" s="388"/>
      <c r="B269" s="388"/>
      <c r="C269" s="388"/>
      <c r="D269" s="389"/>
      <c r="E269" s="396"/>
      <c r="F269" s="516"/>
      <c r="G269" s="86" t="s">
        <v>60</v>
      </c>
      <c r="H269" s="180">
        <f>H238</f>
        <v>432</v>
      </c>
      <c r="I269" s="180">
        <f t="shared" ref="I269:K269" si="137">I238</f>
        <v>432</v>
      </c>
      <c r="J269" s="180">
        <f t="shared" si="137"/>
        <v>0</v>
      </c>
      <c r="K269" s="180">
        <f t="shared" si="137"/>
        <v>0</v>
      </c>
      <c r="L269" s="129"/>
    </row>
    <row r="270" spans="1:12" ht="27.75" customHeight="1" x14ac:dyDescent="0.3">
      <c r="A270" s="388"/>
      <c r="B270" s="388"/>
      <c r="C270" s="388"/>
      <c r="D270" s="389"/>
      <c r="E270" s="395" t="s">
        <v>81</v>
      </c>
      <c r="F270" s="516"/>
      <c r="G270" s="138" t="s">
        <v>94</v>
      </c>
      <c r="H270" s="179">
        <f>SUM(H271:H274)</f>
        <v>57689.999228800007</v>
      </c>
      <c r="I270" s="179">
        <f t="shared" ref="I270:K270" si="138">SUM(I271:I274)</f>
        <v>53107.4</v>
      </c>
      <c r="J270" s="179">
        <f t="shared" si="138"/>
        <v>2554.0888</v>
      </c>
      <c r="K270" s="179">
        <f t="shared" si="138"/>
        <v>2028.5104288</v>
      </c>
      <c r="L270" s="129"/>
    </row>
    <row r="271" spans="1:12" ht="48" customHeight="1" x14ac:dyDescent="0.3">
      <c r="A271" s="388"/>
      <c r="B271" s="388"/>
      <c r="C271" s="388"/>
      <c r="D271" s="389"/>
      <c r="E271" s="514"/>
      <c r="F271" s="516"/>
      <c r="G271" s="86" t="s">
        <v>51</v>
      </c>
      <c r="H271" s="180">
        <f>H122+H172+H207</f>
        <v>23997.499228800003</v>
      </c>
      <c r="I271" s="180">
        <f>I122+I172+I207</f>
        <v>19414.900000000001</v>
      </c>
      <c r="J271" s="180">
        <f>J122+J172+J207</f>
        <v>2554.0888</v>
      </c>
      <c r="K271" s="180">
        <f>K122+K172+K207</f>
        <v>2028.5104288</v>
      </c>
      <c r="L271" s="129"/>
    </row>
    <row r="272" spans="1:12" ht="77.25" customHeight="1" x14ac:dyDescent="0.3">
      <c r="A272" s="388"/>
      <c r="B272" s="388"/>
      <c r="C272" s="388"/>
      <c r="D272" s="389"/>
      <c r="E272" s="514"/>
      <c r="F272" s="516"/>
      <c r="G272" s="88" t="s">
        <v>100</v>
      </c>
      <c r="H272" s="180">
        <f>H123</f>
        <v>12866.2</v>
      </c>
      <c r="I272" s="180">
        <f t="shared" ref="I272:K272" si="139">I123</f>
        <v>12866.2</v>
      </c>
      <c r="J272" s="180">
        <f t="shared" si="139"/>
        <v>0</v>
      </c>
      <c r="K272" s="180">
        <f t="shared" si="139"/>
        <v>0</v>
      </c>
      <c r="L272" s="129"/>
    </row>
    <row r="273" spans="1:12" ht="180" customHeight="1" x14ac:dyDescent="0.3">
      <c r="A273" s="388"/>
      <c r="B273" s="388"/>
      <c r="C273" s="388"/>
      <c r="D273" s="389"/>
      <c r="E273" s="514"/>
      <c r="F273" s="516"/>
      <c r="G273" s="88" t="s">
        <v>103</v>
      </c>
      <c r="H273" s="180">
        <f>H124</f>
        <v>2680.3</v>
      </c>
      <c r="I273" s="180">
        <f t="shared" ref="I273:K273" si="140">I124</f>
        <v>2680.3</v>
      </c>
      <c r="J273" s="180">
        <f t="shared" si="140"/>
        <v>0</v>
      </c>
      <c r="K273" s="180">
        <f t="shared" si="140"/>
        <v>0</v>
      </c>
      <c r="L273" s="129"/>
    </row>
    <row r="274" spans="1:12" ht="57.75" customHeight="1" x14ac:dyDescent="0.3">
      <c r="A274" s="388"/>
      <c r="B274" s="388"/>
      <c r="C274" s="388"/>
      <c r="D274" s="389"/>
      <c r="E274" s="396"/>
      <c r="F274" s="516"/>
      <c r="G274" s="86" t="s">
        <v>60</v>
      </c>
      <c r="H274" s="180">
        <f>H239</f>
        <v>18146</v>
      </c>
      <c r="I274" s="180">
        <f t="shared" ref="I274:K274" si="141">I239</f>
        <v>18146</v>
      </c>
      <c r="J274" s="180">
        <f t="shared" si="141"/>
        <v>0</v>
      </c>
      <c r="K274" s="180">
        <f t="shared" si="141"/>
        <v>0</v>
      </c>
      <c r="L274" s="129"/>
    </row>
    <row r="275" spans="1:12" ht="27.75" customHeight="1" x14ac:dyDescent="0.3">
      <c r="A275" s="388"/>
      <c r="B275" s="388"/>
      <c r="C275" s="388"/>
      <c r="D275" s="389"/>
      <c r="E275" s="395" t="s">
        <v>79</v>
      </c>
      <c r="F275" s="516"/>
      <c r="G275" s="138" t="s">
        <v>94</v>
      </c>
      <c r="H275" s="179">
        <f>SUM(H276:H279)</f>
        <v>78589.229539903987</v>
      </c>
      <c r="I275" s="179">
        <f t="shared" ref="I275:K275" si="142">SUM(I276:I279)</f>
        <v>63367.833999999988</v>
      </c>
      <c r="J275" s="179">
        <f t="shared" si="142"/>
        <v>7466.8967040000007</v>
      </c>
      <c r="K275" s="179">
        <f t="shared" si="142"/>
        <v>7754.4988359039999</v>
      </c>
      <c r="L275" s="129"/>
    </row>
    <row r="276" spans="1:12" ht="57.75" customHeight="1" x14ac:dyDescent="0.3">
      <c r="A276" s="388"/>
      <c r="B276" s="388"/>
      <c r="C276" s="388"/>
      <c r="D276" s="389"/>
      <c r="E276" s="514"/>
      <c r="F276" s="516"/>
      <c r="G276" s="131" t="s">
        <v>51</v>
      </c>
      <c r="H276" s="180">
        <f>H126+H173+H208</f>
        <v>39189.659539903994</v>
      </c>
      <c r="I276" s="180">
        <f>I126+I173+I208</f>
        <v>23968.263999999999</v>
      </c>
      <c r="J276" s="180">
        <f>J126+J173+J208</f>
        <v>7466.8967040000007</v>
      </c>
      <c r="K276" s="180">
        <f>K126+K173+K208</f>
        <v>7754.4988359039999</v>
      </c>
      <c r="L276" s="129"/>
    </row>
    <row r="277" spans="1:12" ht="81" customHeight="1" x14ac:dyDescent="0.3">
      <c r="A277" s="388"/>
      <c r="B277" s="388"/>
      <c r="C277" s="388"/>
      <c r="D277" s="389"/>
      <c r="E277" s="514"/>
      <c r="F277" s="516"/>
      <c r="G277" s="88" t="s">
        <v>100</v>
      </c>
      <c r="H277" s="180">
        <f>H127</f>
        <v>11848</v>
      </c>
      <c r="I277" s="180">
        <f t="shared" ref="I277:K277" si="143">I127</f>
        <v>11848</v>
      </c>
      <c r="J277" s="180">
        <f t="shared" si="143"/>
        <v>0</v>
      </c>
      <c r="K277" s="180">
        <f t="shared" si="143"/>
        <v>0</v>
      </c>
      <c r="L277" s="129"/>
    </row>
    <row r="278" spans="1:12" ht="187.5" customHeight="1" x14ac:dyDescent="0.3">
      <c r="A278" s="388"/>
      <c r="B278" s="388"/>
      <c r="C278" s="388"/>
      <c r="D278" s="389"/>
      <c r="E278" s="514"/>
      <c r="F278" s="516"/>
      <c r="G278" s="165" t="s">
        <v>211</v>
      </c>
      <c r="H278" s="180">
        <f>H242</f>
        <v>1196.0999999999999</v>
      </c>
      <c r="I278" s="180">
        <f t="shared" ref="I278:K278" si="144">I242</f>
        <v>1196.0999999999999</v>
      </c>
      <c r="J278" s="180">
        <f t="shared" si="144"/>
        <v>0</v>
      </c>
      <c r="K278" s="180">
        <f t="shared" si="144"/>
        <v>0</v>
      </c>
      <c r="L278" s="129"/>
    </row>
    <row r="279" spans="1:12" ht="59.25" customHeight="1" x14ac:dyDescent="0.3">
      <c r="A279" s="388"/>
      <c r="B279" s="388"/>
      <c r="C279" s="388"/>
      <c r="D279" s="389"/>
      <c r="E279" s="396"/>
      <c r="F279" s="516"/>
      <c r="G279" s="86" t="s">
        <v>60</v>
      </c>
      <c r="H279" s="180">
        <f>H241</f>
        <v>26355.469999999998</v>
      </c>
      <c r="I279" s="180">
        <f t="shared" ref="I279:K279" si="145">I241</f>
        <v>26355.469999999998</v>
      </c>
      <c r="J279" s="180">
        <f t="shared" si="145"/>
        <v>0</v>
      </c>
      <c r="K279" s="180">
        <f t="shared" si="145"/>
        <v>0</v>
      </c>
      <c r="L279" s="129"/>
    </row>
    <row r="280" spans="1:12" ht="35.25" customHeight="1" x14ac:dyDescent="0.3">
      <c r="A280" s="388"/>
      <c r="B280" s="388"/>
      <c r="C280" s="388"/>
      <c r="D280" s="389"/>
      <c r="E280" s="395" t="s">
        <v>83</v>
      </c>
      <c r="F280" s="516"/>
      <c r="G280" s="138" t="s">
        <v>94</v>
      </c>
      <c r="H280" s="179">
        <f>SUM(H281:H284)</f>
        <v>34552.557328000003</v>
      </c>
      <c r="I280" s="179">
        <f t="shared" ref="I280:K280" si="146">SUM(I281:I284)</f>
        <v>33081</v>
      </c>
      <c r="J280" s="179">
        <f t="shared" si="146"/>
        <v>830.928</v>
      </c>
      <c r="K280" s="179">
        <f t="shared" si="146"/>
        <v>640.62932799999999</v>
      </c>
      <c r="L280" s="129"/>
    </row>
    <row r="281" spans="1:12" ht="51.75" customHeight="1" x14ac:dyDescent="0.3">
      <c r="A281" s="388"/>
      <c r="B281" s="388"/>
      <c r="C281" s="388"/>
      <c r="D281" s="389"/>
      <c r="E281" s="514"/>
      <c r="F281" s="516"/>
      <c r="G281" s="131" t="s">
        <v>51</v>
      </c>
      <c r="H281" s="180">
        <f>H129</f>
        <v>9854.9573280000004</v>
      </c>
      <c r="I281" s="180">
        <f t="shared" ref="I281:K281" si="147">I129</f>
        <v>8383.4</v>
      </c>
      <c r="J281" s="180">
        <f t="shared" si="147"/>
        <v>830.928</v>
      </c>
      <c r="K281" s="180">
        <f t="shared" si="147"/>
        <v>640.62932799999999</v>
      </c>
      <c r="L281" s="129"/>
    </row>
    <row r="282" spans="1:12" ht="77.25" customHeight="1" x14ac:dyDescent="0.3">
      <c r="A282" s="388"/>
      <c r="B282" s="388"/>
      <c r="C282" s="388"/>
      <c r="D282" s="389"/>
      <c r="E282" s="514"/>
      <c r="F282" s="516"/>
      <c r="G282" s="88" t="s">
        <v>100</v>
      </c>
      <c r="H282" s="180">
        <f>H130</f>
        <v>6347.6</v>
      </c>
      <c r="I282" s="180">
        <f t="shared" ref="I282:K282" si="148">I130</f>
        <v>6347.6</v>
      </c>
      <c r="J282" s="180">
        <f t="shared" si="148"/>
        <v>0</v>
      </c>
      <c r="K282" s="180">
        <f t="shared" si="148"/>
        <v>0</v>
      </c>
      <c r="L282" s="129"/>
    </row>
    <row r="283" spans="1:12" ht="184.5" customHeight="1" x14ac:dyDescent="0.3">
      <c r="A283" s="388"/>
      <c r="B283" s="388"/>
      <c r="C283" s="388"/>
      <c r="D283" s="389"/>
      <c r="E283" s="514"/>
      <c r="F283" s="516"/>
      <c r="G283" s="88" t="s">
        <v>211</v>
      </c>
      <c r="H283" s="180">
        <f>H245</f>
        <v>930</v>
      </c>
      <c r="I283" s="180">
        <f t="shared" ref="I283:K283" si="149">I245</f>
        <v>930</v>
      </c>
      <c r="J283" s="180">
        <f t="shared" si="149"/>
        <v>0</v>
      </c>
      <c r="K283" s="180">
        <f t="shared" si="149"/>
        <v>0</v>
      </c>
      <c r="L283" s="129"/>
    </row>
    <row r="284" spans="1:12" ht="57.75" customHeight="1" x14ac:dyDescent="0.3">
      <c r="A284" s="388"/>
      <c r="B284" s="388"/>
      <c r="C284" s="388"/>
      <c r="D284" s="389"/>
      <c r="E284" s="396"/>
      <c r="F284" s="516"/>
      <c r="G284" s="86" t="s">
        <v>60</v>
      </c>
      <c r="H284" s="180">
        <f>H244</f>
        <v>17420</v>
      </c>
      <c r="I284" s="180">
        <f t="shared" ref="I284:K284" si="150">I244</f>
        <v>17420</v>
      </c>
      <c r="J284" s="180">
        <f t="shared" si="150"/>
        <v>0</v>
      </c>
      <c r="K284" s="180">
        <f t="shared" si="150"/>
        <v>0</v>
      </c>
      <c r="L284" s="129"/>
    </row>
    <row r="285" spans="1:12" ht="24" customHeight="1" x14ac:dyDescent="0.3">
      <c r="A285" s="388"/>
      <c r="B285" s="388"/>
      <c r="C285" s="388"/>
      <c r="D285" s="389"/>
      <c r="E285" s="395" t="s">
        <v>82</v>
      </c>
      <c r="F285" s="516"/>
      <c r="G285" s="138" t="s">
        <v>94</v>
      </c>
      <c r="H285" s="179">
        <f>SUM(H286:H288)</f>
        <v>12252.6</v>
      </c>
      <c r="I285" s="179">
        <f t="shared" ref="I285:K285" si="151">SUM(I286:I288)</f>
        <v>9335.2000000000007</v>
      </c>
      <c r="J285" s="179">
        <f t="shared" si="151"/>
        <v>1422.4</v>
      </c>
      <c r="K285" s="179">
        <f t="shared" si="151"/>
        <v>1495</v>
      </c>
      <c r="L285" s="129"/>
    </row>
    <row r="286" spans="1:12" ht="63" customHeight="1" x14ac:dyDescent="0.3">
      <c r="A286" s="388"/>
      <c r="B286" s="388"/>
      <c r="C286" s="388"/>
      <c r="D286" s="389"/>
      <c r="E286" s="514"/>
      <c r="F286" s="516"/>
      <c r="G286" s="131" t="s">
        <v>51</v>
      </c>
      <c r="H286" s="180">
        <f>H132+H174</f>
        <v>9870.4</v>
      </c>
      <c r="I286" s="180">
        <f t="shared" ref="I286:K286" si="152">I132+I174</f>
        <v>6953</v>
      </c>
      <c r="J286" s="180">
        <f t="shared" si="152"/>
        <v>1422.4</v>
      </c>
      <c r="K286" s="180">
        <f t="shared" si="152"/>
        <v>1495</v>
      </c>
      <c r="L286" s="129"/>
    </row>
    <row r="287" spans="1:12" ht="78" customHeight="1" x14ac:dyDescent="0.3">
      <c r="A287" s="388"/>
      <c r="B287" s="388"/>
      <c r="C287" s="388"/>
      <c r="D287" s="389"/>
      <c r="E287" s="514"/>
      <c r="F287" s="516"/>
      <c r="G287" s="88" t="s">
        <v>100</v>
      </c>
      <c r="H287" s="180">
        <f>H133</f>
        <v>1132.2</v>
      </c>
      <c r="I287" s="180">
        <f t="shared" ref="I287:K287" si="153">I133</f>
        <v>1132.2</v>
      </c>
      <c r="J287" s="180">
        <f t="shared" si="153"/>
        <v>0</v>
      </c>
      <c r="K287" s="180">
        <f t="shared" si="153"/>
        <v>0</v>
      </c>
      <c r="L287" s="129"/>
    </row>
    <row r="288" spans="1:12" ht="60" customHeight="1" x14ac:dyDescent="0.3">
      <c r="A288" s="388"/>
      <c r="B288" s="388"/>
      <c r="C288" s="388"/>
      <c r="D288" s="389"/>
      <c r="E288" s="396"/>
      <c r="F288" s="516"/>
      <c r="G288" s="86" t="s">
        <v>60</v>
      </c>
      <c r="H288" s="180">
        <f>H246</f>
        <v>1250</v>
      </c>
      <c r="I288" s="180">
        <f t="shared" ref="I288:K288" si="154">I246</f>
        <v>1250</v>
      </c>
      <c r="J288" s="180">
        <f t="shared" si="154"/>
        <v>0</v>
      </c>
      <c r="K288" s="180">
        <f t="shared" si="154"/>
        <v>0</v>
      </c>
      <c r="L288" s="129"/>
    </row>
    <row r="289" spans="1:17" ht="24.75" customHeight="1" x14ac:dyDescent="0.3">
      <c r="A289" s="388"/>
      <c r="B289" s="388"/>
      <c r="C289" s="388"/>
      <c r="D289" s="389"/>
      <c r="E289" s="395" t="s">
        <v>84</v>
      </c>
      <c r="F289" s="516"/>
      <c r="G289" s="138" t="s">
        <v>94</v>
      </c>
      <c r="H289" s="179">
        <f>SUM(H290:H291)</f>
        <v>21242.324703999999</v>
      </c>
      <c r="I289" s="179">
        <f t="shared" ref="I289:K289" si="155">SUM(I290:I291)</f>
        <v>7415.5</v>
      </c>
      <c r="J289" s="179">
        <f t="shared" si="155"/>
        <v>6741.5039999999999</v>
      </c>
      <c r="K289" s="179">
        <f t="shared" si="155"/>
        <v>7085.3207039999998</v>
      </c>
      <c r="L289" s="129"/>
    </row>
    <row r="290" spans="1:17" ht="60" customHeight="1" x14ac:dyDescent="0.3">
      <c r="A290" s="388"/>
      <c r="B290" s="388"/>
      <c r="C290" s="388"/>
      <c r="D290" s="389"/>
      <c r="E290" s="514"/>
      <c r="F290" s="516"/>
      <c r="G290" s="131" t="s">
        <v>51</v>
      </c>
      <c r="H290" s="180">
        <f>H134+H175+H203</f>
        <v>21239.824703999999</v>
      </c>
      <c r="I290" s="180">
        <f>I134+I175+I203</f>
        <v>7413</v>
      </c>
      <c r="J290" s="180">
        <f>J134+J175+J203</f>
        <v>6741.5039999999999</v>
      </c>
      <c r="K290" s="180">
        <f>K134+K175+K203</f>
        <v>7085.3207039999998</v>
      </c>
      <c r="L290" s="129"/>
    </row>
    <row r="291" spans="1:17" ht="242.25" customHeight="1" x14ac:dyDescent="0.3">
      <c r="A291" s="388"/>
      <c r="B291" s="388"/>
      <c r="C291" s="388"/>
      <c r="D291" s="389"/>
      <c r="E291" s="396"/>
      <c r="F291" s="516"/>
      <c r="G291" s="139" t="s">
        <v>104</v>
      </c>
      <c r="H291" s="180">
        <f>H202</f>
        <v>2.5</v>
      </c>
      <c r="I291" s="180">
        <f t="shared" ref="I291:K291" si="156">I202</f>
        <v>2.5</v>
      </c>
      <c r="J291" s="180">
        <f t="shared" si="156"/>
        <v>0</v>
      </c>
      <c r="K291" s="180">
        <f t="shared" si="156"/>
        <v>0</v>
      </c>
      <c r="L291" s="129"/>
    </row>
    <row r="292" spans="1:17" ht="27" x14ac:dyDescent="0.3">
      <c r="A292" s="388"/>
      <c r="B292" s="388"/>
      <c r="C292" s="388"/>
      <c r="D292" s="389"/>
      <c r="E292" s="395" t="s">
        <v>85</v>
      </c>
      <c r="F292" s="516"/>
      <c r="G292" s="138" t="s">
        <v>94</v>
      </c>
      <c r="H292" s="179">
        <f>H293</f>
        <v>24461.804681599999</v>
      </c>
      <c r="I292" s="179">
        <f t="shared" ref="I292:K292" si="157">I293</f>
        <v>8399.5999999999985</v>
      </c>
      <c r="J292" s="179">
        <f t="shared" si="157"/>
        <v>7831.4015999999992</v>
      </c>
      <c r="K292" s="179">
        <f t="shared" si="157"/>
        <v>8230.8030815999991</v>
      </c>
      <c r="L292" s="129"/>
    </row>
    <row r="293" spans="1:17" ht="54" customHeight="1" x14ac:dyDescent="0.3">
      <c r="A293" s="388"/>
      <c r="B293" s="388"/>
      <c r="C293" s="388"/>
      <c r="D293" s="389"/>
      <c r="E293" s="396"/>
      <c r="F293" s="516"/>
      <c r="G293" s="131" t="s">
        <v>51</v>
      </c>
      <c r="H293" s="180">
        <f>I293+J293+K293</f>
        <v>24461.804681599999</v>
      </c>
      <c r="I293" s="180">
        <f>I135+I176+I205</f>
        <v>8399.5999999999985</v>
      </c>
      <c r="J293" s="180">
        <f>J135+J176+J205</f>
        <v>7831.4015999999992</v>
      </c>
      <c r="K293" s="180">
        <f>K135+K176+K205</f>
        <v>8230.8030815999991</v>
      </c>
      <c r="L293" s="129"/>
    </row>
    <row r="294" spans="1:17" ht="62.25" customHeight="1" x14ac:dyDescent="0.3">
      <c r="A294" s="388"/>
      <c r="B294" s="388"/>
      <c r="C294" s="388"/>
      <c r="D294" s="389"/>
      <c r="E294" s="320" t="s">
        <v>430</v>
      </c>
      <c r="F294" s="516"/>
      <c r="G294" s="324" t="s">
        <v>51</v>
      </c>
      <c r="H294" s="179">
        <f>H136</f>
        <v>3000</v>
      </c>
      <c r="I294" s="179">
        <f t="shared" ref="I294:K294" si="158">I136</f>
        <v>3000</v>
      </c>
      <c r="J294" s="179">
        <f t="shared" si="158"/>
        <v>0</v>
      </c>
      <c r="K294" s="179">
        <f t="shared" si="158"/>
        <v>0</v>
      </c>
      <c r="L294" s="318"/>
    </row>
    <row r="295" spans="1:17" ht="24.75" customHeight="1" x14ac:dyDescent="0.3">
      <c r="A295" s="388"/>
      <c r="B295" s="388"/>
      <c r="C295" s="388"/>
      <c r="D295" s="389"/>
      <c r="E295" s="395" t="s">
        <v>56</v>
      </c>
      <c r="F295" s="516"/>
      <c r="G295" s="138" t="s">
        <v>94</v>
      </c>
      <c r="H295" s="179">
        <f>SUM(H296:H300)</f>
        <v>57938.299999999988</v>
      </c>
      <c r="I295" s="179">
        <f t="shared" ref="I295:K295" si="159">SUM(I296:I300)</f>
        <v>49149.8</v>
      </c>
      <c r="J295" s="179">
        <f t="shared" si="159"/>
        <v>4206.3</v>
      </c>
      <c r="K295" s="179">
        <f t="shared" si="159"/>
        <v>4582.2</v>
      </c>
      <c r="L295" s="129"/>
    </row>
    <row r="296" spans="1:17" ht="49.5" customHeight="1" x14ac:dyDescent="0.3">
      <c r="A296" s="388"/>
      <c r="B296" s="388"/>
      <c r="C296" s="388"/>
      <c r="D296" s="389"/>
      <c r="E296" s="514"/>
      <c r="F296" s="516"/>
      <c r="G296" s="131" t="s">
        <v>51</v>
      </c>
      <c r="H296" s="180">
        <f>H180+H204</f>
        <v>28071.7</v>
      </c>
      <c r="I296" s="180">
        <f>I180+I204</f>
        <v>19283.2</v>
      </c>
      <c r="J296" s="180">
        <f>J180+J204</f>
        <v>4206.3</v>
      </c>
      <c r="K296" s="180">
        <f>K180+K204</f>
        <v>4582.2</v>
      </c>
      <c r="L296" s="129"/>
    </row>
    <row r="297" spans="1:17" ht="232.5" customHeight="1" x14ac:dyDescent="0.3">
      <c r="A297" s="388"/>
      <c r="B297" s="388"/>
      <c r="C297" s="388"/>
      <c r="D297" s="389"/>
      <c r="E297" s="514"/>
      <c r="F297" s="516"/>
      <c r="G297" s="169" t="s">
        <v>104</v>
      </c>
      <c r="H297" s="180">
        <f>H179</f>
        <v>7853.5</v>
      </c>
      <c r="I297" s="180">
        <f t="shared" ref="I297:K297" si="160">I179</f>
        <v>7853.5</v>
      </c>
      <c r="J297" s="180">
        <f t="shared" si="160"/>
        <v>0</v>
      </c>
      <c r="K297" s="180">
        <f t="shared" si="160"/>
        <v>0</v>
      </c>
      <c r="L297" s="129"/>
    </row>
    <row r="298" spans="1:17" ht="193.5" customHeight="1" x14ac:dyDescent="0.3">
      <c r="A298" s="388"/>
      <c r="B298" s="388"/>
      <c r="C298" s="388"/>
      <c r="D298" s="389"/>
      <c r="E298" s="514"/>
      <c r="F298" s="516"/>
      <c r="G298" s="86" t="s">
        <v>103</v>
      </c>
      <c r="H298" s="180">
        <f>H178</f>
        <v>1490.1</v>
      </c>
      <c r="I298" s="180">
        <f t="shared" ref="I298:K298" si="161">I178</f>
        <v>1490.1</v>
      </c>
      <c r="J298" s="180">
        <f t="shared" si="161"/>
        <v>0</v>
      </c>
      <c r="K298" s="180">
        <f t="shared" si="161"/>
        <v>0</v>
      </c>
      <c r="L298" s="129"/>
    </row>
    <row r="299" spans="1:17" ht="81" customHeight="1" x14ac:dyDescent="0.3">
      <c r="A299" s="388"/>
      <c r="B299" s="388"/>
      <c r="C299" s="388"/>
      <c r="D299" s="389"/>
      <c r="E299" s="514"/>
      <c r="F299" s="516"/>
      <c r="G299" s="315" t="s">
        <v>418</v>
      </c>
      <c r="H299" s="180">
        <f>H257</f>
        <v>799.7</v>
      </c>
      <c r="I299" s="180">
        <f t="shared" ref="I299:K299" si="162">I257</f>
        <v>799.7</v>
      </c>
      <c r="J299" s="180">
        <f t="shared" si="162"/>
        <v>0</v>
      </c>
      <c r="K299" s="180">
        <f t="shared" si="162"/>
        <v>0</v>
      </c>
      <c r="L299" s="314"/>
    </row>
    <row r="300" spans="1:17" ht="54" customHeight="1" x14ac:dyDescent="0.3">
      <c r="A300" s="390"/>
      <c r="B300" s="390"/>
      <c r="C300" s="390"/>
      <c r="D300" s="391"/>
      <c r="E300" s="396"/>
      <c r="F300" s="517"/>
      <c r="G300" s="86" t="s">
        <v>60</v>
      </c>
      <c r="H300" s="180">
        <f>H249</f>
        <v>19723.3</v>
      </c>
      <c r="I300" s="180">
        <f t="shared" ref="I300:K300" si="163">I249</f>
        <v>19723.3</v>
      </c>
      <c r="J300" s="180">
        <f t="shared" si="163"/>
        <v>0</v>
      </c>
      <c r="K300" s="180">
        <f t="shared" si="163"/>
        <v>0</v>
      </c>
      <c r="L300" s="130"/>
    </row>
    <row r="301" spans="1:17" ht="35.25" customHeight="1" x14ac:dyDescent="0.3">
      <c r="A301" s="492" t="s">
        <v>267</v>
      </c>
      <c r="B301" s="492"/>
      <c r="C301" s="492"/>
      <c r="D301" s="492"/>
      <c r="E301" s="492"/>
      <c r="F301" s="492"/>
      <c r="G301" s="492"/>
      <c r="H301" s="492"/>
      <c r="I301" s="492"/>
      <c r="J301" s="492"/>
      <c r="K301" s="492"/>
      <c r="L301" s="493"/>
    </row>
    <row r="302" spans="1:17" ht="60.75" customHeight="1" x14ac:dyDescent="0.3">
      <c r="A302" s="76" t="s">
        <v>269</v>
      </c>
      <c r="B302" s="494" t="s">
        <v>268</v>
      </c>
      <c r="C302" s="495"/>
      <c r="D302" s="495"/>
      <c r="E302" s="495"/>
      <c r="F302" s="496"/>
      <c r="G302" s="167" t="s">
        <v>89</v>
      </c>
      <c r="H302" s="179">
        <f>SUM(H303:H307)</f>
        <v>2247.5</v>
      </c>
      <c r="I302" s="179">
        <f t="shared" ref="I302:K302" si="164">SUM(I303:I307)</f>
        <v>729.5</v>
      </c>
      <c r="J302" s="179">
        <f t="shared" si="164"/>
        <v>690</v>
      </c>
      <c r="K302" s="179">
        <f t="shared" si="164"/>
        <v>828</v>
      </c>
      <c r="L302" s="361" t="s">
        <v>270</v>
      </c>
      <c r="M302" s="23"/>
      <c r="P302" s="25"/>
      <c r="Q302" s="65"/>
    </row>
    <row r="303" spans="1:17" ht="67.5" customHeight="1" x14ac:dyDescent="0.3">
      <c r="A303" s="529" t="s">
        <v>273</v>
      </c>
      <c r="B303" s="386"/>
      <c r="C303" s="386"/>
      <c r="D303" s="387"/>
      <c r="E303" s="95" t="s">
        <v>86</v>
      </c>
      <c r="F303" s="444"/>
      <c r="G303" s="405" t="s">
        <v>51</v>
      </c>
      <c r="H303" s="179">
        <f>I303+J303+K303</f>
        <v>76</v>
      </c>
      <c r="I303" s="180">
        <v>76</v>
      </c>
      <c r="J303" s="180">
        <v>0</v>
      </c>
      <c r="K303" s="180">
        <v>0</v>
      </c>
      <c r="L303" s="362"/>
      <c r="M303" s="23"/>
      <c r="P303" s="25"/>
      <c r="Q303" s="26"/>
    </row>
    <row r="304" spans="1:17" ht="32.25" customHeight="1" x14ac:dyDescent="0.3">
      <c r="A304" s="530"/>
      <c r="B304" s="388"/>
      <c r="C304" s="388"/>
      <c r="D304" s="389"/>
      <c r="E304" s="95" t="s">
        <v>80</v>
      </c>
      <c r="F304" s="445"/>
      <c r="G304" s="406"/>
      <c r="H304" s="179">
        <f t="shared" ref="H304:H307" si="165">I304+J304+K304</f>
        <v>590.29999999999995</v>
      </c>
      <c r="I304" s="180">
        <f>24.3+148</f>
        <v>172.3</v>
      </c>
      <c r="J304" s="180">
        <v>190</v>
      </c>
      <c r="K304" s="180">
        <v>228</v>
      </c>
      <c r="L304" s="362"/>
      <c r="M304" s="23"/>
      <c r="P304" s="25"/>
      <c r="Q304" s="26"/>
    </row>
    <row r="305" spans="1:17" ht="32.25" customHeight="1" x14ac:dyDescent="0.3">
      <c r="A305" s="530"/>
      <c r="B305" s="388"/>
      <c r="C305" s="388"/>
      <c r="D305" s="389"/>
      <c r="E305" s="95" t="s">
        <v>81</v>
      </c>
      <c r="F305" s="445"/>
      <c r="G305" s="406"/>
      <c r="H305" s="179">
        <f t="shared" si="165"/>
        <v>41.5</v>
      </c>
      <c r="I305" s="180">
        <v>41.5</v>
      </c>
      <c r="J305" s="180">
        <v>0</v>
      </c>
      <c r="K305" s="180">
        <v>0</v>
      </c>
      <c r="L305" s="362"/>
      <c r="M305" s="23"/>
      <c r="P305" s="25"/>
      <c r="Q305" s="26"/>
    </row>
    <row r="306" spans="1:17" ht="61.5" customHeight="1" x14ac:dyDescent="0.3">
      <c r="A306" s="530"/>
      <c r="B306" s="388"/>
      <c r="C306" s="388"/>
      <c r="D306" s="389"/>
      <c r="E306" s="95" t="s">
        <v>83</v>
      </c>
      <c r="F306" s="445"/>
      <c r="G306" s="406"/>
      <c r="H306" s="179">
        <f t="shared" si="165"/>
        <v>9.5</v>
      </c>
      <c r="I306" s="180">
        <v>9.5</v>
      </c>
      <c r="J306" s="180">
        <v>0</v>
      </c>
      <c r="K306" s="180">
        <v>0</v>
      </c>
      <c r="L306" s="362"/>
      <c r="M306" s="23"/>
      <c r="P306" s="25"/>
      <c r="Q306" s="26"/>
    </row>
    <row r="307" spans="1:17" ht="60.75" customHeight="1" x14ac:dyDescent="0.3">
      <c r="A307" s="531"/>
      <c r="B307" s="390"/>
      <c r="C307" s="390"/>
      <c r="D307" s="391"/>
      <c r="E307" s="111" t="s">
        <v>82</v>
      </c>
      <c r="F307" s="532"/>
      <c r="G307" s="407"/>
      <c r="H307" s="179">
        <f t="shared" si="165"/>
        <v>1530.2</v>
      </c>
      <c r="I307" s="180">
        <v>430.2</v>
      </c>
      <c r="J307" s="180">
        <v>500</v>
      </c>
      <c r="K307" s="180">
        <v>600</v>
      </c>
      <c r="L307" s="364"/>
      <c r="M307" s="23"/>
      <c r="P307" s="25"/>
      <c r="Q307" s="26"/>
    </row>
    <row r="308" spans="1:17" ht="56.25" customHeight="1" x14ac:dyDescent="0.3">
      <c r="A308" s="68" t="s">
        <v>296</v>
      </c>
      <c r="B308" s="434" t="s">
        <v>271</v>
      </c>
      <c r="C308" s="435"/>
      <c r="D308" s="435"/>
      <c r="E308" s="435"/>
      <c r="F308" s="436"/>
      <c r="G308" s="167" t="s">
        <v>89</v>
      </c>
      <c r="H308" s="179">
        <f>H309+H310+H311+H312</f>
        <v>34536.587</v>
      </c>
      <c r="I308" s="179">
        <f t="shared" ref="I308:K308" si="166">I309+I310+I311+I312</f>
        <v>22647.587</v>
      </c>
      <c r="J308" s="179">
        <f t="shared" si="166"/>
        <v>11889</v>
      </c>
      <c r="K308" s="179">
        <f t="shared" si="166"/>
        <v>0</v>
      </c>
      <c r="L308" s="78"/>
      <c r="M308" s="23"/>
      <c r="P308" s="25"/>
      <c r="Q308" s="26"/>
    </row>
    <row r="309" spans="1:17" ht="58.5" customHeight="1" x14ac:dyDescent="0.3">
      <c r="A309" s="483" t="s">
        <v>273</v>
      </c>
      <c r="B309" s="484"/>
      <c r="C309" s="484"/>
      <c r="D309" s="485"/>
      <c r="E309" s="361" t="s">
        <v>79</v>
      </c>
      <c r="F309" s="444"/>
      <c r="G309" s="214" t="s">
        <v>51</v>
      </c>
      <c r="H309" s="179">
        <f>I309+J309+K309</f>
        <v>439.1</v>
      </c>
      <c r="I309" s="180">
        <f>199+30</f>
        <v>229</v>
      </c>
      <c r="J309" s="180">
        <v>210.1</v>
      </c>
      <c r="K309" s="179"/>
      <c r="L309" s="361" t="s">
        <v>272</v>
      </c>
      <c r="M309" s="23"/>
      <c r="P309" s="25"/>
      <c r="Q309" s="26"/>
    </row>
    <row r="310" spans="1:17" ht="57" customHeight="1" x14ac:dyDescent="0.3">
      <c r="A310" s="486"/>
      <c r="B310" s="487"/>
      <c r="C310" s="487"/>
      <c r="D310" s="488"/>
      <c r="E310" s="362"/>
      <c r="F310" s="445"/>
      <c r="G310" s="214" t="s">
        <v>60</v>
      </c>
      <c r="H310" s="179">
        <f>I310+J310+K310</f>
        <v>18497.787</v>
      </c>
      <c r="I310" s="180">
        <f>7269.3-500+49.587</f>
        <v>6818.8870000000006</v>
      </c>
      <c r="J310" s="180">
        <v>11678.9</v>
      </c>
      <c r="K310" s="181"/>
      <c r="L310" s="362"/>
      <c r="M310" s="23"/>
      <c r="P310" s="25"/>
      <c r="Q310" s="26"/>
    </row>
    <row r="311" spans="1:17" ht="73.5" customHeight="1" x14ac:dyDescent="0.3">
      <c r="A311" s="486"/>
      <c r="B311" s="487"/>
      <c r="C311" s="487"/>
      <c r="D311" s="488"/>
      <c r="E311" s="362"/>
      <c r="F311" s="445"/>
      <c r="G311" s="213" t="s">
        <v>404</v>
      </c>
      <c r="H311" s="182">
        <f>I311+J311+K311</f>
        <v>14714.7</v>
      </c>
      <c r="I311" s="183">
        <v>14714.7</v>
      </c>
      <c r="J311" s="183">
        <v>0</v>
      </c>
      <c r="K311" s="182"/>
      <c r="L311" s="362"/>
      <c r="M311" s="23"/>
      <c r="P311" s="25"/>
      <c r="Q311" s="26"/>
    </row>
    <row r="312" spans="1:17" ht="57" customHeight="1" x14ac:dyDescent="0.3">
      <c r="A312" s="489"/>
      <c r="B312" s="490"/>
      <c r="C312" s="490"/>
      <c r="D312" s="491"/>
      <c r="E312" s="364"/>
      <c r="F312" s="38"/>
      <c r="G312" s="214" t="s">
        <v>88</v>
      </c>
      <c r="H312" s="179">
        <f>I312+J312+K312</f>
        <v>885</v>
      </c>
      <c r="I312" s="180">
        <v>885</v>
      </c>
      <c r="J312" s="180">
        <v>0</v>
      </c>
      <c r="K312" s="180">
        <v>0</v>
      </c>
      <c r="L312" s="362"/>
      <c r="M312" s="23"/>
      <c r="P312" s="25"/>
      <c r="Q312" s="26"/>
    </row>
    <row r="313" spans="1:17" ht="57.75" customHeight="1" x14ac:dyDescent="0.3">
      <c r="A313" s="68" t="s">
        <v>297</v>
      </c>
      <c r="B313" s="363" t="s">
        <v>199</v>
      </c>
      <c r="C313" s="363"/>
      <c r="D313" s="363"/>
      <c r="E313" s="363"/>
      <c r="F313" s="363"/>
      <c r="G313" s="85" t="s">
        <v>89</v>
      </c>
      <c r="H313" s="179">
        <f>H314</f>
        <v>2761.1</v>
      </c>
      <c r="I313" s="179">
        <f t="shared" ref="I313:K315" si="167">I314</f>
        <v>2761.1</v>
      </c>
      <c r="J313" s="179">
        <f t="shared" si="167"/>
        <v>0</v>
      </c>
      <c r="K313" s="179">
        <f t="shared" si="167"/>
        <v>0</v>
      </c>
      <c r="L313" s="361" t="s">
        <v>64</v>
      </c>
      <c r="M313" s="23"/>
      <c r="P313" s="25"/>
      <c r="Q313" s="26"/>
    </row>
    <row r="314" spans="1:17" ht="54" customHeight="1" x14ac:dyDescent="0.3">
      <c r="A314" s="365" t="s">
        <v>273</v>
      </c>
      <c r="B314" s="366"/>
      <c r="C314" s="366"/>
      <c r="D314" s="367"/>
      <c r="E314" s="95" t="s">
        <v>79</v>
      </c>
      <c r="F314" s="38"/>
      <c r="G314" s="86" t="s">
        <v>108</v>
      </c>
      <c r="H314" s="179">
        <f>I314+J314+K314</f>
        <v>2761.1</v>
      </c>
      <c r="I314" s="180">
        <v>2761.1</v>
      </c>
      <c r="J314" s="180">
        <v>0</v>
      </c>
      <c r="K314" s="180">
        <v>0</v>
      </c>
      <c r="L314" s="364"/>
      <c r="M314" s="23"/>
      <c r="P314" s="25"/>
      <c r="Q314" s="26"/>
    </row>
    <row r="315" spans="1:17" ht="82.5" customHeight="1" x14ac:dyDescent="0.3">
      <c r="A315" s="68" t="s">
        <v>298</v>
      </c>
      <c r="B315" s="363" t="s">
        <v>422</v>
      </c>
      <c r="C315" s="363"/>
      <c r="D315" s="363"/>
      <c r="E315" s="363"/>
      <c r="F315" s="363"/>
      <c r="G315" s="286" t="s">
        <v>89</v>
      </c>
      <c r="H315" s="179">
        <f>H316</f>
        <v>6848</v>
      </c>
      <c r="I315" s="179">
        <f t="shared" si="167"/>
        <v>6848</v>
      </c>
      <c r="J315" s="179">
        <f t="shared" si="167"/>
        <v>0</v>
      </c>
      <c r="K315" s="179">
        <f t="shared" si="167"/>
        <v>0</v>
      </c>
      <c r="L315" s="361" t="s">
        <v>423</v>
      </c>
      <c r="M315" s="23"/>
      <c r="P315" s="25"/>
      <c r="Q315" s="26"/>
    </row>
    <row r="316" spans="1:17" ht="93" x14ac:dyDescent="0.3">
      <c r="A316" s="365" t="s">
        <v>273</v>
      </c>
      <c r="B316" s="366"/>
      <c r="C316" s="366"/>
      <c r="D316" s="367"/>
      <c r="E316" s="308" t="s">
        <v>56</v>
      </c>
      <c r="F316" s="286"/>
      <c r="G316" s="283" t="s">
        <v>420</v>
      </c>
      <c r="H316" s="179">
        <f>I316+J316+K316</f>
        <v>6848</v>
      </c>
      <c r="I316" s="180">
        <v>6848</v>
      </c>
      <c r="J316" s="180">
        <v>0</v>
      </c>
      <c r="K316" s="180">
        <v>0</v>
      </c>
      <c r="L316" s="364"/>
      <c r="M316" s="23"/>
      <c r="P316" s="25"/>
      <c r="Q316" s="26"/>
    </row>
    <row r="317" spans="1:17" ht="28.5" customHeight="1" x14ac:dyDescent="0.3">
      <c r="A317" s="287" t="s">
        <v>299</v>
      </c>
      <c r="B317" s="363" t="s">
        <v>274</v>
      </c>
      <c r="C317" s="363"/>
      <c r="D317" s="363"/>
      <c r="E317" s="363"/>
      <c r="F317" s="363"/>
      <c r="G317" s="85" t="s">
        <v>89</v>
      </c>
      <c r="H317" s="179">
        <f>H318</f>
        <v>12454.9</v>
      </c>
      <c r="I317" s="179">
        <f>I318</f>
        <v>12454.9</v>
      </c>
      <c r="J317" s="179">
        <f t="shared" ref="J317:K317" si="168">J318</f>
        <v>0</v>
      </c>
      <c r="K317" s="179">
        <f t="shared" si="168"/>
        <v>0</v>
      </c>
      <c r="L317" s="361" t="s">
        <v>64</v>
      </c>
      <c r="M317" s="23"/>
      <c r="P317" s="25"/>
      <c r="Q317" s="26"/>
    </row>
    <row r="318" spans="1:17" ht="85.5" customHeight="1" x14ac:dyDescent="0.3">
      <c r="A318" s="522"/>
      <c r="B318" s="522"/>
      <c r="C318" s="522"/>
      <c r="D318" s="522"/>
      <c r="E318" s="95" t="s">
        <v>90</v>
      </c>
      <c r="F318" s="59"/>
      <c r="G318" s="405" t="s">
        <v>60</v>
      </c>
      <c r="H318" s="179">
        <v>12454.9</v>
      </c>
      <c r="I318" s="184">
        <v>12454.9</v>
      </c>
      <c r="J318" s="180">
        <v>0</v>
      </c>
      <c r="K318" s="180">
        <v>0</v>
      </c>
      <c r="L318" s="362"/>
      <c r="M318" s="23"/>
      <c r="P318" s="25"/>
      <c r="Q318" s="26"/>
    </row>
    <row r="319" spans="1:17" ht="36.75" customHeight="1" x14ac:dyDescent="0.3">
      <c r="A319" s="518" t="s">
        <v>273</v>
      </c>
      <c r="B319" s="519"/>
      <c r="C319" s="519"/>
      <c r="D319" s="519"/>
      <c r="E319" s="95" t="s">
        <v>80</v>
      </c>
      <c r="F319" s="77"/>
      <c r="G319" s="406"/>
      <c r="H319" s="179">
        <f>I319+J319+K319</f>
        <v>11713.3</v>
      </c>
      <c r="I319" s="184">
        <v>11713.3</v>
      </c>
      <c r="J319" s="180">
        <v>0</v>
      </c>
      <c r="K319" s="180">
        <v>0</v>
      </c>
      <c r="L319" s="362"/>
      <c r="M319" s="23"/>
      <c r="P319" s="25"/>
      <c r="Q319" s="26"/>
    </row>
    <row r="320" spans="1:17" ht="36.75" customHeight="1" x14ac:dyDescent="0.3">
      <c r="A320" s="520"/>
      <c r="B320" s="521"/>
      <c r="C320" s="521"/>
      <c r="D320" s="521"/>
      <c r="E320" s="95" t="s">
        <v>81</v>
      </c>
      <c r="F320" s="77"/>
      <c r="G320" s="406"/>
      <c r="H320" s="179">
        <f t="shared" ref="H320:H321" si="169">I320+J320+K320</f>
        <v>204.3</v>
      </c>
      <c r="I320" s="180">
        <v>204.3</v>
      </c>
      <c r="J320" s="180">
        <v>0</v>
      </c>
      <c r="K320" s="180">
        <v>0</v>
      </c>
      <c r="L320" s="362"/>
      <c r="M320" s="23"/>
      <c r="P320" s="25"/>
      <c r="Q320" s="26"/>
    </row>
    <row r="321" spans="1:17" ht="90" customHeight="1" x14ac:dyDescent="0.3">
      <c r="A321" s="520"/>
      <c r="B321" s="521"/>
      <c r="C321" s="521"/>
      <c r="D321" s="521"/>
      <c r="E321" s="306" t="s">
        <v>83</v>
      </c>
      <c r="F321" s="77"/>
      <c r="G321" s="407"/>
      <c r="H321" s="179">
        <f t="shared" si="169"/>
        <v>537.29999999999995</v>
      </c>
      <c r="I321" s="184">
        <v>537.29999999999995</v>
      </c>
      <c r="J321" s="180">
        <v>0</v>
      </c>
      <c r="K321" s="180">
        <v>0</v>
      </c>
      <c r="L321" s="362"/>
      <c r="M321" s="23"/>
      <c r="P321" s="25"/>
      <c r="Q321" s="26"/>
    </row>
    <row r="322" spans="1:17" ht="27" x14ac:dyDescent="0.3">
      <c r="A322" s="70" t="s">
        <v>300</v>
      </c>
      <c r="B322" s="535" t="s">
        <v>275</v>
      </c>
      <c r="C322" s="536"/>
      <c r="D322" s="536"/>
      <c r="E322" s="536"/>
      <c r="F322" s="69"/>
      <c r="G322" s="85" t="s">
        <v>89</v>
      </c>
      <c r="H322" s="185">
        <f>SUM(H323:H332)</f>
        <v>1154392.5671993999</v>
      </c>
      <c r="I322" s="185">
        <f t="shared" ref="I322:K322" si="170">SUM(I323:I332)</f>
        <v>369365.99999999994</v>
      </c>
      <c r="J322" s="185">
        <f t="shared" si="170"/>
        <v>384340.22940000001</v>
      </c>
      <c r="K322" s="185">
        <f t="shared" si="170"/>
        <v>400686.33779939997</v>
      </c>
      <c r="L322" s="361" t="s">
        <v>92</v>
      </c>
      <c r="M322" s="23"/>
      <c r="P322" s="25"/>
      <c r="Q322" s="26"/>
    </row>
    <row r="323" spans="1:17" ht="54.75" customHeight="1" x14ac:dyDescent="0.3">
      <c r="A323" s="505" t="s">
        <v>273</v>
      </c>
      <c r="B323" s="506"/>
      <c r="C323" s="506"/>
      <c r="D323" s="507"/>
      <c r="E323" s="282" t="s">
        <v>86</v>
      </c>
      <c r="F323" s="38"/>
      <c r="G323" s="405" t="s">
        <v>91</v>
      </c>
      <c r="H323" s="179">
        <f>I323+J323+K323</f>
        <v>212450.21449219997</v>
      </c>
      <c r="I323" s="180">
        <v>67237.399999999994</v>
      </c>
      <c r="J323" s="180">
        <f>I323*1.053</f>
        <v>70800.982199999984</v>
      </c>
      <c r="K323" s="180">
        <f>J323*1.051</f>
        <v>74411.832292199979</v>
      </c>
      <c r="L323" s="362"/>
      <c r="M323" s="23"/>
      <c r="P323" s="25"/>
      <c r="Q323" s="26"/>
    </row>
    <row r="324" spans="1:17" ht="27.75" customHeight="1" x14ac:dyDescent="0.3">
      <c r="A324" s="508"/>
      <c r="B324" s="509"/>
      <c r="C324" s="509"/>
      <c r="D324" s="510"/>
      <c r="E324" s="95" t="s">
        <v>80</v>
      </c>
      <c r="F324" s="38"/>
      <c r="G324" s="406"/>
      <c r="H324" s="179">
        <f t="shared" ref="H324:H332" si="171">I324+J324+K324</f>
        <v>69003.489935799997</v>
      </c>
      <c r="I324" s="180">
        <v>21838.6</v>
      </c>
      <c r="J324" s="180">
        <f t="shared" ref="J324:J332" si="172">I324*1.053</f>
        <v>22996.045799999996</v>
      </c>
      <c r="K324" s="180">
        <f t="shared" ref="K324:K332" si="173">J324*1.051</f>
        <v>24168.844135799995</v>
      </c>
      <c r="L324" s="362"/>
      <c r="M324" s="23"/>
      <c r="P324" s="25"/>
      <c r="Q324" s="26"/>
    </row>
    <row r="325" spans="1:17" ht="27.75" customHeight="1" x14ac:dyDescent="0.3">
      <c r="A325" s="508"/>
      <c r="B325" s="509"/>
      <c r="C325" s="509"/>
      <c r="D325" s="510"/>
      <c r="E325" s="95" t="s">
        <v>81</v>
      </c>
      <c r="F325" s="38"/>
      <c r="G325" s="406"/>
      <c r="H325" s="179">
        <f t="shared" si="171"/>
        <v>195186.86118139999</v>
      </c>
      <c r="I325" s="180">
        <v>61773.8</v>
      </c>
      <c r="J325" s="180">
        <f t="shared" si="172"/>
        <v>65047.811399999999</v>
      </c>
      <c r="K325" s="180">
        <f t="shared" si="173"/>
        <v>68365.249781399994</v>
      </c>
      <c r="L325" s="362"/>
      <c r="M325" s="23"/>
      <c r="P325" s="25"/>
      <c r="Q325" s="26"/>
    </row>
    <row r="326" spans="1:17" ht="57.75" customHeight="1" x14ac:dyDescent="0.3">
      <c r="A326" s="508"/>
      <c r="B326" s="509"/>
      <c r="C326" s="509"/>
      <c r="D326" s="510"/>
      <c r="E326" s="95" t="s">
        <v>79</v>
      </c>
      <c r="F326" s="38"/>
      <c r="G326" s="406"/>
      <c r="H326" s="179">
        <f t="shared" si="171"/>
        <v>165436.9935552</v>
      </c>
      <c r="I326" s="180">
        <v>52358.400000000001</v>
      </c>
      <c r="J326" s="180">
        <f t="shared" si="172"/>
        <v>55133.395199999999</v>
      </c>
      <c r="K326" s="180">
        <f t="shared" si="173"/>
        <v>57945.198355199995</v>
      </c>
      <c r="L326" s="362"/>
      <c r="M326" s="23"/>
      <c r="P326" s="25"/>
      <c r="Q326" s="26"/>
    </row>
    <row r="327" spans="1:17" ht="57.75" customHeight="1" x14ac:dyDescent="0.3">
      <c r="A327" s="508"/>
      <c r="B327" s="509"/>
      <c r="C327" s="509"/>
      <c r="D327" s="510"/>
      <c r="E327" s="111" t="s">
        <v>83</v>
      </c>
      <c r="F327" s="37"/>
      <c r="G327" s="406"/>
      <c r="H327" s="179">
        <f t="shared" si="171"/>
        <v>105982.1260854</v>
      </c>
      <c r="I327" s="186">
        <v>33541.800000000003</v>
      </c>
      <c r="J327" s="180">
        <f t="shared" si="172"/>
        <v>35319.515400000004</v>
      </c>
      <c r="K327" s="180">
        <f t="shared" si="173"/>
        <v>37120.8106854</v>
      </c>
      <c r="L327" s="362"/>
      <c r="M327" s="23"/>
      <c r="P327" s="25"/>
      <c r="Q327" s="26"/>
    </row>
    <row r="328" spans="1:17" ht="55.5" customHeight="1" x14ac:dyDescent="0.3">
      <c r="A328" s="508"/>
      <c r="B328" s="509"/>
      <c r="C328" s="509"/>
      <c r="D328" s="510"/>
      <c r="E328" s="111" t="s">
        <v>82</v>
      </c>
      <c r="F328" s="38"/>
      <c r="G328" s="406"/>
      <c r="H328" s="179">
        <f t="shared" si="171"/>
        <v>1895.1898593999999</v>
      </c>
      <c r="I328" s="180">
        <v>599.79999999999995</v>
      </c>
      <c r="J328" s="180">
        <f t="shared" si="172"/>
        <v>631.58939999999996</v>
      </c>
      <c r="K328" s="180">
        <f t="shared" si="173"/>
        <v>663.80045939999991</v>
      </c>
      <c r="L328" s="362"/>
      <c r="M328" s="23"/>
      <c r="P328" s="25"/>
      <c r="Q328" s="26"/>
    </row>
    <row r="329" spans="1:17" ht="57" customHeight="1" x14ac:dyDescent="0.3">
      <c r="A329" s="508"/>
      <c r="B329" s="509"/>
      <c r="C329" s="509"/>
      <c r="D329" s="510"/>
      <c r="E329" s="95" t="s">
        <v>84</v>
      </c>
      <c r="F329" s="38"/>
      <c r="G329" s="406"/>
      <c r="H329" s="179">
        <f t="shared" si="171"/>
        <v>207996.92908399997</v>
      </c>
      <c r="I329" s="180">
        <f>67030-I331</f>
        <v>65828</v>
      </c>
      <c r="J329" s="180">
        <f>I329*1.053</f>
        <v>69316.883999999991</v>
      </c>
      <c r="K329" s="180">
        <f t="shared" si="173"/>
        <v>72852.045083999983</v>
      </c>
      <c r="L329" s="362"/>
      <c r="M329" s="23"/>
      <c r="P329" s="25"/>
      <c r="Q329" s="26"/>
    </row>
    <row r="330" spans="1:17" ht="62.25" customHeight="1" x14ac:dyDescent="0.3">
      <c r="A330" s="508"/>
      <c r="B330" s="509"/>
      <c r="C330" s="509"/>
      <c r="D330" s="510"/>
      <c r="E330" s="95" t="s">
        <v>85</v>
      </c>
      <c r="F330" s="38"/>
      <c r="G330" s="406"/>
      <c r="H330" s="179">
        <f t="shared" si="171"/>
        <v>183076.4831972</v>
      </c>
      <c r="I330" s="180">
        <v>61958.6</v>
      </c>
      <c r="J330" s="180">
        <f>63675.5+152.8-J332</f>
        <v>60640.237200000003</v>
      </c>
      <c r="K330" s="180">
        <f>63675.5+152.8-K332</f>
        <v>60477.645997200001</v>
      </c>
      <c r="L330" s="362"/>
      <c r="M330" s="23"/>
      <c r="P330" s="25"/>
      <c r="Q330" s="26"/>
    </row>
    <row r="331" spans="1:17" ht="60" customHeight="1" x14ac:dyDescent="0.3">
      <c r="A331" s="508"/>
      <c r="B331" s="509"/>
      <c r="C331" s="509"/>
      <c r="D331" s="510"/>
      <c r="E331" s="95" t="s">
        <v>356</v>
      </c>
      <c r="F331" s="38"/>
      <c r="G331" s="406"/>
      <c r="H331" s="179">
        <f t="shared" si="171"/>
        <v>3797.963006</v>
      </c>
      <c r="I331" s="180">
        <v>1202</v>
      </c>
      <c r="J331" s="180">
        <f t="shared" si="172"/>
        <v>1265.7059999999999</v>
      </c>
      <c r="K331" s="180">
        <f t="shared" si="173"/>
        <v>1330.2570059999998</v>
      </c>
      <c r="L331" s="362"/>
      <c r="M331" s="23"/>
      <c r="P331" s="25"/>
      <c r="Q331" s="26"/>
    </row>
    <row r="332" spans="1:17" ht="59.25" customHeight="1" x14ac:dyDescent="0.3">
      <c r="A332" s="511"/>
      <c r="B332" s="512"/>
      <c r="C332" s="512"/>
      <c r="D332" s="513"/>
      <c r="E332" s="95" t="s">
        <v>357</v>
      </c>
      <c r="F332" s="38"/>
      <c r="G332" s="407"/>
      <c r="H332" s="179">
        <f t="shared" si="171"/>
        <v>9566.3168028</v>
      </c>
      <c r="I332" s="180">
        <v>3027.6</v>
      </c>
      <c r="J332" s="180">
        <f t="shared" si="172"/>
        <v>3188.0627999999997</v>
      </c>
      <c r="K332" s="180">
        <f t="shared" si="173"/>
        <v>3350.6540027999995</v>
      </c>
      <c r="L332" s="364"/>
      <c r="M332" s="23"/>
      <c r="P332" s="25"/>
      <c r="Q332" s="26"/>
    </row>
    <row r="333" spans="1:17" ht="27" customHeight="1" x14ac:dyDescent="0.3">
      <c r="A333" s="70" t="s">
        <v>421</v>
      </c>
      <c r="B333" s="178" t="s">
        <v>276</v>
      </c>
      <c r="C333" s="103"/>
      <c r="D333" s="69"/>
      <c r="E333" s="103"/>
      <c r="F333" s="69"/>
      <c r="G333" s="85" t="s">
        <v>89</v>
      </c>
      <c r="H333" s="185">
        <f>SUM(H334:H338)</f>
        <v>59329.427260700002</v>
      </c>
      <c r="I333" s="185">
        <f t="shared" ref="I333:K333" si="174">SUM(I334:I338)</f>
        <v>18776.900000000001</v>
      </c>
      <c r="J333" s="185">
        <f t="shared" si="174"/>
        <v>19772.075699999998</v>
      </c>
      <c r="K333" s="185">
        <f t="shared" si="174"/>
        <v>20780.451560699999</v>
      </c>
      <c r="L333" s="361" t="s">
        <v>109</v>
      </c>
      <c r="M333" s="23"/>
      <c r="P333" s="25"/>
      <c r="Q333" s="26"/>
    </row>
    <row r="334" spans="1:17" ht="55.5" x14ac:dyDescent="0.3">
      <c r="A334" s="483" t="s">
        <v>273</v>
      </c>
      <c r="B334" s="484"/>
      <c r="C334" s="484"/>
      <c r="D334" s="485"/>
      <c r="E334" s="95" t="s">
        <v>86</v>
      </c>
      <c r="F334" s="533"/>
      <c r="G334" s="405" t="s">
        <v>97</v>
      </c>
      <c r="H334" s="179">
        <f>I334+J334+K334</f>
        <v>10730.667358299997</v>
      </c>
      <c r="I334" s="180">
        <v>3396.1</v>
      </c>
      <c r="J334" s="180">
        <f>I334*1.053</f>
        <v>3576.0932999999995</v>
      </c>
      <c r="K334" s="180">
        <f>J334*1.051</f>
        <v>3758.4740582999993</v>
      </c>
      <c r="L334" s="362"/>
      <c r="M334" s="23"/>
      <c r="P334" s="25"/>
      <c r="Q334" s="26"/>
    </row>
    <row r="335" spans="1:17" ht="27.75" customHeight="1" x14ac:dyDescent="0.3">
      <c r="A335" s="486"/>
      <c r="B335" s="487"/>
      <c r="C335" s="487"/>
      <c r="D335" s="488"/>
      <c r="E335" s="95" t="s">
        <v>80</v>
      </c>
      <c r="F335" s="533"/>
      <c r="G335" s="406"/>
      <c r="H335" s="179">
        <f>I335+J335+K335</f>
        <v>22465.48833</v>
      </c>
      <c r="I335" s="180">
        <v>7110</v>
      </c>
      <c r="J335" s="180">
        <f>I335*1.053</f>
        <v>7486.83</v>
      </c>
      <c r="K335" s="180">
        <f>J335*1.051</f>
        <v>7868.6583299999993</v>
      </c>
      <c r="L335" s="362"/>
      <c r="M335" s="23"/>
      <c r="P335" s="25"/>
      <c r="Q335" s="26"/>
    </row>
    <row r="336" spans="1:17" x14ac:dyDescent="0.3">
      <c r="A336" s="486"/>
      <c r="B336" s="487"/>
      <c r="C336" s="487"/>
      <c r="D336" s="488"/>
      <c r="E336" s="95" t="s">
        <v>81</v>
      </c>
      <c r="F336" s="533"/>
      <c r="G336" s="406"/>
      <c r="H336" s="179">
        <f>I336+J336+K336</f>
        <v>2529.9741921000004</v>
      </c>
      <c r="I336" s="180">
        <v>800.7</v>
      </c>
      <c r="J336" s="180">
        <f>I336*1.053</f>
        <v>843.13710000000003</v>
      </c>
      <c r="K336" s="180">
        <f>J336*1.051</f>
        <v>886.13709210000002</v>
      </c>
      <c r="L336" s="362"/>
      <c r="M336" s="23"/>
      <c r="P336" s="25"/>
      <c r="Q336" s="26"/>
    </row>
    <row r="337" spans="1:17" ht="87.75" customHeight="1" x14ac:dyDescent="0.3">
      <c r="A337" s="486"/>
      <c r="B337" s="487"/>
      <c r="C337" s="487"/>
      <c r="D337" s="488"/>
      <c r="E337" s="95" t="s">
        <v>83</v>
      </c>
      <c r="F337" s="533"/>
      <c r="G337" s="406"/>
      <c r="H337" s="179">
        <f>I337+J337+K337</f>
        <v>1528.3483410999997</v>
      </c>
      <c r="I337" s="186">
        <v>483.7</v>
      </c>
      <c r="J337" s="180">
        <f>I337*1.053</f>
        <v>509.33609999999993</v>
      </c>
      <c r="K337" s="180">
        <f>J337*1.051</f>
        <v>535.31224109999994</v>
      </c>
      <c r="L337" s="362"/>
      <c r="M337" s="23"/>
      <c r="P337" s="25"/>
      <c r="Q337" s="26"/>
    </row>
    <row r="338" spans="1:17" ht="63.75" customHeight="1" x14ac:dyDescent="0.3">
      <c r="A338" s="489"/>
      <c r="B338" s="490"/>
      <c r="C338" s="490"/>
      <c r="D338" s="491"/>
      <c r="E338" s="95" t="s">
        <v>82</v>
      </c>
      <c r="F338" s="534"/>
      <c r="G338" s="406"/>
      <c r="H338" s="179">
        <f>I338+J338+K338</f>
        <v>22074.949039200001</v>
      </c>
      <c r="I338" s="180">
        <v>6986.4</v>
      </c>
      <c r="J338" s="180">
        <f>I338*1.053</f>
        <v>7356.6791999999996</v>
      </c>
      <c r="K338" s="180">
        <f>J338*1.051</f>
        <v>7731.8698391999988</v>
      </c>
      <c r="L338" s="364"/>
    </row>
    <row r="339" spans="1:17" ht="30.75" customHeight="1" x14ac:dyDescent="0.3">
      <c r="A339" s="494" t="s">
        <v>93</v>
      </c>
      <c r="B339" s="495"/>
      <c r="C339" s="495"/>
      <c r="D339" s="495"/>
      <c r="E339" s="495"/>
      <c r="F339" s="496"/>
      <c r="G339" s="42"/>
      <c r="H339" s="179">
        <f>H250+H302+H308+H313+H317+H322+H333+H315</f>
        <v>1652617.8588880037</v>
      </c>
      <c r="I339" s="179">
        <f t="shared" ref="I339:K339" si="175">I250+I302+I308+I313+I317+I322+I333+I315</f>
        <v>728508.92099999997</v>
      </c>
      <c r="J339" s="179">
        <f t="shared" si="175"/>
        <v>458729.18980400002</v>
      </c>
      <c r="K339" s="179">
        <f t="shared" si="175"/>
        <v>465379.74808400398</v>
      </c>
      <c r="L339" s="384"/>
      <c r="M339" s="79"/>
    </row>
    <row r="340" spans="1:17" ht="45" customHeight="1" x14ac:dyDescent="0.3">
      <c r="A340" s="526" t="s">
        <v>96</v>
      </c>
      <c r="B340" s="421"/>
      <c r="C340" s="421"/>
      <c r="D340" s="421"/>
      <c r="E340" s="421"/>
      <c r="F340" s="422"/>
      <c r="G340" s="86" t="s">
        <v>51</v>
      </c>
      <c r="H340" s="180">
        <f>H251+H302+H309</f>
        <v>218067.40742790399</v>
      </c>
      <c r="I340" s="180">
        <f>I251+I302+I309</f>
        <v>131216.46399999998</v>
      </c>
      <c r="J340" s="180">
        <f>J251+J302+J309</f>
        <v>42937.984704000002</v>
      </c>
      <c r="K340" s="180">
        <f>K251+K302+K309</f>
        <v>43912.958723903997</v>
      </c>
      <c r="L340" s="385"/>
    </row>
    <row r="341" spans="1:17" ht="45" customHeight="1" x14ac:dyDescent="0.3">
      <c r="A341" s="527"/>
      <c r="B341" s="423"/>
      <c r="C341" s="423"/>
      <c r="D341" s="423"/>
      <c r="E341" s="423"/>
      <c r="F341" s="424"/>
      <c r="G341" s="86" t="s">
        <v>60</v>
      </c>
      <c r="H341" s="180">
        <f>H252+H310+H318</f>
        <v>127369.95699999999</v>
      </c>
      <c r="I341" s="180">
        <f>I252+I310+I318</f>
        <v>115691.057</v>
      </c>
      <c r="J341" s="180">
        <f>J252+J310+J318</f>
        <v>11678.9</v>
      </c>
      <c r="K341" s="180">
        <f>K252+K310+K318</f>
        <v>0</v>
      </c>
      <c r="L341" s="385"/>
    </row>
    <row r="342" spans="1:17" ht="81" customHeight="1" x14ac:dyDescent="0.3">
      <c r="A342" s="527"/>
      <c r="B342" s="423"/>
      <c r="C342" s="423"/>
      <c r="D342" s="423"/>
      <c r="E342" s="423"/>
      <c r="F342" s="424"/>
      <c r="G342" s="88" t="s">
        <v>100</v>
      </c>
      <c r="H342" s="180">
        <f>H253</f>
        <v>52839.700000000004</v>
      </c>
      <c r="I342" s="180">
        <f t="shared" ref="I342:K342" si="176">I253</f>
        <v>52839.700000000004</v>
      </c>
      <c r="J342" s="180">
        <f t="shared" si="176"/>
        <v>0</v>
      </c>
      <c r="K342" s="180">
        <f t="shared" si="176"/>
        <v>0</v>
      </c>
      <c r="L342" s="385"/>
    </row>
    <row r="343" spans="1:17" ht="180.75" customHeight="1" x14ac:dyDescent="0.3">
      <c r="A343" s="527"/>
      <c r="B343" s="423"/>
      <c r="C343" s="423"/>
      <c r="D343" s="423"/>
      <c r="E343" s="423"/>
      <c r="F343" s="424"/>
      <c r="G343" s="88" t="s">
        <v>103</v>
      </c>
      <c r="H343" s="180">
        <f>H255</f>
        <v>4318.2</v>
      </c>
      <c r="I343" s="180">
        <f t="shared" ref="I343:K343" si="177">I255</f>
        <v>4318.2</v>
      </c>
      <c r="J343" s="180">
        <f t="shared" si="177"/>
        <v>0</v>
      </c>
      <c r="K343" s="180">
        <f t="shared" si="177"/>
        <v>0</v>
      </c>
      <c r="L343" s="385"/>
    </row>
    <row r="344" spans="1:17" ht="235.5" customHeight="1" x14ac:dyDescent="0.3">
      <c r="A344" s="527"/>
      <c r="B344" s="423"/>
      <c r="C344" s="423"/>
      <c r="D344" s="423"/>
      <c r="E344" s="423"/>
      <c r="F344" s="424"/>
      <c r="G344" s="139" t="s">
        <v>104</v>
      </c>
      <c r="H344" s="180">
        <f>H254</f>
        <v>7856</v>
      </c>
      <c r="I344" s="180">
        <f t="shared" ref="I344:K344" si="178">I254</f>
        <v>7856</v>
      </c>
      <c r="J344" s="180">
        <f t="shared" si="178"/>
        <v>0</v>
      </c>
      <c r="K344" s="180">
        <f t="shared" si="178"/>
        <v>0</v>
      </c>
      <c r="L344" s="385"/>
    </row>
    <row r="345" spans="1:17" ht="189.75" customHeight="1" x14ac:dyDescent="0.3">
      <c r="A345" s="527"/>
      <c r="B345" s="423"/>
      <c r="C345" s="423"/>
      <c r="D345" s="423"/>
      <c r="E345" s="423"/>
      <c r="F345" s="424"/>
      <c r="G345" s="88" t="s">
        <v>211</v>
      </c>
      <c r="H345" s="180">
        <f>H256</f>
        <v>2376.1</v>
      </c>
      <c r="I345" s="180">
        <f t="shared" ref="I345:K345" si="179">I256</f>
        <v>2376.1</v>
      </c>
      <c r="J345" s="180">
        <f t="shared" si="179"/>
        <v>0</v>
      </c>
      <c r="K345" s="180">
        <f t="shared" si="179"/>
        <v>0</v>
      </c>
      <c r="L345" s="385"/>
    </row>
    <row r="346" spans="1:17" ht="83.25" customHeight="1" x14ac:dyDescent="0.3">
      <c r="A346" s="527"/>
      <c r="B346" s="423"/>
      <c r="C346" s="423"/>
      <c r="D346" s="423"/>
      <c r="E346" s="423"/>
      <c r="F346" s="424"/>
      <c r="G346" s="169" t="s">
        <v>349</v>
      </c>
      <c r="H346" s="180">
        <f>H258</f>
        <v>60</v>
      </c>
      <c r="I346" s="180">
        <f t="shared" ref="I346:K346" si="180">I258</f>
        <v>60</v>
      </c>
      <c r="J346" s="180">
        <f t="shared" si="180"/>
        <v>0</v>
      </c>
      <c r="K346" s="180">
        <f t="shared" si="180"/>
        <v>0</v>
      </c>
      <c r="L346" s="385"/>
    </row>
    <row r="347" spans="1:17" ht="72.75" customHeight="1" x14ac:dyDescent="0.3">
      <c r="A347" s="527"/>
      <c r="B347" s="423"/>
      <c r="C347" s="423"/>
      <c r="D347" s="423"/>
      <c r="E347" s="423"/>
      <c r="F347" s="424"/>
      <c r="G347" s="307" t="s">
        <v>418</v>
      </c>
      <c r="H347" s="180">
        <f>H257</f>
        <v>799.7</v>
      </c>
      <c r="I347" s="180">
        <f t="shared" ref="I347:K347" si="181">I257</f>
        <v>799.7</v>
      </c>
      <c r="J347" s="180">
        <f t="shared" si="181"/>
        <v>0</v>
      </c>
      <c r="K347" s="180">
        <f t="shared" si="181"/>
        <v>0</v>
      </c>
      <c r="L347" s="385"/>
    </row>
    <row r="348" spans="1:17" ht="104.25" customHeight="1" x14ac:dyDescent="0.3">
      <c r="A348" s="527"/>
      <c r="B348" s="423"/>
      <c r="C348" s="423"/>
      <c r="D348" s="423"/>
      <c r="E348" s="423"/>
      <c r="F348" s="424"/>
      <c r="G348" s="309" t="s">
        <v>420</v>
      </c>
      <c r="H348" s="180">
        <f>H316</f>
        <v>6848</v>
      </c>
      <c r="I348" s="180">
        <f t="shared" ref="I348:K348" si="182">I316</f>
        <v>6848</v>
      </c>
      <c r="J348" s="180">
        <f t="shared" si="182"/>
        <v>0</v>
      </c>
      <c r="K348" s="180">
        <f t="shared" si="182"/>
        <v>0</v>
      </c>
      <c r="L348" s="385"/>
    </row>
    <row r="349" spans="1:17" ht="76.5" customHeight="1" x14ac:dyDescent="0.3">
      <c r="A349" s="527"/>
      <c r="B349" s="423"/>
      <c r="C349" s="423"/>
      <c r="D349" s="423"/>
      <c r="E349" s="423"/>
      <c r="F349" s="424"/>
      <c r="G349" s="131" t="s">
        <v>87</v>
      </c>
      <c r="H349" s="180">
        <f>H311</f>
        <v>14714.7</v>
      </c>
      <c r="I349" s="180">
        <f t="shared" ref="I349:K349" si="183">I311</f>
        <v>14714.7</v>
      </c>
      <c r="J349" s="180">
        <f t="shared" si="183"/>
        <v>0</v>
      </c>
      <c r="K349" s="180">
        <f t="shared" si="183"/>
        <v>0</v>
      </c>
      <c r="L349" s="385"/>
    </row>
    <row r="350" spans="1:17" ht="54.75" customHeight="1" x14ac:dyDescent="0.3">
      <c r="A350" s="527"/>
      <c r="B350" s="423"/>
      <c r="C350" s="423"/>
      <c r="D350" s="423"/>
      <c r="E350" s="423"/>
      <c r="F350" s="424"/>
      <c r="G350" s="131" t="s">
        <v>88</v>
      </c>
      <c r="H350" s="180">
        <f>H312</f>
        <v>885</v>
      </c>
      <c r="I350" s="180">
        <f t="shared" ref="I350:K350" si="184">I312</f>
        <v>885</v>
      </c>
      <c r="J350" s="180">
        <f t="shared" si="184"/>
        <v>0</v>
      </c>
      <c r="K350" s="180">
        <f t="shared" si="184"/>
        <v>0</v>
      </c>
      <c r="L350" s="385"/>
    </row>
    <row r="351" spans="1:17" ht="50.25" customHeight="1" x14ac:dyDescent="0.3">
      <c r="A351" s="527"/>
      <c r="B351" s="423"/>
      <c r="C351" s="423"/>
      <c r="D351" s="423"/>
      <c r="E351" s="423"/>
      <c r="F351" s="424"/>
      <c r="G351" s="131" t="s">
        <v>108</v>
      </c>
      <c r="H351" s="180">
        <f>H314</f>
        <v>2761.1</v>
      </c>
      <c r="I351" s="180">
        <f t="shared" ref="I351:K351" si="185">I314</f>
        <v>2761.1</v>
      </c>
      <c r="J351" s="180">
        <f t="shared" si="185"/>
        <v>0</v>
      </c>
      <c r="K351" s="180">
        <f t="shared" si="185"/>
        <v>0</v>
      </c>
      <c r="L351" s="385"/>
    </row>
    <row r="352" spans="1:17" ht="27" customHeight="1" x14ac:dyDescent="0.3">
      <c r="A352" s="527"/>
      <c r="B352" s="423"/>
      <c r="C352" s="423"/>
      <c r="D352" s="423"/>
      <c r="E352" s="423"/>
      <c r="F352" s="424"/>
      <c r="G352" s="86" t="s">
        <v>91</v>
      </c>
      <c r="H352" s="180">
        <f>H322</f>
        <v>1154392.5671993999</v>
      </c>
      <c r="I352" s="180">
        <f t="shared" ref="I352:K352" si="186">I322</f>
        <v>369365.99999999994</v>
      </c>
      <c r="J352" s="180">
        <f t="shared" si="186"/>
        <v>384340.22940000001</v>
      </c>
      <c r="K352" s="180">
        <f t="shared" si="186"/>
        <v>400686.33779939997</v>
      </c>
      <c r="L352" s="385"/>
    </row>
    <row r="353" spans="1:13" ht="51" customHeight="1" x14ac:dyDescent="0.3">
      <c r="A353" s="528"/>
      <c r="B353" s="425"/>
      <c r="C353" s="425"/>
      <c r="D353" s="425"/>
      <c r="E353" s="425"/>
      <c r="F353" s="426"/>
      <c r="G353" s="86" t="s">
        <v>95</v>
      </c>
      <c r="H353" s="180">
        <f>H333</f>
        <v>59329.427260700002</v>
      </c>
      <c r="I353" s="180">
        <f t="shared" ref="I353:K353" si="187">I333</f>
        <v>18776.900000000001</v>
      </c>
      <c r="J353" s="180">
        <f t="shared" si="187"/>
        <v>19772.075699999998</v>
      </c>
      <c r="K353" s="180">
        <f t="shared" si="187"/>
        <v>20780.451560699999</v>
      </c>
      <c r="L353" s="385"/>
    </row>
    <row r="354" spans="1:13" ht="30" customHeight="1" x14ac:dyDescent="0.3">
      <c r="A354" s="526" t="s">
        <v>99</v>
      </c>
      <c r="B354" s="421"/>
      <c r="C354" s="421"/>
      <c r="D354" s="422"/>
      <c r="E354" s="363" t="s">
        <v>86</v>
      </c>
      <c r="F354" s="504"/>
      <c r="G354" s="90" t="s">
        <v>94</v>
      </c>
      <c r="H354" s="179">
        <f>SUM(H355:H362)</f>
        <v>276751.36722009996</v>
      </c>
      <c r="I354" s="179">
        <f t="shared" ref="I354:K354" si="188">SUM(I355:I362)</f>
        <v>114125.9</v>
      </c>
      <c r="J354" s="179">
        <f t="shared" si="188"/>
        <v>79425.665099999984</v>
      </c>
      <c r="K354" s="179">
        <f t="shared" si="188"/>
        <v>83199.802120099979</v>
      </c>
      <c r="L354" s="385"/>
    </row>
    <row r="355" spans="1:13" ht="45" customHeight="1" x14ac:dyDescent="0.3">
      <c r="A355" s="527"/>
      <c r="B355" s="423"/>
      <c r="C355" s="423"/>
      <c r="D355" s="424"/>
      <c r="E355" s="363"/>
      <c r="F355" s="504"/>
      <c r="G355" s="86" t="s">
        <v>51</v>
      </c>
      <c r="H355" s="180">
        <f>H260+H303</f>
        <v>27536.585369599998</v>
      </c>
      <c r="I355" s="180">
        <f>I260+I303</f>
        <v>17458.499999999996</v>
      </c>
      <c r="J355" s="180">
        <f>J260+J303</f>
        <v>5048.5896000000002</v>
      </c>
      <c r="K355" s="180">
        <f>K260+K303</f>
        <v>5029.4957696000001</v>
      </c>
      <c r="L355" s="385"/>
      <c r="M355" s="79"/>
    </row>
    <row r="356" spans="1:13" ht="75.75" customHeight="1" x14ac:dyDescent="0.3">
      <c r="A356" s="527"/>
      <c r="B356" s="423"/>
      <c r="C356" s="423"/>
      <c r="D356" s="424"/>
      <c r="E356" s="363"/>
      <c r="F356" s="504"/>
      <c r="G356" s="88" t="s">
        <v>100</v>
      </c>
      <c r="H356" s="180">
        <f>H261</f>
        <v>12485.6</v>
      </c>
      <c r="I356" s="180">
        <f t="shared" ref="I356:K356" si="189">I261</f>
        <v>12485.6</v>
      </c>
      <c r="J356" s="180">
        <f t="shared" si="189"/>
        <v>0</v>
      </c>
      <c r="K356" s="180">
        <f t="shared" si="189"/>
        <v>0</v>
      </c>
      <c r="L356" s="385"/>
    </row>
    <row r="357" spans="1:13" ht="192" customHeight="1" x14ac:dyDescent="0.3">
      <c r="A357" s="527"/>
      <c r="B357" s="423"/>
      <c r="C357" s="423"/>
      <c r="D357" s="424"/>
      <c r="E357" s="363"/>
      <c r="F357" s="504"/>
      <c r="G357" s="88" t="s">
        <v>103</v>
      </c>
      <c r="H357" s="180">
        <f>H262</f>
        <v>147.79999999999998</v>
      </c>
      <c r="I357" s="180">
        <f t="shared" ref="I357:K357" si="190">I262</f>
        <v>147.79999999999998</v>
      </c>
      <c r="J357" s="180">
        <f t="shared" si="190"/>
        <v>0</v>
      </c>
      <c r="K357" s="180">
        <f t="shared" si="190"/>
        <v>0</v>
      </c>
      <c r="L357" s="385"/>
    </row>
    <row r="358" spans="1:13" ht="182.25" customHeight="1" x14ac:dyDescent="0.3">
      <c r="A358" s="527"/>
      <c r="B358" s="423"/>
      <c r="C358" s="423"/>
      <c r="D358" s="424"/>
      <c r="E358" s="363"/>
      <c r="F358" s="504"/>
      <c r="G358" s="88" t="s">
        <v>211</v>
      </c>
      <c r="H358" s="180">
        <f>H263</f>
        <v>250</v>
      </c>
      <c r="I358" s="180">
        <f t="shared" ref="I358:K358" si="191">I263</f>
        <v>250</v>
      </c>
      <c r="J358" s="180">
        <f t="shared" si="191"/>
        <v>0</v>
      </c>
      <c r="K358" s="180">
        <f t="shared" si="191"/>
        <v>0</v>
      </c>
      <c r="L358" s="385"/>
    </row>
    <row r="359" spans="1:13" ht="75.75" customHeight="1" x14ac:dyDescent="0.3">
      <c r="A359" s="527"/>
      <c r="B359" s="423"/>
      <c r="C359" s="423"/>
      <c r="D359" s="424"/>
      <c r="E359" s="363"/>
      <c r="F359" s="504"/>
      <c r="G359" s="169" t="s">
        <v>349</v>
      </c>
      <c r="H359" s="180">
        <f>H264</f>
        <v>60</v>
      </c>
      <c r="I359" s="180">
        <f t="shared" ref="I359:K359" si="192">I264</f>
        <v>60</v>
      </c>
      <c r="J359" s="180">
        <f t="shared" si="192"/>
        <v>0</v>
      </c>
      <c r="K359" s="180">
        <f t="shared" si="192"/>
        <v>0</v>
      </c>
      <c r="L359" s="385"/>
    </row>
    <row r="360" spans="1:13" x14ac:dyDescent="0.3">
      <c r="A360" s="527"/>
      <c r="B360" s="423"/>
      <c r="C360" s="423"/>
      <c r="D360" s="424"/>
      <c r="E360" s="363"/>
      <c r="F360" s="504"/>
      <c r="G360" s="86" t="s">
        <v>91</v>
      </c>
      <c r="H360" s="180">
        <f>H323</f>
        <v>212450.21449219997</v>
      </c>
      <c r="I360" s="180">
        <f t="shared" ref="I360:K360" si="193">I323</f>
        <v>67237.399999999994</v>
      </c>
      <c r="J360" s="180">
        <f t="shared" si="193"/>
        <v>70800.982199999984</v>
      </c>
      <c r="K360" s="180">
        <f t="shared" si="193"/>
        <v>74411.832292199979</v>
      </c>
      <c r="L360" s="385"/>
    </row>
    <row r="361" spans="1:13" ht="56.25" customHeight="1" x14ac:dyDescent="0.3">
      <c r="A361" s="527"/>
      <c r="B361" s="423"/>
      <c r="C361" s="423"/>
      <c r="D361" s="424"/>
      <c r="E361" s="363"/>
      <c r="F361" s="504"/>
      <c r="G361" s="86" t="s">
        <v>60</v>
      </c>
      <c r="H361" s="180">
        <f>H265</f>
        <v>13090.5</v>
      </c>
      <c r="I361" s="180">
        <f t="shared" ref="I361:K361" si="194">I265</f>
        <v>13090.5</v>
      </c>
      <c r="J361" s="180">
        <f t="shared" si="194"/>
        <v>0</v>
      </c>
      <c r="K361" s="180">
        <f t="shared" si="194"/>
        <v>0</v>
      </c>
      <c r="L361" s="385"/>
    </row>
    <row r="362" spans="1:13" ht="56.25" customHeight="1" x14ac:dyDescent="0.3">
      <c r="A362" s="527"/>
      <c r="B362" s="423"/>
      <c r="C362" s="423"/>
      <c r="D362" s="424"/>
      <c r="E362" s="363"/>
      <c r="F362" s="504"/>
      <c r="G362" s="86" t="s">
        <v>95</v>
      </c>
      <c r="H362" s="180">
        <f>H334</f>
        <v>10730.667358299997</v>
      </c>
      <c r="I362" s="180">
        <f t="shared" ref="I362:K362" si="195">I334</f>
        <v>3396.1</v>
      </c>
      <c r="J362" s="180">
        <f t="shared" si="195"/>
        <v>3576.0932999999995</v>
      </c>
      <c r="K362" s="180">
        <f t="shared" si="195"/>
        <v>3758.4740582999993</v>
      </c>
      <c r="L362" s="385"/>
    </row>
    <row r="363" spans="1:13" ht="26.25" customHeight="1" x14ac:dyDescent="0.3">
      <c r="A363" s="527"/>
      <c r="B363" s="423"/>
      <c r="C363" s="423"/>
      <c r="D363" s="424"/>
      <c r="E363" s="363" t="s">
        <v>80</v>
      </c>
      <c r="F363" s="504"/>
      <c r="G363" s="90" t="s">
        <v>94</v>
      </c>
      <c r="H363" s="179">
        <f>SUM(H364:H368)</f>
        <v>140599.05484180001</v>
      </c>
      <c r="I363" s="179">
        <f t="shared" ref="I363:K363" si="196">SUM(I364:I368)</f>
        <v>65486.399999999994</v>
      </c>
      <c r="J363" s="179">
        <f t="shared" si="196"/>
        <v>36608.6518</v>
      </c>
      <c r="K363" s="179">
        <f t="shared" si="196"/>
        <v>38504.003041799995</v>
      </c>
      <c r="L363" s="385"/>
    </row>
    <row r="364" spans="1:13" ht="49.5" customHeight="1" x14ac:dyDescent="0.3">
      <c r="A364" s="527"/>
      <c r="B364" s="423"/>
      <c r="C364" s="423"/>
      <c r="D364" s="424"/>
      <c r="E364" s="363"/>
      <c r="F364" s="504"/>
      <c r="G364" s="86" t="s">
        <v>51</v>
      </c>
      <c r="H364" s="180">
        <f>H267+H304</f>
        <v>28824.676575999994</v>
      </c>
      <c r="I364" s="180">
        <f t="shared" ref="I364:K364" si="197">I267+I304</f>
        <v>16232.399999999996</v>
      </c>
      <c r="J364" s="180">
        <f t="shared" si="197"/>
        <v>6125.7759999999998</v>
      </c>
      <c r="K364" s="180">
        <f t="shared" si="197"/>
        <v>6466.5005759999995</v>
      </c>
      <c r="L364" s="385"/>
    </row>
    <row r="365" spans="1:13" ht="72.75" customHeight="1" x14ac:dyDescent="0.3">
      <c r="A365" s="527"/>
      <c r="B365" s="423"/>
      <c r="C365" s="423"/>
      <c r="D365" s="424"/>
      <c r="E365" s="363"/>
      <c r="F365" s="504"/>
      <c r="G365" s="88" t="s">
        <v>100</v>
      </c>
      <c r="H365" s="180">
        <f>H268</f>
        <v>8160.1</v>
      </c>
      <c r="I365" s="180">
        <f t="shared" ref="I365:K365" si="198">I268</f>
        <v>8160.1</v>
      </c>
      <c r="J365" s="180">
        <f t="shared" si="198"/>
        <v>0</v>
      </c>
      <c r="K365" s="180">
        <f t="shared" si="198"/>
        <v>0</v>
      </c>
      <c r="L365" s="385"/>
    </row>
    <row r="366" spans="1:13" ht="27" customHeight="1" x14ac:dyDescent="0.3">
      <c r="A366" s="527"/>
      <c r="B366" s="423"/>
      <c r="C366" s="423"/>
      <c r="D366" s="424"/>
      <c r="E366" s="363"/>
      <c r="F366" s="504"/>
      <c r="G366" s="131" t="s">
        <v>91</v>
      </c>
      <c r="H366" s="180">
        <f>H324</f>
        <v>69003.489935799997</v>
      </c>
      <c r="I366" s="180">
        <f t="shared" ref="I366:K366" si="199">I324</f>
        <v>21838.6</v>
      </c>
      <c r="J366" s="180">
        <f t="shared" si="199"/>
        <v>22996.045799999996</v>
      </c>
      <c r="K366" s="180">
        <f t="shared" si="199"/>
        <v>24168.844135799995</v>
      </c>
      <c r="L366" s="385"/>
    </row>
    <row r="367" spans="1:13" ht="51" customHeight="1" x14ac:dyDescent="0.3">
      <c r="A367" s="527"/>
      <c r="B367" s="423"/>
      <c r="C367" s="423"/>
      <c r="D367" s="424"/>
      <c r="E367" s="363"/>
      <c r="F367" s="504"/>
      <c r="G367" s="86" t="s">
        <v>60</v>
      </c>
      <c r="H367" s="180">
        <f>H269+H319</f>
        <v>12145.3</v>
      </c>
      <c r="I367" s="180">
        <f t="shared" ref="I367:K367" si="200">I269+I319</f>
        <v>12145.3</v>
      </c>
      <c r="J367" s="180">
        <f t="shared" si="200"/>
        <v>0</v>
      </c>
      <c r="K367" s="180">
        <f t="shared" si="200"/>
        <v>0</v>
      </c>
      <c r="L367" s="385"/>
    </row>
    <row r="368" spans="1:13" ht="57" customHeight="1" x14ac:dyDescent="0.3">
      <c r="A368" s="527"/>
      <c r="B368" s="423"/>
      <c r="C368" s="423"/>
      <c r="D368" s="424"/>
      <c r="E368" s="363"/>
      <c r="F368" s="504"/>
      <c r="G368" s="86" t="s">
        <v>95</v>
      </c>
      <c r="H368" s="180">
        <f>H335</f>
        <v>22465.48833</v>
      </c>
      <c r="I368" s="180">
        <f t="shared" ref="I368:K368" si="201">I335</f>
        <v>7110</v>
      </c>
      <c r="J368" s="180">
        <f t="shared" si="201"/>
        <v>7486.83</v>
      </c>
      <c r="K368" s="180">
        <f t="shared" si="201"/>
        <v>7868.6583299999993</v>
      </c>
      <c r="L368" s="385"/>
    </row>
    <row r="369" spans="1:13" ht="25.5" customHeight="1" x14ac:dyDescent="0.3">
      <c r="A369" s="527"/>
      <c r="B369" s="423"/>
      <c r="C369" s="423"/>
      <c r="D369" s="424"/>
      <c r="E369" s="363" t="s">
        <v>81</v>
      </c>
      <c r="F369" s="504"/>
      <c r="G369" s="90" t="s">
        <v>94</v>
      </c>
      <c r="H369" s="179">
        <f>SUM(H370:H375)</f>
        <v>255652.63460229998</v>
      </c>
      <c r="I369" s="179">
        <f t="shared" ref="I369:K369" si="202">SUM(I370:I375)</f>
        <v>115927.70000000001</v>
      </c>
      <c r="J369" s="179">
        <f t="shared" si="202"/>
        <v>68445.037300000011</v>
      </c>
      <c r="K369" s="179">
        <f t="shared" si="202"/>
        <v>71279.8973023</v>
      </c>
      <c r="L369" s="385"/>
    </row>
    <row r="370" spans="1:13" ht="50.25" customHeight="1" x14ac:dyDescent="0.3">
      <c r="A370" s="527"/>
      <c r="B370" s="423"/>
      <c r="C370" s="423"/>
      <c r="D370" s="424"/>
      <c r="E370" s="363"/>
      <c r="F370" s="504"/>
      <c r="G370" s="86" t="s">
        <v>51</v>
      </c>
      <c r="H370" s="180">
        <f>H271+H305</f>
        <v>24038.999228800003</v>
      </c>
      <c r="I370" s="180">
        <f t="shared" ref="I370:K370" si="203">I271+I305</f>
        <v>19456.400000000001</v>
      </c>
      <c r="J370" s="180">
        <f t="shared" si="203"/>
        <v>2554.0888</v>
      </c>
      <c r="K370" s="180">
        <f t="shared" si="203"/>
        <v>2028.5104288</v>
      </c>
      <c r="L370" s="385"/>
    </row>
    <row r="371" spans="1:13" ht="74.25" customHeight="1" x14ac:dyDescent="0.3">
      <c r="A371" s="527"/>
      <c r="B371" s="423"/>
      <c r="C371" s="423"/>
      <c r="D371" s="424"/>
      <c r="E371" s="363"/>
      <c r="F371" s="504"/>
      <c r="G371" s="88" t="s">
        <v>100</v>
      </c>
      <c r="H371" s="180">
        <f>H272</f>
        <v>12866.2</v>
      </c>
      <c r="I371" s="180">
        <f t="shared" ref="I371:K371" si="204">I272</f>
        <v>12866.2</v>
      </c>
      <c r="J371" s="180">
        <f t="shared" si="204"/>
        <v>0</v>
      </c>
      <c r="K371" s="180">
        <f t="shared" si="204"/>
        <v>0</v>
      </c>
      <c r="L371" s="385"/>
      <c r="M371" s="79"/>
    </row>
    <row r="372" spans="1:13" ht="168" customHeight="1" x14ac:dyDescent="0.3">
      <c r="A372" s="527"/>
      <c r="B372" s="423"/>
      <c r="C372" s="423"/>
      <c r="D372" s="424"/>
      <c r="E372" s="363"/>
      <c r="F372" s="504"/>
      <c r="G372" s="88" t="s">
        <v>103</v>
      </c>
      <c r="H372" s="180">
        <f>H273</f>
        <v>2680.3</v>
      </c>
      <c r="I372" s="180">
        <f t="shared" ref="I372:K372" si="205">I273</f>
        <v>2680.3</v>
      </c>
      <c r="J372" s="180">
        <f t="shared" si="205"/>
        <v>0</v>
      </c>
      <c r="K372" s="180">
        <f t="shared" si="205"/>
        <v>0</v>
      </c>
      <c r="L372" s="385"/>
    </row>
    <row r="373" spans="1:13" x14ac:dyDescent="0.3">
      <c r="A373" s="527"/>
      <c r="B373" s="423"/>
      <c r="C373" s="423"/>
      <c r="D373" s="424"/>
      <c r="E373" s="363"/>
      <c r="F373" s="504"/>
      <c r="G373" s="131" t="s">
        <v>91</v>
      </c>
      <c r="H373" s="180">
        <f>H325</f>
        <v>195186.86118139999</v>
      </c>
      <c r="I373" s="180">
        <f t="shared" ref="I373:K373" si="206">I325</f>
        <v>61773.8</v>
      </c>
      <c r="J373" s="180">
        <f t="shared" si="206"/>
        <v>65047.811399999999</v>
      </c>
      <c r="K373" s="180">
        <f t="shared" si="206"/>
        <v>68365.249781399994</v>
      </c>
      <c r="L373" s="385"/>
    </row>
    <row r="374" spans="1:13" ht="46.5" customHeight="1" x14ac:dyDescent="0.3">
      <c r="A374" s="527"/>
      <c r="B374" s="423"/>
      <c r="C374" s="423"/>
      <c r="D374" s="424"/>
      <c r="E374" s="363"/>
      <c r="F374" s="504"/>
      <c r="G374" s="86" t="s">
        <v>60</v>
      </c>
      <c r="H374" s="180">
        <f>H274+H320</f>
        <v>18350.3</v>
      </c>
      <c r="I374" s="180">
        <f t="shared" ref="I374:K374" si="207">I274+I320</f>
        <v>18350.3</v>
      </c>
      <c r="J374" s="180">
        <f t="shared" si="207"/>
        <v>0</v>
      </c>
      <c r="K374" s="180">
        <f t="shared" si="207"/>
        <v>0</v>
      </c>
      <c r="L374" s="385"/>
    </row>
    <row r="375" spans="1:13" ht="46.5" x14ac:dyDescent="0.3">
      <c r="A375" s="527"/>
      <c r="B375" s="423"/>
      <c r="C375" s="423"/>
      <c r="D375" s="424"/>
      <c r="E375" s="363"/>
      <c r="F375" s="504"/>
      <c r="G375" s="86" t="s">
        <v>95</v>
      </c>
      <c r="H375" s="180">
        <f>H336</f>
        <v>2529.9741921000004</v>
      </c>
      <c r="I375" s="180">
        <f t="shared" ref="I375:K375" si="208">I336</f>
        <v>800.7</v>
      </c>
      <c r="J375" s="180">
        <f t="shared" si="208"/>
        <v>843.13710000000003</v>
      </c>
      <c r="K375" s="180">
        <f t="shared" si="208"/>
        <v>886.13709210000002</v>
      </c>
      <c r="L375" s="385"/>
    </row>
    <row r="376" spans="1:13" ht="27.75" customHeight="1" x14ac:dyDescent="0.3">
      <c r="A376" s="527"/>
      <c r="B376" s="423"/>
      <c r="C376" s="423"/>
      <c r="D376" s="424"/>
      <c r="E376" s="395" t="s">
        <v>79</v>
      </c>
      <c r="F376" s="504"/>
      <c r="G376" s="90" t="s">
        <v>94</v>
      </c>
      <c r="H376" s="179">
        <f>SUM(H377:H384)</f>
        <v>281323.91009510396</v>
      </c>
      <c r="I376" s="179">
        <f t="shared" ref="I376:K376" si="209">SUM(I377:I384)</f>
        <v>141134.921</v>
      </c>
      <c r="J376" s="179">
        <f t="shared" si="209"/>
        <v>74489.291903999998</v>
      </c>
      <c r="K376" s="179">
        <f t="shared" si="209"/>
        <v>65699.697191104002</v>
      </c>
      <c r="L376" s="385"/>
    </row>
    <row r="377" spans="1:13" ht="54" customHeight="1" x14ac:dyDescent="0.3">
      <c r="A377" s="527"/>
      <c r="B377" s="423"/>
      <c r="C377" s="423"/>
      <c r="D377" s="424"/>
      <c r="E377" s="514"/>
      <c r="F377" s="504"/>
      <c r="G377" s="131" t="s">
        <v>51</v>
      </c>
      <c r="H377" s="180">
        <f>H276+H309</f>
        <v>39628.759539903993</v>
      </c>
      <c r="I377" s="180">
        <f t="shared" ref="I377:K377" si="210">I276+I309</f>
        <v>24197.263999999999</v>
      </c>
      <c r="J377" s="180">
        <f t="shared" si="210"/>
        <v>7676.996704000001</v>
      </c>
      <c r="K377" s="180">
        <f t="shared" si="210"/>
        <v>7754.4988359039999</v>
      </c>
      <c r="L377" s="385"/>
      <c r="M377" s="79"/>
    </row>
    <row r="378" spans="1:13" ht="78.75" customHeight="1" x14ac:dyDescent="0.3">
      <c r="A378" s="527"/>
      <c r="B378" s="423"/>
      <c r="C378" s="423"/>
      <c r="D378" s="424"/>
      <c r="E378" s="514"/>
      <c r="F378" s="504"/>
      <c r="G378" s="88" t="s">
        <v>100</v>
      </c>
      <c r="H378" s="180">
        <f>H277</f>
        <v>11848</v>
      </c>
      <c r="I378" s="180">
        <f t="shared" ref="I378:K378" si="211">I277</f>
        <v>11848</v>
      </c>
      <c r="J378" s="180">
        <f t="shared" si="211"/>
        <v>0</v>
      </c>
      <c r="K378" s="180">
        <f t="shared" si="211"/>
        <v>0</v>
      </c>
      <c r="L378" s="385"/>
    </row>
    <row r="379" spans="1:13" ht="140.25" customHeight="1" x14ac:dyDescent="0.3">
      <c r="A379" s="527"/>
      <c r="B379" s="423"/>
      <c r="C379" s="423"/>
      <c r="D379" s="424"/>
      <c r="E379" s="514"/>
      <c r="F379" s="504"/>
      <c r="G379" s="88" t="s">
        <v>211</v>
      </c>
      <c r="H379" s="180">
        <f>H278</f>
        <v>1196.0999999999999</v>
      </c>
      <c r="I379" s="180">
        <f t="shared" ref="I379:K379" si="212">I278</f>
        <v>1196.0999999999999</v>
      </c>
      <c r="J379" s="180">
        <f t="shared" si="212"/>
        <v>0</v>
      </c>
      <c r="K379" s="180">
        <f t="shared" si="212"/>
        <v>0</v>
      </c>
      <c r="L379" s="385"/>
    </row>
    <row r="380" spans="1:13" ht="35.25" customHeight="1" x14ac:dyDescent="0.3">
      <c r="A380" s="527"/>
      <c r="B380" s="423"/>
      <c r="C380" s="423"/>
      <c r="D380" s="424"/>
      <c r="E380" s="514"/>
      <c r="F380" s="504"/>
      <c r="G380" s="131" t="s">
        <v>91</v>
      </c>
      <c r="H380" s="180">
        <f>H326</f>
        <v>165436.9935552</v>
      </c>
      <c r="I380" s="180">
        <f t="shared" ref="I380:K380" si="213">I326</f>
        <v>52358.400000000001</v>
      </c>
      <c r="J380" s="180">
        <f t="shared" si="213"/>
        <v>55133.395199999999</v>
      </c>
      <c r="K380" s="180">
        <f t="shared" si="213"/>
        <v>57945.198355199995</v>
      </c>
      <c r="L380" s="385"/>
    </row>
    <row r="381" spans="1:13" ht="50.25" customHeight="1" x14ac:dyDescent="0.3">
      <c r="A381" s="527"/>
      <c r="B381" s="423"/>
      <c r="C381" s="423"/>
      <c r="D381" s="424"/>
      <c r="E381" s="514"/>
      <c r="F381" s="504"/>
      <c r="G381" s="86" t="s">
        <v>60</v>
      </c>
      <c r="H381" s="180">
        <f>H279+H310</f>
        <v>44853.256999999998</v>
      </c>
      <c r="I381" s="180">
        <f t="shared" ref="I381:K381" si="214">I279+I310</f>
        <v>33174.356999999996</v>
      </c>
      <c r="J381" s="180">
        <f t="shared" si="214"/>
        <v>11678.9</v>
      </c>
      <c r="K381" s="180">
        <f t="shared" si="214"/>
        <v>0</v>
      </c>
      <c r="L381" s="385"/>
    </row>
    <row r="382" spans="1:13" ht="72.75" customHeight="1" x14ac:dyDescent="0.3">
      <c r="A382" s="527"/>
      <c r="B382" s="423"/>
      <c r="C382" s="423"/>
      <c r="D382" s="424"/>
      <c r="E382" s="514"/>
      <c r="F382" s="504"/>
      <c r="G382" s="215" t="s">
        <v>404</v>
      </c>
      <c r="H382" s="180">
        <f>H311</f>
        <v>14714.7</v>
      </c>
      <c r="I382" s="180">
        <f t="shared" ref="I382:K382" si="215">I311</f>
        <v>14714.7</v>
      </c>
      <c r="J382" s="180">
        <f t="shared" si="215"/>
        <v>0</v>
      </c>
      <c r="K382" s="180">
        <f t="shared" si="215"/>
        <v>0</v>
      </c>
      <c r="L382" s="385"/>
    </row>
    <row r="383" spans="1:13" ht="51" customHeight="1" x14ac:dyDescent="0.3">
      <c r="A383" s="527"/>
      <c r="B383" s="423"/>
      <c r="C383" s="423"/>
      <c r="D383" s="424"/>
      <c r="E383" s="514"/>
      <c r="F383" s="504"/>
      <c r="G383" s="131" t="s">
        <v>88</v>
      </c>
      <c r="H383" s="180">
        <f>H312</f>
        <v>885</v>
      </c>
      <c r="I383" s="180">
        <f t="shared" ref="I383:K383" si="216">I312</f>
        <v>885</v>
      </c>
      <c r="J383" s="180">
        <f t="shared" si="216"/>
        <v>0</v>
      </c>
      <c r="K383" s="180">
        <f t="shared" si="216"/>
        <v>0</v>
      </c>
      <c r="L383" s="385"/>
    </row>
    <row r="384" spans="1:13" ht="51" customHeight="1" x14ac:dyDescent="0.3">
      <c r="A384" s="527"/>
      <c r="B384" s="423"/>
      <c r="C384" s="423"/>
      <c r="D384" s="424"/>
      <c r="E384" s="396"/>
      <c r="F384" s="504"/>
      <c r="G384" s="131" t="s">
        <v>108</v>
      </c>
      <c r="H384" s="180">
        <f>H314</f>
        <v>2761.1</v>
      </c>
      <c r="I384" s="180">
        <f t="shared" ref="I384:K384" si="217">I314</f>
        <v>2761.1</v>
      </c>
      <c r="J384" s="180">
        <f t="shared" si="217"/>
        <v>0</v>
      </c>
      <c r="K384" s="180">
        <f t="shared" si="217"/>
        <v>0</v>
      </c>
      <c r="L384" s="385"/>
    </row>
    <row r="385" spans="1:13" ht="30" customHeight="1" x14ac:dyDescent="0.3">
      <c r="A385" s="527"/>
      <c r="B385" s="423"/>
      <c r="C385" s="423"/>
      <c r="D385" s="424"/>
      <c r="E385" s="363" t="s">
        <v>83</v>
      </c>
      <c r="F385" s="504"/>
      <c r="G385" s="90" t="s">
        <v>94</v>
      </c>
      <c r="H385" s="179">
        <f>SUM(H386:H391)</f>
        <v>142609.83175449999</v>
      </c>
      <c r="I385" s="179">
        <f t="shared" ref="I385:K385" si="218">SUM(I386:I391)</f>
        <v>67653.3</v>
      </c>
      <c r="J385" s="179">
        <f t="shared" si="218"/>
        <v>36659.779500000004</v>
      </c>
      <c r="K385" s="179">
        <f t="shared" si="218"/>
        <v>38296.752254500003</v>
      </c>
      <c r="L385" s="385"/>
    </row>
    <row r="386" spans="1:13" ht="49.5" customHeight="1" x14ac:dyDescent="0.3">
      <c r="A386" s="527"/>
      <c r="B386" s="423"/>
      <c r="C386" s="423"/>
      <c r="D386" s="424"/>
      <c r="E386" s="363"/>
      <c r="F386" s="504"/>
      <c r="G386" s="131" t="s">
        <v>51</v>
      </c>
      <c r="H386" s="180">
        <f>H281+H306</f>
        <v>9864.4573280000004</v>
      </c>
      <c r="I386" s="180">
        <f t="shared" ref="I386:K386" si="219">I281+I306</f>
        <v>8392.9</v>
      </c>
      <c r="J386" s="180">
        <f t="shared" si="219"/>
        <v>830.928</v>
      </c>
      <c r="K386" s="180">
        <f t="shared" si="219"/>
        <v>640.62932799999999</v>
      </c>
      <c r="L386" s="385"/>
    </row>
    <row r="387" spans="1:13" ht="168.75" customHeight="1" x14ac:dyDescent="0.3">
      <c r="A387" s="527"/>
      <c r="B387" s="423"/>
      <c r="C387" s="423"/>
      <c r="D387" s="424"/>
      <c r="E387" s="363"/>
      <c r="F387" s="504"/>
      <c r="G387" s="88" t="s">
        <v>211</v>
      </c>
      <c r="H387" s="180">
        <f>H283</f>
        <v>930</v>
      </c>
      <c r="I387" s="180">
        <f t="shared" ref="I387:K387" si="220">I283</f>
        <v>930</v>
      </c>
      <c r="J387" s="180">
        <f t="shared" si="220"/>
        <v>0</v>
      </c>
      <c r="K387" s="180">
        <f t="shared" si="220"/>
        <v>0</v>
      </c>
      <c r="L387" s="385"/>
    </row>
    <row r="388" spans="1:13" ht="74.25" customHeight="1" x14ac:dyDescent="0.3">
      <c r="A388" s="527"/>
      <c r="B388" s="423"/>
      <c r="C388" s="423"/>
      <c r="D388" s="424"/>
      <c r="E388" s="363"/>
      <c r="F388" s="504"/>
      <c r="G388" s="88" t="s">
        <v>100</v>
      </c>
      <c r="H388" s="180">
        <f>H282</f>
        <v>6347.6</v>
      </c>
      <c r="I388" s="180">
        <f t="shared" ref="I388:K388" si="221">I282</f>
        <v>6347.6</v>
      </c>
      <c r="J388" s="180">
        <f t="shared" si="221"/>
        <v>0</v>
      </c>
      <c r="K388" s="180">
        <f t="shared" si="221"/>
        <v>0</v>
      </c>
      <c r="L388" s="385"/>
    </row>
    <row r="389" spans="1:13" ht="21.75" customHeight="1" x14ac:dyDescent="0.3">
      <c r="A389" s="527"/>
      <c r="B389" s="423"/>
      <c r="C389" s="423"/>
      <c r="D389" s="424"/>
      <c r="E389" s="363"/>
      <c r="F389" s="504"/>
      <c r="G389" s="131" t="s">
        <v>91</v>
      </c>
      <c r="H389" s="180">
        <f>H327</f>
        <v>105982.1260854</v>
      </c>
      <c r="I389" s="180">
        <f t="shared" ref="I389:K389" si="222">I327</f>
        <v>33541.800000000003</v>
      </c>
      <c r="J389" s="180">
        <f t="shared" si="222"/>
        <v>35319.515400000004</v>
      </c>
      <c r="K389" s="180">
        <f t="shared" si="222"/>
        <v>37120.8106854</v>
      </c>
      <c r="L389" s="385"/>
    </row>
    <row r="390" spans="1:13" ht="49.5" customHeight="1" x14ac:dyDescent="0.3">
      <c r="A390" s="527"/>
      <c r="B390" s="423"/>
      <c r="C390" s="423"/>
      <c r="D390" s="424"/>
      <c r="E390" s="363"/>
      <c r="F390" s="504"/>
      <c r="G390" s="86" t="s">
        <v>60</v>
      </c>
      <c r="H390" s="180">
        <f>H284+H321</f>
        <v>17957.3</v>
      </c>
      <c r="I390" s="180">
        <f t="shared" ref="I390:K390" si="223">I284+I321</f>
        <v>17957.3</v>
      </c>
      <c r="J390" s="180">
        <f t="shared" si="223"/>
        <v>0</v>
      </c>
      <c r="K390" s="180">
        <f t="shared" si="223"/>
        <v>0</v>
      </c>
      <c r="L390" s="385"/>
    </row>
    <row r="391" spans="1:13" ht="47.25" customHeight="1" x14ac:dyDescent="0.3">
      <c r="A391" s="527"/>
      <c r="B391" s="423"/>
      <c r="C391" s="423"/>
      <c r="D391" s="424"/>
      <c r="E391" s="363"/>
      <c r="F391" s="504"/>
      <c r="G391" s="86" t="s">
        <v>95</v>
      </c>
      <c r="H391" s="180">
        <f>H337</f>
        <v>1528.3483410999997</v>
      </c>
      <c r="I391" s="180">
        <f t="shared" ref="I391:K391" si="224">I337</f>
        <v>483.7</v>
      </c>
      <c r="J391" s="180">
        <f t="shared" si="224"/>
        <v>509.33609999999993</v>
      </c>
      <c r="K391" s="180">
        <f t="shared" si="224"/>
        <v>535.31224109999994</v>
      </c>
      <c r="L391" s="385"/>
    </row>
    <row r="392" spans="1:13" ht="31.5" customHeight="1" x14ac:dyDescent="0.3">
      <c r="A392" s="527"/>
      <c r="B392" s="423"/>
      <c r="C392" s="423"/>
      <c r="D392" s="424"/>
      <c r="E392" s="363" t="s">
        <v>82</v>
      </c>
      <c r="F392" s="504"/>
      <c r="G392" s="90" t="s">
        <v>94</v>
      </c>
      <c r="H392" s="179">
        <f>SUM(H393:H397)</f>
        <v>37752.938898599998</v>
      </c>
      <c r="I392" s="179">
        <f t="shared" ref="I392:K392" si="225">SUM(I393:I397)</f>
        <v>17351.599999999999</v>
      </c>
      <c r="J392" s="179">
        <f t="shared" si="225"/>
        <v>9910.6685999999991</v>
      </c>
      <c r="K392" s="179">
        <f t="shared" si="225"/>
        <v>10490.670298599998</v>
      </c>
      <c r="L392" s="385"/>
    </row>
    <row r="393" spans="1:13" ht="45" customHeight="1" x14ac:dyDescent="0.3">
      <c r="A393" s="527"/>
      <c r="B393" s="423"/>
      <c r="C393" s="423"/>
      <c r="D393" s="424"/>
      <c r="E393" s="363"/>
      <c r="F393" s="504"/>
      <c r="G393" s="131" t="s">
        <v>51</v>
      </c>
      <c r="H393" s="180">
        <f>H286+H307</f>
        <v>11400.6</v>
      </c>
      <c r="I393" s="180">
        <f t="shared" ref="I393:K393" si="226">I286+I307</f>
        <v>7383.2</v>
      </c>
      <c r="J393" s="180">
        <f t="shared" si="226"/>
        <v>1922.4</v>
      </c>
      <c r="K393" s="180">
        <f t="shared" si="226"/>
        <v>2095</v>
      </c>
      <c r="L393" s="385"/>
      <c r="M393" s="79"/>
    </row>
    <row r="394" spans="1:13" ht="70.5" customHeight="1" x14ac:dyDescent="0.3">
      <c r="A394" s="527"/>
      <c r="B394" s="423"/>
      <c r="C394" s="423"/>
      <c r="D394" s="424"/>
      <c r="E394" s="363"/>
      <c r="F394" s="504"/>
      <c r="G394" s="88" t="s">
        <v>100</v>
      </c>
      <c r="H394" s="180">
        <f>H287</f>
        <v>1132.2</v>
      </c>
      <c r="I394" s="180">
        <f t="shared" ref="I394:K394" si="227">I287</f>
        <v>1132.2</v>
      </c>
      <c r="J394" s="180">
        <f t="shared" si="227"/>
        <v>0</v>
      </c>
      <c r="K394" s="180">
        <f t="shared" si="227"/>
        <v>0</v>
      </c>
      <c r="L394" s="385"/>
    </row>
    <row r="395" spans="1:13" ht="30.75" customHeight="1" x14ac:dyDescent="0.3">
      <c r="A395" s="527"/>
      <c r="B395" s="423"/>
      <c r="C395" s="423"/>
      <c r="D395" s="424"/>
      <c r="E395" s="363"/>
      <c r="F395" s="504"/>
      <c r="G395" s="131" t="s">
        <v>91</v>
      </c>
      <c r="H395" s="180">
        <f>H328</f>
        <v>1895.1898593999999</v>
      </c>
      <c r="I395" s="180">
        <f t="shared" ref="I395:K395" si="228">I328</f>
        <v>599.79999999999995</v>
      </c>
      <c r="J395" s="180">
        <f t="shared" si="228"/>
        <v>631.58939999999996</v>
      </c>
      <c r="K395" s="180">
        <f t="shared" si="228"/>
        <v>663.80045939999991</v>
      </c>
      <c r="L395" s="385"/>
    </row>
    <row r="396" spans="1:13" ht="47.25" customHeight="1" x14ac:dyDescent="0.3">
      <c r="A396" s="527"/>
      <c r="B396" s="423"/>
      <c r="C396" s="423"/>
      <c r="D396" s="424"/>
      <c r="E396" s="363"/>
      <c r="F396" s="504"/>
      <c r="G396" s="86" t="s">
        <v>60</v>
      </c>
      <c r="H396" s="180">
        <f>H288</f>
        <v>1250</v>
      </c>
      <c r="I396" s="180">
        <f t="shared" ref="I396:K396" si="229">I288</f>
        <v>1250</v>
      </c>
      <c r="J396" s="180">
        <f t="shared" si="229"/>
        <v>0</v>
      </c>
      <c r="K396" s="180">
        <f t="shared" si="229"/>
        <v>0</v>
      </c>
      <c r="L396" s="385"/>
    </row>
    <row r="397" spans="1:13" ht="55.5" customHeight="1" x14ac:dyDescent="0.3">
      <c r="A397" s="527"/>
      <c r="B397" s="423"/>
      <c r="C397" s="423"/>
      <c r="D397" s="424"/>
      <c r="E397" s="363"/>
      <c r="F397" s="504"/>
      <c r="G397" s="86" t="s">
        <v>95</v>
      </c>
      <c r="H397" s="180">
        <f>H338</f>
        <v>22074.949039200001</v>
      </c>
      <c r="I397" s="180">
        <f t="shared" ref="I397:K397" si="230">I338</f>
        <v>6986.4</v>
      </c>
      <c r="J397" s="180">
        <f t="shared" si="230"/>
        <v>7356.6791999999996</v>
      </c>
      <c r="K397" s="180">
        <f t="shared" si="230"/>
        <v>7731.8698391999988</v>
      </c>
      <c r="L397" s="385"/>
    </row>
    <row r="398" spans="1:13" ht="28.5" customHeight="1" x14ac:dyDescent="0.3">
      <c r="A398" s="527"/>
      <c r="B398" s="423"/>
      <c r="C398" s="423"/>
      <c r="D398" s="424"/>
      <c r="E398" s="395" t="s">
        <v>84</v>
      </c>
      <c r="F398" s="504"/>
      <c r="G398" s="90" t="s">
        <v>94</v>
      </c>
      <c r="H398" s="179">
        <f>SUM(H399:H401)</f>
        <v>233037.21679399998</v>
      </c>
      <c r="I398" s="179">
        <f t="shared" ref="I398:K398" si="231">SUM(I399:I401)</f>
        <v>74445.5</v>
      </c>
      <c r="J398" s="179">
        <f t="shared" si="231"/>
        <v>77324.093999999997</v>
      </c>
      <c r="K398" s="179">
        <f t="shared" si="231"/>
        <v>81267.622793999981</v>
      </c>
      <c r="L398" s="385"/>
    </row>
    <row r="399" spans="1:13" ht="46.5" x14ac:dyDescent="0.3">
      <c r="A399" s="527"/>
      <c r="B399" s="423"/>
      <c r="C399" s="423"/>
      <c r="D399" s="424"/>
      <c r="E399" s="514"/>
      <c r="F399" s="504"/>
      <c r="G399" s="131" t="s">
        <v>51</v>
      </c>
      <c r="H399" s="180">
        <f>H290</f>
        <v>21239.824703999999</v>
      </c>
      <c r="I399" s="180">
        <f t="shared" ref="I399:K399" si="232">I290</f>
        <v>7413</v>
      </c>
      <c r="J399" s="180">
        <f t="shared" si="232"/>
        <v>6741.5039999999999</v>
      </c>
      <c r="K399" s="180">
        <f t="shared" si="232"/>
        <v>7085.3207039999998</v>
      </c>
      <c r="L399" s="385"/>
    </row>
    <row r="400" spans="1:13" ht="235.5" customHeight="1" x14ac:dyDescent="0.3">
      <c r="A400" s="527"/>
      <c r="B400" s="423"/>
      <c r="C400" s="423"/>
      <c r="D400" s="424"/>
      <c r="E400" s="514"/>
      <c r="F400" s="504"/>
      <c r="G400" s="139" t="s">
        <v>104</v>
      </c>
      <c r="H400" s="180">
        <f>H291</f>
        <v>2.5</v>
      </c>
      <c r="I400" s="180">
        <f t="shared" ref="I400:K400" si="233">I291</f>
        <v>2.5</v>
      </c>
      <c r="J400" s="180">
        <f t="shared" si="233"/>
        <v>0</v>
      </c>
      <c r="K400" s="180">
        <f t="shared" si="233"/>
        <v>0</v>
      </c>
      <c r="L400" s="385"/>
    </row>
    <row r="401" spans="1:12" ht="29.25" customHeight="1" x14ac:dyDescent="0.35">
      <c r="A401" s="527"/>
      <c r="B401" s="423"/>
      <c r="C401" s="423"/>
      <c r="D401" s="424"/>
      <c r="E401" s="396"/>
      <c r="F401" s="504"/>
      <c r="G401" s="132" t="s">
        <v>91</v>
      </c>
      <c r="H401" s="180">
        <f>H329+H331</f>
        <v>211794.89208999998</v>
      </c>
      <c r="I401" s="180">
        <f t="shared" ref="I401:K401" si="234">I329+I331</f>
        <v>67030</v>
      </c>
      <c r="J401" s="180">
        <f t="shared" si="234"/>
        <v>70582.59</v>
      </c>
      <c r="K401" s="180">
        <f t="shared" si="234"/>
        <v>74182.302089999983</v>
      </c>
      <c r="L401" s="385"/>
    </row>
    <row r="402" spans="1:12" ht="29.25" customHeight="1" x14ac:dyDescent="0.3">
      <c r="A402" s="527"/>
      <c r="B402" s="423"/>
      <c r="C402" s="423"/>
      <c r="D402" s="424"/>
      <c r="E402" s="363" t="s">
        <v>85</v>
      </c>
      <c r="F402" s="504"/>
      <c r="G402" s="90" t="s">
        <v>94</v>
      </c>
      <c r="H402" s="179">
        <f>SUM(H403:H404)</f>
        <v>217104.6046816</v>
      </c>
      <c r="I402" s="179">
        <f t="shared" ref="I402:K402" si="235">SUM(I403:I404)</f>
        <v>73385.799999999988</v>
      </c>
      <c r="J402" s="179">
        <f t="shared" si="235"/>
        <v>71659.7016</v>
      </c>
      <c r="K402" s="179">
        <f t="shared" si="235"/>
        <v>72059.103081599998</v>
      </c>
      <c r="L402" s="385"/>
    </row>
    <row r="403" spans="1:12" ht="49.5" customHeight="1" x14ac:dyDescent="0.3">
      <c r="A403" s="527"/>
      <c r="B403" s="423"/>
      <c r="C403" s="423"/>
      <c r="D403" s="424"/>
      <c r="E403" s="363"/>
      <c r="F403" s="504"/>
      <c r="G403" s="131" t="s">
        <v>51</v>
      </c>
      <c r="H403" s="180">
        <f>H293</f>
        <v>24461.804681599999</v>
      </c>
      <c r="I403" s="180">
        <f t="shared" ref="I403:K403" si="236">I293</f>
        <v>8399.5999999999985</v>
      </c>
      <c r="J403" s="180">
        <f t="shared" si="236"/>
        <v>7831.4015999999992</v>
      </c>
      <c r="K403" s="180">
        <f t="shared" si="236"/>
        <v>8230.8030815999991</v>
      </c>
      <c r="L403" s="385"/>
    </row>
    <row r="404" spans="1:12" ht="27" customHeight="1" x14ac:dyDescent="0.35">
      <c r="A404" s="527"/>
      <c r="B404" s="423"/>
      <c r="C404" s="423"/>
      <c r="D404" s="424"/>
      <c r="E404" s="363"/>
      <c r="F404" s="504"/>
      <c r="G404" s="132" t="s">
        <v>91</v>
      </c>
      <c r="H404" s="180">
        <f>H330+H332</f>
        <v>192642.8</v>
      </c>
      <c r="I404" s="180">
        <f t="shared" ref="I404:K404" si="237">I330+I332</f>
        <v>64986.2</v>
      </c>
      <c r="J404" s="180">
        <f t="shared" si="237"/>
        <v>63828.3</v>
      </c>
      <c r="K404" s="180">
        <f t="shared" si="237"/>
        <v>63828.3</v>
      </c>
      <c r="L404" s="385"/>
    </row>
    <row r="405" spans="1:12" ht="56.25" customHeight="1" x14ac:dyDescent="0.3">
      <c r="A405" s="527"/>
      <c r="B405" s="423"/>
      <c r="C405" s="423"/>
      <c r="D405" s="424"/>
      <c r="E405" s="325" t="s">
        <v>430</v>
      </c>
      <c r="F405" s="504"/>
      <c r="G405" s="324" t="s">
        <v>51</v>
      </c>
      <c r="H405" s="179">
        <f>H294</f>
        <v>3000</v>
      </c>
      <c r="I405" s="179">
        <f t="shared" ref="I405:K405" si="238">I294</f>
        <v>3000</v>
      </c>
      <c r="J405" s="179">
        <f t="shared" si="238"/>
        <v>0</v>
      </c>
      <c r="K405" s="179">
        <f t="shared" si="238"/>
        <v>0</v>
      </c>
      <c r="L405" s="385"/>
    </row>
    <row r="406" spans="1:12" ht="32.25" customHeight="1" x14ac:dyDescent="0.3">
      <c r="A406" s="527"/>
      <c r="B406" s="423"/>
      <c r="C406" s="423"/>
      <c r="D406" s="424"/>
      <c r="E406" s="363" t="s">
        <v>56</v>
      </c>
      <c r="F406" s="504"/>
      <c r="G406" s="90" t="s">
        <v>94</v>
      </c>
      <c r="H406" s="179">
        <f>SUM(H407:H412)</f>
        <v>64786.3</v>
      </c>
      <c r="I406" s="179">
        <f t="shared" ref="I406:K406" si="239">SUM(I407:I412)</f>
        <v>55997.8</v>
      </c>
      <c r="J406" s="179">
        <f t="shared" si="239"/>
        <v>4206.3</v>
      </c>
      <c r="K406" s="179">
        <f t="shared" si="239"/>
        <v>4582.2</v>
      </c>
      <c r="L406" s="385"/>
    </row>
    <row r="407" spans="1:12" ht="53.25" customHeight="1" x14ac:dyDescent="0.3">
      <c r="A407" s="527"/>
      <c r="B407" s="423"/>
      <c r="C407" s="423"/>
      <c r="D407" s="424"/>
      <c r="E407" s="363"/>
      <c r="F407" s="504"/>
      <c r="G407" s="131" t="s">
        <v>51</v>
      </c>
      <c r="H407" s="180">
        <f>H296</f>
        <v>28071.7</v>
      </c>
      <c r="I407" s="180">
        <f t="shared" ref="I407:K407" si="240">I296</f>
        <v>19283.2</v>
      </c>
      <c r="J407" s="180">
        <f t="shared" si="240"/>
        <v>4206.3</v>
      </c>
      <c r="K407" s="180">
        <f t="shared" si="240"/>
        <v>4582.2</v>
      </c>
      <c r="L407" s="385"/>
    </row>
    <row r="408" spans="1:12" ht="187.5" customHeight="1" x14ac:dyDescent="0.3">
      <c r="A408" s="527"/>
      <c r="B408" s="423"/>
      <c r="C408" s="423"/>
      <c r="D408" s="424"/>
      <c r="E408" s="363"/>
      <c r="F408" s="504"/>
      <c r="G408" s="88" t="s">
        <v>103</v>
      </c>
      <c r="H408" s="180">
        <f>H298</f>
        <v>1490.1</v>
      </c>
      <c r="I408" s="180">
        <f t="shared" ref="I408:K408" si="241">I298</f>
        <v>1490.1</v>
      </c>
      <c r="J408" s="180">
        <f t="shared" si="241"/>
        <v>0</v>
      </c>
      <c r="K408" s="180">
        <f t="shared" si="241"/>
        <v>0</v>
      </c>
      <c r="L408" s="385"/>
    </row>
    <row r="409" spans="1:12" ht="234.75" customHeight="1" x14ac:dyDescent="0.3">
      <c r="A409" s="527"/>
      <c r="B409" s="423"/>
      <c r="C409" s="423"/>
      <c r="D409" s="424"/>
      <c r="E409" s="363"/>
      <c r="F409" s="504"/>
      <c r="G409" s="139" t="s">
        <v>104</v>
      </c>
      <c r="H409" s="180">
        <f>H297</f>
        <v>7853.5</v>
      </c>
      <c r="I409" s="180">
        <f t="shared" ref="I409:K409" si="242">I297</f>
        <v>7853.5</v>
      </c>
      <c r="J409" s="180">
        <f t="shared" si="242"/>
        <v>0</v>
      </c>
      <c r="K409" s="180">
        <f t="shared" si="242"/>
        <v>0</v>
      </c>
      <c r="L409" s="385"/>
    </row>
    <row r="410" spans="1:12" ht="72" customHeight="1" x14ac:dyDescent="0.3">
      <c r="A410" s="527"/>
      <c r="B410" s="423"/>
      <c r="C410" s="423"/>
      <c r="D410" s="424"/>
      <c r="E410" s="363"/>
      <c r="F410" s="504"/>
      <c r="G410" s="307" t="s">
        <v>418</v>
      </c>
      <c r="H410" s="180">
        <f>H248</f>
        <v>799.7</v>
      </c>
      <c r="I410" s="180">
        <f t="shared" ref="I410:K410" si="243">I248</f>
        <v>799.7</v>
      </c>
      <c r="J410" s="180">
        <f t="shared" si="243"/>
        <v>0</v>
      </c>
      <c r="K410" s="180">
        <f t="shared" si="243"/>
        <v>0</v>
      </c>
      <c r="L410" s="385"/>
    </row>
    <row r="411" spans="1:12" ht="102.75" customHeight="1" x14ac:dyDescent="0.3">
      <c r="A411" s="527"/>
      <c r="B411" s="423"/>
      <c r="C411" s="423"/>
      <c r="D411" s="424"/>
      <c r="E411" s="363"/>
      <c r="F411" s="504"/>
      <c r="G411" s="309" t="s">
        <v>420</v>
      </c>
      <c r="H411" s="180">
        <f>H316</f>
        <v>6848</v>
      </c>
      <c r="I411" s="180">
        <f t="shared" ref="I411:K411" si="244">I316</f>
        <v>6848</v>
      </c>
      <c r="J411" s="180">
        <f t="shared" si="244"/>
        <v>0</v>
      </c>
      <c r="K411" s="180">
        <f t="shared" si="244"/>
        <v>0</v>
      </c>
      <c r="L411" s="385"/>
    </row>
    <row r="412" spans="1:12" ht="49.5" customHeight="1" x14ac:dyDescent="0.3">
      <c r="A412" s="528"/>
      <c r="B412" s="425"/>
      <c r="C412" s="425"/>
      <c r="D412" s="426"/>
      <c r="E412" s="363"/>
      <c r="F412" s="504"/>
      <c r="G412" s="86" t="s">
        <v>60</v>
      </c>
      <c r="H412" s="180">
        <f>H300</f>
        <v>19723.3</v>
      </c>
      <c r="I412" s="180">
        <f t="shared" ref="I412:K412" si="245">I300</f>
        <v>19723.3</v>
      </c>
      <c r="J412" s="180">
        <f t="shared" si="245"/>
        <v>0</v>
      </c>
      <c r="K412" s="180">
        <f t="shared" si="245"/>
        <v>0</v>
      </c>
      <c r="L412" s="525"/>
    </row>
    <row r="416" spans="1:12" x14ac:dyDescent="0.4">
      <c r="H416" s="125"/>
    </row>
    <row r="419" spans="1:12" s="304" customFormat="1" ht="35.25" x14ac:dyDescent="0.5">
      <c r="A419" s="297" t="s">
        <v>453</v>
      </c>
      <c r="B419" s="297"/>
      <c r="C419" s="298"/>
      <c r="D419" s="299"/>
      <c r="E419" s="297"/>
      <c r="F419" s="300"/>
      <c r="G419" s="300"/>
      <c r="H419" s="300"/>
      <c r="I419" s="301" t="s">
        <v>450</v>
      </c>
      <c r="J419" s="300"/>
      <c r="K419" s="302"/>
      <c r="L419" s="303"/>
    </row>
    <row r="420" spans="1:12" x14ac:dyDescent="0.4">
      <c r="A420" s="81"/>
      <c r="B420" s="81"/>
      <c r="C420" s="104"/>
      <c r="D420" s="82"/>
      <c r="E420" s="112"/>
      <c r="F420" s="83"/>
      <c r="G420" s="80"/>
      <c r="H420" s="83"/>
      <c r="I420" s="84"/>
      <c r="J420" s="83"/>
    </row>
    <row r="421" spans="1:12" x14ac:dyDescent="0.4">
      <c r="A421" s="81"/>
      <c r="B421" s="81"/>
      <c r="C421" s="104"/>
      <c r="D421" s="82"/>
      <c r="E421" s="112"/>
      <c r="F421" s="83"/>
      <c r="G421" s="80"/>
      <c r="H421" s="83"/>
      <c r="I421" s="84"/>
      <c r="J421" s="83"/>
    </row>
    <row r="422" spans="1:12" x14ac:dyDescent="0.4">
      <c r="A422" s="81"/>
      <c r="B422" s="81"/>
      <c r="C422" s="104"/>
      <c r="D422" s="82"/>
      <c r="E422" s="112"/>
      <c r="F422" s="83"/>
      <c r="G422" s="80"/>
      <c r="H422" s="83"/>
      <c r="I422" s="84"/>
      <c r="J422" s="83"/>
    </row>
    <row r="423" spans="1:12" x14ac:dyDescent="0.4">
      <c r="A423" s="305" t="s">
        <v>29</v>
      </c>
      <c r="B423" s="81"/>
      <c r="C423" s="93"/>
      <c r="D423" s="82"/>
      <c r="E423" s="112"/>
      <c r="F423" s="83"/>
      <c r="G423" s="80"/>
      <c r="H423" s="83"/>
      <c r="I423" s="83"/>
      <c r="J423" s="83"/>
    </row>
  </sheetData>
  <autoFilter ref="A7:L412">
    <filterColumn colId="7" showButton="0"/>
    <filterColumn colId="8" showButton="0"/>
    <filterColumn colId="9" showButton="0"/>
  </autoFilter>
  <mergeCells count="277">
    <mergeCell ref="E247:E249"/>
    <mergeCell ref="E201:E203"/>
    <mergeCell ref="F201:F208"/>
    <mergeCell ref="G204:G208"/>
    <mergeCell ref="E113:E117"/>
    <mergeCell ref="L309:L312"/>
    <mergeCell ref="L198:L208"/>
    <mergeCell ref="A259:D300"/>
    <mergeCell ref="A235:D249"/>
    <mergeCell ref="E128:E130"/>
    <mergeCell ref="A181:L181"/>
    <mergeCell ref="A164:F164"/>
    <mergeCell ref="A165:B165"/>
    <mergeCell ref="B195:D195"/>
    <mergeCell ref="A186:A195"/>
    <mergeCell ref="B186:B194"/>
    <mergeCell ref="L195:L197"/>
    <mergeCell ref="A196:F197"/>
    <mergeCell ref="F190:F194"/>
    <mergeCell ref="C187:C194"/>
    <mergeCell ref="D189:G189"/>
    <mergeCell ref="D187:G187"/>
    <mergeCell ref="D150:G150"/>
    <mergeCell ref="D154:G154"/>
    <mergeCell ref="L101:L104"/>
    <mergeCell ref="F139:F140"/>
    <mergeCell ref="G139:G140"/>
    <mergeCell ref="E125:E127"/>
    <mergeCell ref="L98:L100"/>
    <mergeCell ref="E98:E100"/>
    <mergeCell ref="A105:D107"/>
    <mergeCell ref="E105:E107"/>
    <mergeCell ref="F105:F107"/>
    <mergeCell ref="L105:L107"/>
    <mergeCell ref="D101:G101"/>
    <mergeCell ref="C101:C103"/>
    <mergeCell ref="E102:E103"/>
    <mergeCell ref="D102:D103"/>
    <mergeCell ref="A108:G108"/>
    <mergeCell ref="F113:F136"/>
    <mergeCell ref="L164:L180"/>
    <mergeCell ref="F159:F163"/>
    <mergeCell ref="G161:G163"/>
    <mergeCell ref="F151:F152"/>
    <mergeCell ref="G151:G152"/>
    <mergeCell ref="E171:F171"/>
    <mergeCell ref="G68:G69"/>
    <mergeCell ref="F93:F97"/>
    <mergeCell ref="B92:B97"/>
    <mergeCell ref="D141:G141"/>
    <mergeCell ref="D145:G145"/>
    <mergeCell ref="A168:D180"/>
    <mergeCell ref="E168:F170"/>
    <mergeCell ref="D158:G158"/>
    <mergeCell ref="D159:D160"/>
    <mergeCell ref="A138:A163"/>
    <mergeCell ref="B138:B163"/>
    <mergeCell ref="C138:C140"/>
    <mergeCell ref="D138:G138"/>
    <mergeCell ref="A137:L137"/>
    <mergeCell ref="L138:L140"/>
    <mergeCell ref="C141:C143"/>
    <mergeCell ref="A113:D136"/>
    <mergeCell ref="L108:L136"/>
    <mergeCell ref="F59:F62"/>
    <mergeCell ref="L67:L69"/>
    <mergeCell ref="L92:L97"/>
    <mergeCell ref="E88:F90"/>
    <mergeCell ref="C92:C94"/>
    <mergeCell ref="D92:G92"/>
    <mergeCell ref="D93:D94"/>
    <mergeCell ref="E93:E94"/>
    <mergeCell ref="F68:F69"/>
    <mergeCell ref="E91:F91"/>
    <mergeCell ref="A70:D91"/>
    <mergeCell ref="L37:L41"/>
    <mergeCell ref="L24:L36"/>
    <mergeCell ref="E43:E44"/>
    <mergeCell ref="L42:L47"/>
    <mergeCell ref="D43:D44"/>
    <mergeCell ref="G212:G218"/>
    <mergeCell ref="A201:D208"/>
    <mergeCell ref="A199:B199"/>
    <mergeCell ref="A198:F198"/>
    <mergeCell ref="L54:L57"/>
    <mergeCell ref="G55:G57"/>
    <mergeCell ref="A210:A230"/>
    <mergeCell ref="B210:B230"/>
    <mergeCell ref="C210:C222"/>
    <mergeCell ref="D210:G210"/>
    <mergeCell ref="C223:C228"/>
    <mergeCell ref="D223:G223"/>
    <mergeCell ref="F220:F222"/>
    <mergeCell ref="G220:G222"/>
    <mergeCell ref="E118:E120"/>
    <mergeCell ref="E121:E124"/>
    <mergeCell ref="G32:G36"/>
    <mergeCell ref="L158:L163"/>
    <mergeCell ref="L58:L62"/>
    <mergeCell ref="D32:E32"/>
    <mergeCell ref="A339:F339"/>
    <mergeCell ref="L339:L412"/>
    <mergeCell ref="A340:F353"/>
    <mergeCell ref="A354:D412"/>
    <mergeCell ref="E354:E362"/>
    <mergeCell ref="F354:F412"/>
    <mergeCell ref="E363:E368"/>
    <mergeCell ref="E369:E375"/>
    <mergeCell ref="E376:E384"/>
    <mergeCell ref="E385:E391"/>
    <mergeCell ref="E392:E397"/>
    <mergeCell ref="A303:D307"/>
    <mergeCell ref="F303:F307"/>
    <mergeCell ref="G303:G307"/>
    <mergeCell ref="B308:F308"/>
    <mergeCell ref="E309:E312"/>
    <mergeCell ref="A309:D312"/>
    <mergeCell ref="E398:E401"/>
    <mergeCell ref="E402:E404"/>
    <mergeCell ref="G323:G332"/>
    <mergeCell ref="F334:F338"/>
    <mergeCell ref="B322:E322"/>
    <mergeCell ref="E240:E242"/>
    <mergeCell ref="A323:D332"/>
    <mergeCell ref="A250:F250"/>
    <mergeCell ref="L317:L321"/>
    <mergeCell ref="E406:E412"/>
    <mergeCell ref="B313:F313"/>
    <mergeCell ref="F309:F311"/>
    <mergeCell ref="E259:E265"/>
    <mergeCell ref="F259:F300"/>
    <mergeCell ref="E266:E269"/>
    <mergeCell ref="E270:E274"/>
    <mergeCell ref="E275:E279"/>
    <mergeCell ref="E280:E284"/>
    <mergeCell ref="E285:E288"/>
    <mergeCell ref="E289:E291"/>
    <mergeCell ref="E292:E293"/>
    <mergeCell ref="E295:E300"/>
    <mergeCell ref="A319:D321"/>
    <mergeCell ref="A314:D314"/>
    <mergeCell ref="B317:F317"/>
    <mergeCell ref="A318:D318"/>
    <mergeCell ref="G318:G321"/>
    <mergeCell ref="A11:L11"/>
    <mergeCell ref="F13:F14"/>
    <mergeCell ref="G13:G14"/>
    <mergeCell ref="A92:A97"/>
    <mergeCell ref="B101:B104"/>
    <mergeCell ref="B12:B20"/>
    <mergeCell ref="F19:F20"/>
    <mergeCell ref="G19:G20"/>
    <mergeCell ref="A334:D338"/>
    <mergeCell ref="L333:L338"/>
    <mergeCell ref="L322:L332"/>
    <mergeCell ref="L313:L314"/>
    <mergeCell ref="A301:L301"/>
    <mergeCell ref="B302:F302"/>
    <mergeCell ref="L302:L307"/>
    <mergeCell ref="G334:G338"/>
    <mergeCell ref="F224:F230"/>
    <mergeCell ref="A231:G231"/>
    <mergeCell ref="L231:L249"/>
    <mergeCell ref="A232:F234"/>
    <mergeCell ref="E235:E237"/>
    <mergeCell ref="F235:F249"/>
    <mergeCell ref="G238:G239"/>
    <mergeCell ref="E243:E245"/>
    <mergeCell ref="L3:O3"/>
    <mergeCell ref="A5:L5"/>
    <mergeCell ref="A7:A9"/>
    <mergeCell ref="B7:B9"/>
    <mergeCell ref="C7:C9"/>
    <mergeCell ref="D7:D9"/>
    <mergeCell ref="E7:E9"/>
    <mergeCell ref="F7:F9"/>
    <mergeCell ref="G7:G9"/>
    <mergeCell ref="H7:K7"/>
    <mergeCell ref="L7:L9"/>
    <mergeCell ref="H8:H9"/>
    <mergeCell ref="I8:K8"/>
    <mergeCell ref="A12:A20"/>
    <mergeCell ref="F16:F17"/>
    <mergeCell ref="A98:D100"/>
    <mergeCell ref="F98:F100"/>
    <mergeCell ref="F102:F104"/>
    <mergeCell ref="A101:A104"/>
    <mergeCell ref="D24:G24"/>
    <mergeCell ref="C51:C53"/>
    <mergeCell ref="C54:C57"/>
    <mergeCell ref="C67:C69"/>
    <mergeCell ref="C24:C36"/>
    <mergeCell ref="C58:C62"/>
    <mergeCell ref="D58:G58"/>
    <mergeCell ref="E70:F74"/>
    <mergeCell ref="E75:F75"/>
    <mergeCell ref="E76:F80"/>
    <mergeCell ref="E81:F83"/>
    <mergeCell ref="E84:F87"/>
    <mergeCell ref="G38:G41"/>
    <mergeCell ref="G59:G62"/>
    <mergeCell ref="G26:G29"/>
    <mergeCell ref="F26:F36"/>
    <mergeCell ref="D67:G67"/>
    <mergeCell ref="E52:E53"/>
    <mergeCell ref="L12:L17"/>
    <mergeCell ref="B24:B69"/>
    <mergeCell ref="L21:L23"/>
    <mergeCell ref="G22:G23"/>
    <mergeCell ref="C12:C14"/>
    <mergeCell ref="C15:C17"/>
    <mergeCell ref="C18:C20"/>
    <mergeCell ref="D12:G12"/>
    <mergeCell ref="D15:G15"/>
    <mergeCell ref="D18:G18"/>
    <mergeCell ref="G16:G17"/>
    <mergeCell ref="A21:D23"/>
    <mergeCell ref="E21:G21"/>
    <mergeCell ref="F22:F23"/>
    <mergeCell ref="L18:L20"/>
    <mergeCell ref="L52:L53"/>
    <mergeCell ref="A24:A69"/>
    <mergeCell ref="D42:G42"/>
    <mergeCell ref="C37:C41"/>
    <mergeCell ref="D37:G37"/>
    <mergeCell ref="F43:F47"/>
    <mergeCell ref="G45:G47"/>
    <mergeCell ref="C42:C47"/>
    <mergeCell ref="F38:F41"/>
    <mergeCell ref="F52:F53"/>
    <mergeCell ref="D54:G54"/>
    <mergeCell ref="D51:G51"/>
    <mergeCell ref="D52:D53"/>
    <mergeCell ref="F55:F57"/>
    <mergeCell ref="A209:L209"/>
    <mergeCell ref="L154:L157"/>
    <mergeCell ref="D155:D157"/>
    <mergeCell ref="E155:E157"/>
    <mergeCell ref="F155:F157"/>
    <mergeCell ref="G142:G143"/>
    <mergeCell ref="E173:F173"/>
    <mergeCell ref="E174:F174"/>
    <mergeCell ref="E175:F175"/>
    <mergeCell ref="E176:F176"/>
    <mergeCell ref="E177:F180"/>
    <mergeCell ref="L187:L194"/>
    <mergeCell ref="G190:G194"/>
    <mergeCell ref="L70:L90"/>
    <mergeCell ref="A109:F112"/>
    <mergeCell ref="F146:F149"/>
    <mergeCell ref="G146:G149"/>
    <mergeCell ref="E159:E160"/>
    <mergeCell ref="E131:E133"/>
    <mergeCell ref="G224:G229"/>
    <mergeCell ref="L210:L229"/>
    <mergeCell ref="B315:F315"/>
    <mergeCell ref="L315:L316"/>
    <mergeCell ref="A316:D316"/>
    <mergeCell ref="D219:G219"/>
    <mergeCell ref="D211:G211"/>
    <mergeCell ref="F212:F218"/>
    <mergeCell ref="L141:L143"/>
    <mergeCell ref="F142:F143"/>
    <mergeCell ref="L150:L152"/>
    <mergeCell ref="D151:D152"/>
    <mergeCell ref="C145:C148"/>
    <mergeCell ref="C150:C152"/>
    <mergeCell ref="C154:C157"/>
    <mergeCell ref="C158:C163"/>
    <mergeCell ref="L144:L149"/>
    <mergeCell ref="L250:L258"/>
    <mergeCell ref="A251:F258"/>
    <mergeCell ref="B184:D184"/>
    <mergeCell ref="B182:B183"/>
    <mergeCell ref="A182:A183"/>
    <mergeCell ref="E172:F172"/>
    <mergeCell ref="G171:G176"/>
  </mergeCells>
  <pageMargins left="0.78740157480314965" right="0.39370078740157483" top="1.1811023622047245" bottom="0.39370078740157483" header="0.31496062992125984" footer="0.31496062992125984"/>
  <pageSetup paperSize="9" scale="30" fitToHeight="25" orientation="landscape" r:id="rId1"/>
  <rowBreaks count="9" manualBreakCount="9">
    <brk id="87" max="11" man="1"/>
    <brk id="107" max="11" man="1"/>
    <brk id="139" max="11" man="1"/>
    <brk id="153" max="11" man="1"/>
    <brk id="208" max="11" man="1"/>
    <brk id="229" max="11" man="1"/>
    <brk id="249" max="11" man="1"/>
    <brk id="288" max="11" man="1"/>
    <brk id="33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8"/>
  <sheetViews>
    <sheetView view="pageBreakPreview" topLeftCell="A295" zoomScale="48" zoomScaleNormal="61" zoomScaleSheetLayoutView="48" workbookViewId="0">
      <selection activeCell="A329" sqref="A329"/>
    </sheetView>
  </sheetViews>
  <sheetFormatPr defaultColWidth="9.140625" defaultRowHeight="20.25" x14ac:dyDescent="0.3"/>
  <cols>
    <col min="1" max="1" width="87.140625" style="223" customWidth="1"/>
    <col min="2" max="2" width="23.42578125" style="223" customWidth="1"/>
    <col min="3" max="3" width="23.5703125" style="223" customWidth="1"/>
    <col min="4" max="4" width="20.5703125" style="223" customWidth="1"/>
    <col min="5" max="5" width="21.140625" style="223" customWidth="1"/>
    <col min="6" max="6" width="22.28515625" style="223" customWidth="1"/>
    <col min="7" max="7" width="19.7109375" style="223" customWidth="1"/>
    <col min="8" max="8" width="20.42578125" style="223" customWidth="1"/>
    <col min="9" max="9" width="19.140625" style="223" customWidth="1"/>
    <col min="10" max="10" width="21.140625" style="223" customWidth="1"/>
    <col min="11" max="11" width="20" style="223" customWidth="1"/>
    <col min="12" max="12" width="21.28515625" style="223" customWidth="1"/>
    <col min="13" max="13" width="17.42578125" style="223" bestFit="1" customWidth="1"/>
    <col min="14" max="16384" width="9.140625" style="223"/>
  </cols>
  <sheetData>
    <row r="1" spans="1:11" ht="174.75" customHeight="1" x14ac:dyDescent="0.4">
      <c r="H1" s="623" t="s">
        <v>445</v>
      </c>
      <c r="I1" s="623"/>
      <c r="J1" s="623"/>
      <c r="K1" s="623"/>
    </row>
    <row r="2" spans="1:11" ht="44.25" customHeight="1" x14ac:dyDescent="0.4">
      <c r="A2" s="224"/>
      <c r="H2" s="625" t="s">
        <v>452</v>
      </c>
      <c r="I2" s="625"/>
      <c r="J2" s="625"/>
      <c r="K2" s="625"/>
    </row>
    <row r="3" spans="1:11" ht="26.25" customHeight="1" x14ac:dyDescent="0.4">
      <c r="H3" s="288"/>
      <c r="I3" s="288"/>
      <c r="J3" s="288"/>
      <c r="K3" s="289"/>
    </row>
    <row r="4" spans="1:11" ht="82.5" customHeight="1" x14ac:dyDescent="0.3">
      <c r="A4" s="626" t="s">
        <v>446</v>
      </c>
      <c r="B4" s="626"/>
      <c r="C4" s="626"/>
      <c r="D4" s="626"/>
      <c r="E4" s="626"/>
      <c r="F4" s="626"/>
      <c r="G4" s="626"/>
      <c r="H4" s="626"/>
      <c r="I4" s="626"/>
      <c r="J4" s="626"/>
      <c r="K4" s="626"/>
    </row>
    <row r="5" spans="1:11" ht="15.75" customHeight="1" x14ac:dyDescent="0.3">
      <c r="A5" s="225"/>
    </row>
    <row r="6" spans="1:11" x14ac:dyDescent="0.3">
      <c r="A6" s="627" t="s">
        <v>114</v>
      </c>
      <c r="B6" s="627" t="s">
        <v>94</v>
      </c>
      <c r="C6" s="627" t="s">
        <v>115</v>
      </c>
      <c r="D6" s="627"/>
      <c r="E6" s="627"/>
      <c r="F6" s="627" t="s">
        <v>440</v>
      </c>
      <c r="G6" s="627"/>
      <c r="H6" s="627"/>
      <c r="I6" s="627" t="s">
        <v>116</v>
      </c>
      <c r="J6" s="627"/>
      <c r="K6" s="627"/>
    </row>
    <row r="7" spans="1:11" x14ac:dyDescent="0.3">
      <c r="A7" s="627"/>
      <c r="B7" s="627"/>
      <c r="C7" s="627"/>
      <c r="D7" s="627"/>
      <c r="E7" s="627"/>
      <c r="F7" s="627"/>
      <c r="G7" s="627"/>
      <c r="H7" s="627"/>
      <c r="I7" s="627"/>
      <c r="J7" s="627"/>
      <c r="K7" s="627"/>
    </row>
    <row r="8" spans="1:11" x14ac:dyDescent="0.3">
      <c r="A8" s="627"/>
      <c r="B8" s="627"/>
      <c r="C8" s="628" t="s">
        <v>102</v>
      </c>
      <c r="D8" s="628" t="s">
        <v>117</v>
      </c>
      <c r="E8" s="628"/>
      <c r="F8" s="628" t="s">
        <v>102</v>
      </c>
      <c r="G8" s="628" t="s">
        <v>117</v>
      </c>
      <c r="H8" s="628"/>
      <c r="I8" s="628" t="s">
        <v>102</v>
      </c>
      <c r="J8" s="628" t="s">
        <v>117</v>
      </c>
      <c r="K8" s="628"/>
    </row>
    <row r="9" spans="1:11" ht="40.5" x14ac:dyDescent="0.3">
      <c r="A9" s="627"/>
      <c r="B9" s="627"/>
      <c r="C9" s="628"/>
      <c r="D9" s="226" t="s">
        <v>118</v>
      </c>
      <c r="E9" s="226" t="s">
        <v>119</v>
      </c>
      <c r="F9" s="628"/>
      <c r="G9" s="226" t="s">
        <v>118</v>
      </c>
      <c r="H9" s="226" t="s">
        <v>119</v>
      </c>
      <c r="I9" s="628"/>
      <c r="J9" s="226" t="s">
        <v>118</v>
      </c>
      <c r="K9" s="226" t="s">
        <v>119</v>
      </c>
    </row>
    <row r="10" spans="1:11" x14ac:dyDescent="0.3">
      <c r="A10" s="227">
        <v>1</v>
      </c>
      <c r="B10" s="228">
        <v>2</v>
      </c>
      <c r="C10" s="226">
        <v>3</v>
      </c>
      <c r="D10" s="226">
        <v>4</v>
      </c>
      <c r="E10" s="226">
        <v>5</v>
      </c>
      <c r="F10" s="226">
        <v>6</v>
      </c>
      <c r="G10" s="226">
        <v>7</v>
      </c>
      <c r="H10" s="226">
        <v>8</v>
      </c>
      <c r="I10" s="226">
        <v>9</v>
      </c>
      <c r="J10" s="226">
        <v>10</v>
      </c>
      <c r="K10" s="226">
        <v>11</v>
      </c>
    </row>
    <row r="11" spans="1:11" ht="46.5" x14ac:dyDescent="0.3">
      <c r="A11" s="229" t="s">
        <v>347</v>
      </c>
      <c r="B11" s="198">
        <f>B14+B163+B249+B291</f>
        <v>380047777.42790401</v>
      </c>
      <c r="C11" s="198">
        <f t="shared" ref="C11:K11" si="0">C14+C163+C249+C291</f>
        <v>294924934</v>
      </c>
      <c r="D11" s="198">
        <f t="shared" si="0"/>
        <v>195331864</v>
      </c>
      <c r="E11" s="198">
        <f t="shared" si="0"/>
        <v>99593070.000000015</v>
      </c>
      <c r="F11" s="198">
        <f t="shared" si="0"/>
        <v>42037884.703999996</v>
      </c>
      <c r="G11" s="198">
        <f t="shared" si="0"/>
        <v>42037884.703999996</v>
      </c>
      <c r="H11" s="198">
        <f t="shared" si="0"/>
        <v>0</v>
      </c>
      <c r="I11" s="198">
        <f t="shared" si="0"/>
        <v>43084958.723903999</v>
      </c>
      <c r="J11" s="198">
        <f t="shared" si="0"/>
        <v>43084958.723903999</v>
      </c>
      <c r="K11" s="198">
        <f t="shared" si="0"/>
        <v>0</v>
      </c>
    </row>
    <row r="12" spans="1:11" ht="45.75" customHeight="1" x14ac:dyDescent="0.3">
      <c r="A12" s="624" t="s">
        <v>156</v>
      </c>
      <c r="B12" s="624"/>
      <c r="C12" s="624"/>
      <c r="D12" s="624"/>
      <c r="E12" s="624"/>
      <c r="F12" s="624"/>
      <c r="G12" s="624"/>
      <c r="H12" s="624"/>
      <c r="I12" s="624"/>
      <c r="J12" s="624"/>
      <c r="K12" s="624"/>
    </row>
    <row r="13" spans="1:11" ht="22.5" x14ac:dyDescent="0.3">
      <c r="A13" s="610" t="s">
        <v>283</v>
      </c>
      <c r="B13" s="610"/>
      <c r="C13" s="610"/>
      <c r="D13" s="610"/>
      <c r="E13" s="610"/>
      <c r="F13" s="610"/>
      <c r="G13" s="610"/>
      <c r="H13" s="610"/>
      <c r="I13" s="610"/>
      <c r="J13" s="610"/>
      <c r="K13" s="610"/>
    </row>
    <row r="14" spans="1:11" ht="22.5" x14ac:dyDescent="0.3">
      <c r="A14" s="230" t="s">
        <v>323</v>
      </c>
      <c r="B14" s="199">
        <f>B18+B23+B28+B37+B42+B47+B52+B61+B76+B85+B93+B104+B111+B125+B137+B147+B154+B159+B120</f>
        <v>184575222.87750399</v>
      </c>
      <c r="C14" s="199">
        <f t="shared" ref="C14:K14" si="1">C18+C23+C28+C37+C42+C47+C52+C61+C76+C85+C93+C104+C111+C125+C137+C147+C154+C159+C120</f>
        <v>146403464</v>
      </c>
      <c r="D14" s="199">
        <f t="shared" si="1"/>
        <v>146403464</v>
      </c>
      <c r="E14" s="199">
        <f t="shared" si="1"/>
        <v>0</v>
      </c>
      <c r="F14" s="199">
        <f t="shared" si="1"/>
        <v>19219854.304000001</v>
      </c>
      <c r="G14" s="199">
        <f t="shared" si="1"/>
        <v>19219854.304000001</v>
      </c>
      <c r="H14" s="199">
        <f t="shared" si="1"/>
        <v>0</v>
      </c>
      <c r="I14" s="199">
        <f t="shared" si="1"/>
        <v>18951904.573504001</v>
      </c>
      <c r="J14" s="199">
        <f t="shared" si="1"/>
        <v>18951904.573504001</v>
      </c>
      <c r="K14" s="199">
        <f t="shared" si="1"/>
        <v>0</v>
      </c>
    </row>
    <row r="15" spans="1:11" ht="22.5" x14ac:dyDescent="0.3">
      <c r="A15" s="231" t="s">
        <v>122</v>
      </c>
      <c r="B15" s="611"/>
      <c r="C15" s="612"/>
      <c r="D15" s="612"/>
      <c r="E15" s="612"/>
      <c r="F15" s="612"/>
      <c r="G15" s="612"/>
      <c r="H15" s="612"/>
      <c r="I15" s="612"/>
      <c r="J15" s="612"/>
      <c r="K15" s="613"/>
    </row>
    <row r="16" spans="1:11" ht="23.25" x14ac:dyDescent="0.3">
      <c r="A16" s="232" t="s">
        <v>120</v>
      </c>
      <c r="B16" s="622" t="s">
        <v>302</v>
      </c>
      <c r="C16" s="622"/>
      <c r="D16" s="622"/>
      <c r="E16" s="622"/>
      <c r="F16" s="622"/>
      <c r="G16" s="622"/>
      <c r="H16" s="622"/>
      <c r="I16" s="622"/>
      <c r="J16" s="622"/>
      <c r="K16" s="622"/>
    </row>
    <row r="17" spans="1:11" ht="20.25" customHeight="1" x14ac:dyDescent="0.3">
      <c r="A17" s="233" t="s">
        <v>165</v>
      </c>
      <c r="B17" s="603" t="s">
        <v>166</v>
      </c>
      <c r="C17" s="604"/>
      <c r="D17" s="604"/>
      <c r="E17" s="604"/>
      <c r="F17" s="604"/>
      <c r="G17" s="604"/>
      <c r="H17" s="604"/>
      <c r="I17" s="604"/>
      <c r="J17" s="604"/>
      <c r="K17" s="605"/>
    </row>
    <row r="18" spans="1:11" ht="22.5" x14ac:dyDescent="0.3">
      <c r="A18" s="207" t="s">
        <v>125</v>
      </c>
      <c r="B18" s="198">
        <f>C18+F18+I18</f>
        <v>240000</v>
      </c>
      <c r="C18" s="200">
        <f>D18+E18</f>
        <v>240000</v>
      </c>
      <c r="D18" s="200">
        <f>'Додаток 3'!I12*1000</f>
        <v>240000</v>
      </c>
      <c r="E18" s="200">
        <v>0</v>
      </c>
      <c r="F18" s="200">
        <f>G18+H18</f>
        <v>0</v>
      </c>
      <c r="G18" s="200">
        <v>0</v>
      </c>
      <c r="H18" s="200">
        <v>0</v>
      </c>
      <c r="I18" s="200">
        <f>J18+K18</f>
        <v>0</v>
      </c>
      <c r="J18" s="200">
        <v>0</v>
      </c>
      <c r="K18" s="200">
        <v>0</v>
      </c>
    </row>
    <row r="19" spans="1:11" ht="23.25" x14ac:dyDescent="0.3">
      <c r="A19" s="207" t="s">
        <v>385</v>
      </c>
      <c r="B19" s="198"/>
      <c r="C19" s="201">
        <v>2</v>
      </c>
      <c r="D19" s="200"/>
      <c r="E19" s="200"/>
      <c r="F19" s="201"/>
      <c r="G19" s="201"/>
      <c r="H19" s="201"/>
      <c r="I19" s="201"/>
      <c r="J19" s="200"/>
      <c r="K19" s="200"/>
    </row>
    <row r="20" spans="1:11" ht="46.5" x14ac:dyDescent="0.3">
      <c r="A20" s="207" t="s">
        <v>386</v>
      </c>
      <c r="B20" s="202"/>
      <c r="C20" s="203">
        <f>C18/C19</f>
        <v>120000</v>
      </c>
      <c r="D20" s="203"/>
      <c r="E20" s="203"/>
      <c r="F20" s="203"/>
      <c r="G20" s="203"/>
      <c r="H20" s="203"/>
      <c r="I20" s="203"/>
      <c r="J20" s="201"/>
      <c r="K20" s="200"/>
    </row>
    <row r="21" spans="1:11" ht="23.25" x14ac:dyDescent="0.3">
      <c r="A21" s="232" t="s">
        <v>120</v>
      </c>
      <c r="B21" s="622" t="s">
        <v>303</v>
      </c>
      <c r="C21" s="622"/>
      <c r="D21" s="622"/>
      <c r="E21" s="622"/>
      <c r="F21" s="622"/>
      <c r="G21" s="622"/>
      <c r="H21" s="622"/>
      <c r="I21" s="622"/>
      <c r="J21" s="622"/>
      <c r="K21" s="622"/>
    </row>
    <row r="22" spans="1:11" ht="20.25" customHeight="1" x14ac:dyDescent="0.3">
      <c r="A22" s="233" t="s">
        <v>165</v>
      </c>
      <c r="B22" s="603" t="s">
        <v>166</v>
      </c>
      <c r="C22" s="604"/>
      <c r="D22" s="604"/>
      <c r="E22" s="604"/>
      <c r="F22" s="604"/>
      <c r="G22" s="604"/>
      <c r="H22" s="604"/>
      <c r="I22" s="604"/>
      <c r="J22" s="604"/>
      <c r="K22" s="605"/>
    </row>
    <row r="23" spans="1:11" ht="22.5" x14ac:dyDescent="0.3">
      <c r="A23" s="207" t="s">
        <v>125</v>
      </c>
      <c r="B23" s="198">
        <f>C23+F23+I23</f>
        <v>1672500</v>
      </c>
      <c r="C23" s="200">
        <f>D23+E23</f>
        <v>1672500</v>
      </c>
      <c r="D23" s="200">
        <f>'Додаток 3'!I15*1000</f>
        <v>1672500</v>
      </c>
      <c r="E23" s="200">
        <v>0</v>
      </c>
      <c r="F23" s="200">
        <f>G23+H23</f>
        <v>0</v>
      </c>
      <c r="G23" s="200">
        <f>'Додаток 3'!J26*1000</f>
        <v>0</v>
      </c>
      <c r="H23" s="200">
        <v>0</v>
      </c>
      <c r="I23" s="200">
        <f>J23+K23</f>
        <v>0</v>
      </c>
      <c r="J23" s="200">
        <f>'Додаток 3'!K26*1000</f>
        <v>0</v>
      </c>
      <c r="K23" s="200">
        <v>0</v>
      </c>
    </row>
    <row r="24" spans="1:11" ht="23.25" x14ac:dyDescent="0.3">
      <c r="A24" s="207" t="s">
        <v>385</v>
      </c>
      <c r="B24" s="198"/>
      <c r="C24" s="201">
        <v>2</v>
      </c>
      <c r="D24" s="200"/>
      <c r="E24" s="200"/>
      <c r="F24" s="201">
        <v>2</v>
      </c>
      <c r="G24" s="201"/>
      <c r="H24" s="201"/>
      <c r="I24" s="201">
        <v>2</v>
      </c>
      <c r="J24" s="200"/>
      <c r="K24" s="200"/>
    </row>
    <row r="25" spans="1:11" ht="46.5" x14ac:dyDescent="0.3">
      <c r="A25" s="207" t="s">
        <v>386</v>
      </c>
      <c r="B25" s="202"/>
      <c r="C25" s="203">
        <f>C23/C24</f>
        <v>836250</v>
      </c>
      <c r="D25" s="203"/>
      <c r="E25" s="203"/>
      <c r="F25" s="203">
        <f>F23/F24</f>
        <v>0</v>
      </c>
      <c r="G25" s="203"/>
      <c r="H25" s="203"/>
      <c r="I25" s="203">
        <f>I23/I24</f>
        <v>0</v>
      </c>
      <c r="J25" s="201"/>
      <c r="K25" s="200"/>
    </row>
    <row r="26" spans="1:11" ht="23.25" x14ac:dyDescent="0.3">
      <c r="A26" s="232" t="s">
        <v>120</v>
      </c>
      <c r="B26" s="622" t="s">
        <v>405</v>
      </c>
      <c r="C26" s="622"/>
      <c r="D26" s="622"/>
      <c r="E26" s="622"/>
      <c r="F26" s="622"/>
      <c r="G26" s="622"/>
      <c r="H26" s="622"/>
      <c r="I26" s="622"/>
      <c r="J26" s="622"/>
      <c r="K26" s="622"/>
    </row>
    <row r="27" spans="1:11" ht="20.25" customHeight="1" x14ac:dyDescent="0.3">
      <c r="A27" s="233" t="s">
        <v>165</v>
      </c>
      <c r="B27" s="603" t="s">
        <v>166</v>
      </c>
      <c r="C27" s="604"/>
      <c r="D27" s="604"/>
      <c r="E27" s="604"/>
      <c r="F27" s="604"/>
      <c r="G27" s="604"/>
      <c r="H27" s="604"/>
      <c r="I27" s="604"/>
      <c r="J27" s="604"/>
      <c r="K27" s="605"/>
    </row>
    <row r="28" spans="1:11" ht="22.5" x14ac:dyDescent="0.3">
      <c r="A28" s="207" t="s">
        <v>125</v>
      </c>
      <c r="B28" s="198">
        <f>C28+F28+I28</f>
        <v>3424823.0208000001</v>
      </c>
      <c r="C28" s="200">
        <f>D28+E28</f>
        <v>1081800</v>
      </c>
      <c r="D28" s="200">
        <f>'Додаток 3'!I18*1000</f>
        <v>1081800</v>
      </c>
      <c r="E28" s="200">
        <v>0</v>
      </c>
      <c r="F28" s="200">
        <f>G28+H28</f>
        <v>1142380.7999999998</v>
      </c>
      <c r="G28" s="200">
        <f>'Додаток 3'!J18*1000</f>
        <v>1142380.7999999998</v>
      </c>
      <c r="H28" s="200">
        <v>0</v>
      </c>
      <c r="I28" s="200">
        <f>J28+K28</f>
        <v>1200642.2208</v>
      </c>
      <c r="J28" s="200">
        <f>'Додаток 3'!K21*1000</f>
        <v>1200642.2208</v>
      </c>
      <c r="K28" s="200">
        <v>0</v>
      </c>
    </row>
    <row r="29" spans="1:11" ht="23.25" x14ac:dyDescent="0.3">
      <c r="A29" s="207" t="s">
        <v>305</v>
      </c>
      <c r="B29" s="198"/>
      <c r="C29" s="201"/>
      <c r="D29" s="200"/>
      <c r="E29" s="200"/>
      <c r="F29" s="201"/>
      <c r="G29" s="201"/>
      <c r="H29" s="201"/>
      <c r="I29" s="201"/>
      <c r="J29" s="200"/>
      <c r="K29" s="200"/>
    </row>
    <row r="30" spans="1:11" ht="26.25" customHeight="1" x14ac:dyDescent="0.35">
      <c r="A30" s="234" t="s">
        <v>306</v>
      </c>
      <c r="B30" s="198"/>
      <c r="C30" s="201">
        <v>42186</v>
      </c>
      <c r="D30" s="200"/>
      <c r="E30" s="200"/>
      <c r="F30" s="201">
        <v>42186</v>
      </c>
      <c r="G30" s="204"/>
      <c r="H30" s="201"/>
      <c r="I30" s="201">
        <v>42186</v>
      </c>
      <c r="J30" s="204"/>
      <c r="K30" s="200"/>
    </row>
    <row r="31" spans="1:11" ht="23.25" x14ac:dyDescent="0.35">
      <c r="A31" s="234" t="s">
        <v>307</v>
      </c>
      <c r="B31" s="198"/>
      <c r="C31" s="201">
        <v>42186</v>
      </c>
      <c r="D31" s="200"/>
      <c r="E31" s="200"/>
      <c r="F31" s="201">
        <v>42186</v>
      </c>
      <c r="G31" s="204"/>
      <c r="H31" s="201"/>
      <c r="I31" s="201">
        <v>42186</v>
      </c>
      <c r="J31" s="204"/>
      <c r="K31" s="200"/>
    </row>
    <row r="32" spans="1:11" ht="23.25" x14ac:dyDescent="0.35">
      <c r="A32" s="207" t="s">
        <v>304</v>
      </c>
      <c r="B32" s="202"/>
      <c r="C32" s="203"/>
      <c r="D32" s="203"/>
      <c r="E32" s="203"/>
      <c r="F32" s="203"/>
      <c r="G32" s="204"/>
      <c r="H32" s="203"/>
      <c r="I32" s="201"/>
      <c r="J32" s="204"/>
      <c r="K32" s="200"/>
    </row>
    <row r="33" spans="1:11" ht="23.25" x14ac:dyDescent="0.35">
      <c r="A33" s="234" t="s">
        <v>308</v>
      </c>
      <c r="B33" s="202"/>
      <c r="C33" s="203">
        <f>C28/C30</f>
        <v>25.643578438344473</v>
      </c>
      <c r="D33" s="203"/>
      <c r="E33" s="203"/>
      <c r="F33" s="203">
        <f>G28/F30</f>
        <v>27.079618830891761</v>
      </c>
      <c r="G33" s="204"/>
      <c r="H33" s="203"/>
      <c r="I33" s="203">
        <f>J28/I30</f>
        <v>28.460679391267245</v>
      </c>
      <c r="J33" s="204"/>
      <c r="K33" s="200"/>
    </row>
    <row r="34" spans="1:11" ht="23.25" customHeight="1" x14ac:dyDescent="0.35">
      <c r="A34" s="234" t="s">
        <v>186</v>
      </c>
      <c r="B34" s="202"/>
      <c r="C34" s="203">
        <f>C31/C30*100</f>
        <v>100</v>
      </c>
      <c r="D34" s="203"/>
      <c r="E34" s="203"/>
      <c r="F34" s="203">
        <f>F31/F30*100</f>
        <v>100</v>
      </c>
      <c r="G34" s="204"/>
      <c r="H34" s="203"/>
      <c r="I34" s="203">
        <f>I31/I30*100</f>
        <v>100</v>
      </c>
      <c r="J34" s="204"/>
      <c r="K34" s="200"/>
    </row>
    <row r="35" spans="1:11" ht="23.25" x14ac:dyDescent="0.3">
      <c r="A35" s="232" t="s">
        <v>120</v>
      </c>
      <c r="B35" s="622" t="s">
        <v>309</v>
      </c>
      <c r="C35" s="622"/>
      <c r="D35" s="622"/>
      <c r="E35" s="622"/>
      <c r="F35" s="622"/>
      <c r="G35" s="622"/>
      <c r="H35" s="622"/>
      <c r="I35" s="622"/>
      <c r="J35" s="622"/>
      <c r="K35" s="622"/>
    </row>
    <row r="36" spans="1:11" ht="22.5" x14ac:dyDescent="0.3">
      <c r="A36" s="233" t="s">
        <v>123</v>
      </c>
      <c r="B36" s="614" t="s">
        <v>124</v>
      </c>
      <c r="C36" s="614"/>
      <c r="D36" s="614"/>
      <c r="E36" s="614"/>
      <c r="F36" s="614"/>
      <c r="G36" s="614"/>
      <c r="H36" s="614"/>
      <c r="I36" s="614"/>
      <c r="J36" s="614"/>
      <c r="K36" s="614"/>
    </row>
    <row r="37" spans="1:11" ht="22.5" x14ac:dyDescent="0.3">
      <c r="A37" s="207" t="s">
        <v>125</v>
      </c>
      <c r="B37" s="198">
        <f>C37+F37+I37</f>
        <v>78296830</v>
      </c>
      <c r="C37" s="200">
        <f>D37+E37</f>
        <v>78296830</v>
      </c>
      <c r="D37" s="200">
        <f>'Додаток 3'!I24*1000</f>
        <v>78296830</v>
      </c>
      <c r="E37" s="200">
        <v>0</v>
      </c>
      <c r="F37" s="200">
        <f>G37+H37</f>
        <v>0</v>
      </c>
      <c r="G37" s="200">
        <v>0</v>
      </c>
      <c r="H37" s="200">
        <v>0</v>
      </c>
      <c r="I37" s="200">
        <v>0</v>
      </c>
      <c r="J37" s="200">
        <v>0</v>
      </c>
      <c r="K37" s="200">
        <v>0</v>
      </c>
    </row>
    <row r="38" spans="1:11" ht="23.25" x14ac:dyDescent="0.3">
      <c r="A38" s="207" t="s">
        <v>385</v>
      </c>
      <c r="B38" s="198"/>
      <c r="C38" s="201">
        <v>4</v>
      </c>
      <c r="D38" s="200"/>
      <c r="E38" s="200"/>
      <c r="F38" s="201"/>
      <c r="G38" s="201"/>
      <c r="H38" s="201"/>
      <c r="I38" s="201"/>
      <c r="J38" s="200"/>
      <c r="K38" s="200"/>
    </row>
    <row r="39" spans="1:11" ht="46.5" x14ac:dyDescent="0.3">
      <c r="A39" s="207" t="s">
        <v>386</v>
      </c>
      <c r="B39" s="202"/>
      <c r="C39" s="203">
        <f>C37/C38</f>
        <v>19574207.5</v>
      </c>
      <c r="D39" s="203"/>
      <c r="E39" s="203"/>
      <c r="F39" s="203"/>
      <c r="G39" s="203"/>
      <c r="H39" s="203"/>
      <c r="I39" s="203"/>
      <c r="J39" s="201"/>
      <c r="K39" s="200"/>
    </row>
    <row r="40" spans="1:11" ht="23.25" x14ac:dyDescent="0.3">
      <c r="A40" s="232" t="s">
        <v>120</v>
      </c>
      <c r="B40" s="622" t="s">
        <v>310</v>
      </c>
      <c r="C40" s="622"/>
      <c r="D40" s="622"/>
      <c r="E40" s="622"/>
      <c r="F40" s="622"/>
      <c r="G40" s="622"/>
      <c r="H40" s="622"/>
      <c r="I40" s="622"/>
      <c r="J40" s="622"/>
      <c r="K40" s="622"/>
    </row>
    <row r="41" spans="1:11" ht="22.5" x14ac:dyDescent="0.3">
      <c r="A41" s="233" t="s">
        <v>123</v>
      </c>
      <c r="B41" s="614" t="s">
        <v>124</v>
      </c>
      <c r="C41" s="614"/>
      <c r="D41" s="614"/>
      <c r="E41" s="614"/>
      <c r="F41" s="614"/>
      <c r="G41" s="614"/>
      <c r="H41" s="614"/>
      <c r="I41" s="614"/>
      <c r="J41" s="614"/>
      <c r="K41" s="614"/>
    </row>
    <row r="42" spans="1:11" ht="22.5" x14ac:dyDescent="0.3">
      <c r="A42" s="207" t="s">
        <v>125</v>
      </c>
      <c r="B42" s="198">
        <f>C42+F42+I42</f>
        <v>19074800</v>
      </c>
      <c r="C42" s="200">
        <f>D42+E42</f>
        <v>19074800</v>
      </c>
      <c r="D42" s="200">
        <f>'Додаток 3'!I37*1000</f>
        <v>19074800</v>
      </c>
      <c r="E42" s="200">
        <v>0</v>
      </c>
      <c r="F42" s="200">
        <f>G42+H42</f>
        <v>0</v>
      </c>
      <c r="G42" s="200">
        <v>0</v>
      </c>
      <c r="H42" s="200">
        <v>0</v>
      </c>
      <c r="I42" s="200">
        <v>0</v>
      </c>
      <c r="J42" s="200">
        <v>0</v>
      </c>
      <c r="K42" s="200">
        <v>0</v>
      </c>
    </row>
    <row r="43" spans="1:11" ht="23.25" x14ac:dyDescent="0.3">
      <c r="A43" s="207" t="s">
        <v>385</v>
      </c>
      <c r="B43" s="198"/>
      <c r="C43" s="201">
        <v>4</v>
      </c>
      <c r="D43" s="200"/>
      <c r="E43" s="200"/>
      <c r="F43" s="201"/>
      <c r="G43" s="201"/>
      <c r="H43" s="201"/>
      <c r="I43" s="201"/>
      <c r="J43" s="200"/>
      <c r="K43" s="200"/>
    </row>
    <row r="44" spans="1:11" ht="46.5" x14ac:dyDescent="0.3">
      <c r="A44" s="207" t="s">
        <v>386</v>
      </c>
      <c r="B44" s="202"/>
      <c r="C44" s="203">
        <f>C42/C43</f>
        <v>4768700</v>
      </c>
      <c r="D44" s="203"/>
      <c r="E44" s="203"/>
      <c r="F44" s="203"/>
      <c r="G44" s="203"/>
      <c r="H44" s="203"/>
      <c r="I44" s="203"/>
      <c r="J44" s="201"/>
      <c r="K44" s="200"/>
    </row>
    <row r="45" spans="1:11" ht="23.25" x14ac:dyDescent="0.3">
      <c r="A45" s="232" t="s">
        <v>120</v>
      </c>
      <c r="B45" s="622" t="s">
        <v>311</v>
      </c>
      <c r="C45" s="622"/>
      <c r="D45" s="622"/>
      <c r="E45" s="622"/>
      <c r="F45" s="622"/>
      <c r="G45" s="622"/>
      <c r="H45" s="622"/>
      <c r="I45" s="622"/>
      <c r="J45" s="622"/>
      <c r="K45" s="622"/>
    </row>
    <row r="46" spans="1:11" ht="22.5" x14ac:dyDescent="0.3">
      <c r="A46" s="233" t="s">
        <v>123</v>
      </c>
      <c r="B46" s="614" t="s">
        <v>124</v>
      </c>
      <c r="C46" s="614"/>
      <c r="D46" s="614"/>
      <c r="E46" s="614"/>
      <c r="F46" s="614"/>
      <c r="G46" s="614"/>
      <c r="H46" s="614"/>
      <c r="I46" s="614"/>
      <c r="J46" s="614"/>
      <c r="K46" s="614"/>
    </row>
    <row r="47" spans="1:11" ht="22.5" x14ac:dyDescent="0.3">
      <c r="A47" s="207" t="s">
        <v>125</v>
      </c>
      <c r="B47" s="198">
        <f>C47+F47+I47</f>
        <v>16586303.4848</v>
      </c>
      <c r="C47" s="200">
        <f>D47+E47</f>
        <v>5240900</v>
      </c>
      <c r="D47" s="200">
        <f>'Додаток 3'!I42*1000</f>
        <v>5240900</v>
      </c>
      <c r="E47" s="200">
        <v>0</v>
      </c>
      <c r="F47" s="200">
        <f>G47+H47</f>
        <v>5531644.8000000007</v>
      </c>
      <c r="G47" s="200">
        <f>'Додаток 3'!J42*1000</f>
        <v>5531644.8000000007</v>
      </c>
      <c r="H47" s="200">
        <v>0</v>
      </c>
      <c r="I47" s="200">
        <f>J47+K47</f>
        <v>5813758.6847999999</v>
      </c>
      <c r="J47" s="200">
        <f>'Додаток 3'!K42*1000</f>
        <v>5813758.6847999999</v>
      </c>
      <c r="K47" s="200">
        <v>0</v>
      </c>
    </row>
    <row r="48" spans="1:11" ht="51" customHeight="1" x14ac:dyDescent="0.3">
      <c r="A48" s="207" t="s">
        <v>387</v>
      </c>
      <c r="B48" s="198"/>
      <c r="C48" s="201">
        <v>439112</v>
      </c>
      <c r="D48" s="200"/>
      <c r="E48" s="200"/>
      <c r="F48" s="201">
        <v>439112</v>
      </c>
      <c r="G48" s="201"/>
      <c r="H48" s="201"/>
      <c r="I48" s="201">
        <v>439112</v>
      </c>
      <c r="J48" s="200"/>
      <c r="K48" s="200"/>
    </row>
    <row r="49" spans="1:11" ht="51" customHeight="1" x14ac:dyDescent="0.3">
      <c r="A49" s="207" t="s">
        <v>415</v>
      </c>
      <c r="B49" s="202"/>
      <c r="C49" s="203">
        <f>C47/C48</f>
        <v>11.935223815336407</v>
      </c>
      <c r="D49" s="203"/>
      <c r="E49" s="203"/>
      <c r="F49" s="203">
        <f t="shared" ref="F49:I49" si="2">F47/F48</f>
        <v>12.597343730073423</v>
      </c>
      <c r="G49" s="203"/>
      <c r="H49" s="203"/>
      <c r="I49" s="203">
        <f t="shared" si="2"/>
        <v>13.239808260307166</v>
      </c>
      <c r="J49" s="201"/>
      <c r="K49" s="200"/>
    </row>
    <row r="50" spans="1:11" ht="23.25" x14ac:dyDescent="0.3">
      <c r="A50" s="232" t="s">
        <v>120</v>
      </c>
      <c r="B50" s="622" t="s">
        <v>54</v>
      </c>
      <c r="C50" s="622"/>
      <c r="D50" s="622"/>
      <c r="E50" s="622"/>
      <c r="F50" s="622"/>
      <c r="G50" s="622"/>
      <c r="H50" s="622"/>
      <c r="I50" s="622"/>
      <c r="J50" s="622"/>
      <c r="K50" s="622"/>
    </row>
    <row r="51" spans="1:11" ht="22.5" x14ac:dyDescent="0.3">
      <c r="A51" s="233" t="s">
        <v>123</v>
      </c>
      <c r="B51" s="614" t="s">
        <v>124</v>
      </c>
      <c r="C51" s="614"/>
      <c r="D51" s="614"/>
      <c r="E51" s="614"/>
      <c r="F51" s="614"/>
      <c r="G51" s="614"/>
      <c r="H51" s="614"/>
      <c r="I51" s="614"/>
      <c r="J51" s="614"/>
      <c r="K51" s="614"/>
    </row>
    <row r="52" spans="1:11" ht="22.5" x14ac:dyDescent="0.3">
      <c r="A52" s="207" t="s">
        <v>125</v>
      </c>
      <c r="B52" s="198">
        <f>C52+F52+I52</f>
        <v>2184440.6399999997</v>
      </c>
      <c r="C52" s="200">
        <f>D52+E52</f>
        <v>690000</v>
      </c>
      <c r="D52" s="200">
        <f>'Додаток 3'!I48*1000</f>
        <v>690000</v>
      </c>
      <c r="E52" s="200">
        <v>0</v>
      </c>
      <c r="F52" s="200">
        <f>G52+H52</f>
        <v>728640</v>
      </c>
      <c r="G52" s="200">
        <f>'Додаток 3'!J48*1000</f>
        <v>728640</v>
      </c>
      <c r="H52" s="200">
        <v>0</v>
      </c>
      <c r="I52" s="200">
        <f>J52+K52</f>
        <v>765800.6399999999</v>
      </c>
      <c r="J52" s="200">
        <f>'Додаток 3'!K48*1000</f>
        <v>765800.6399999999</v>
      </c>
      <c r="K52" s="200">
        <v>0</v>
      </c>
    </row>
    <row r="53" spans="1:11" ht="24" customHeight="1" x14ac:dyDescent="0.3">
      <c r="A53" s="207" t="s">
        <v>305</v>
      </c>
      <c r="B53" s="198"/>
      <c r="C53" s="201"/>
      <c r="D53" s="200"/>
      <c r="E53" s="200"/>
      <c r="F53" s="201"/>
      <c r="G53" s="201"/>
      <c r="H53" s="201"/>
      <c r="I53" s="201"/>
      <c r="J53" s="200"/>
      <c r="K53" s="200"/>
    </row>
    <row r="54" spans="1:11" ht="24" customHeight="1" x14ac:dyDescent="0.3">
      <c r="A54" s="234" t="s">
        <v>312</v>
      </c>
      <c r="B54" s="198"/>
      <c r="C54" s="201">
        <v>170</v>
      </c>
      <c r="D54" s="200"/>
      <c r="E54" s="200"/>
      <c r="F54" s="201">
        <v>170</v>
      </c>
      <c r="G54" s="201"/>
      <c r="H54" s="201"/>
      <c r="I54" s="201">
        <v>170</v>
      </c>
      <c r="J54" s="200"/>
      <c r="K54" s="200"/>
    </row>
    <row r="55" spans="1:11" ht="24" customHeight="1" x14ac:dyDescent="0.3">
      <c r="A55" s="234" t="s">
        <v>313</v>
      </c>
      <c r="B55" s="198"/>
      <c r="C55" s="201">
        <v>170</v>
      </c>
      <c r="D55" s="200"/>
      <c r="E55" s="200"/>
      <c r="F55" s="201">
        <v>170</v>
      </c>
      <c r="G55" s="201"/>
      <c r="H55" s="201"/>
      <c r="I55" s="201">
        <v>170</v>
      </c>
      <c r="J55" s="200"/>
      <c r="K55" s="200"/>
    </row>
    <row r="56" spans="1:11" ht="23.25" x14ac:dyDescent="0.3">
      <c r="A56" s="207" t="s">
        <v>304</v>
      </c>
      <c r="B56" s="202"/>
      <c r="C56" s="203"/>
      <c r="D56" s="203"/>
      <c r="E56" s="203"/>
      <c r="F56" s="203"/>
      <c r="G56" s="203"/>
      <c r="H56" s="203"/>
      <c r="I56" s="203"/>
      <c r="J56" s="201"/>
      <c r="K56" s="200"/>
    </row>
    <row r="57" spans="1:11" ht="46.5" x14ac:dyDescent="0.3">
      <c r="A57" s="234" t="s">
        <v>314</v>
      </c>
      <c r="B57" s="202"/>
      <c r="C57" s="203">
        <f>C52/C54</f>
        <v>4058.8235294117649</v>
      </c>
      <c r="D57" s="203"/>
      <c r="E57" s="203"/>
      <c r="F57" s="203">
        <f t="shared" ref="F57:I57" si="3">F52/F54</f>
        <v>4286.1176470588234</v>
      </c>
      <c r="G57" s="203"/>
      <c r="H57" s="203"/>
      <c r="I57" s="203">
        <f t="shared" si="3"/>
        <v>4504.7096470588231</v>
      </c>
      <c r="J57" s="201"/>
      <c r="K57" s="200"/>
    </row>
    <row r="58" spans="1:11" ht="23.25" customHeight="1" x14ac:dyDescent="0.3">
      <c r="A58" s="234" t="s">
        <v>315</v>
      </c>
      <c r="B58" s="202"/>
      <c r="C58" s="203">
        <f>C55/C54*100</f>
        <v>100</v>
      </c>
      <c r="D58" s="203"/>
      <c r="E58" s="203"/>
      <c r="F58" s="203">
        <f t="shared" ref="F58:I58" si="4">F55/F54*100</f>
        <v>100</v>
      </c>
      <c r="G58" s="203"/>
      <c r="H58" s="203"/>
      <c r="I58" s="203">
        <f t="shared" si="4"/>
        <v>100</v>
      </c>
      <c r="J58" s="201"/>
      <c r="K58" s="200"/>
    </row>
    <row r="59" spans="1:11" ht="23.25" x14ac:dyDescent="0.3">
      <c r="A59" s="232" t="s">
        <v>120</v>
      </c>
      <c r="B59" s="622" t="s">
        <v>55</v>
      </c>
      <c r="C59" s="622"/>
      <c r="D59" s="622"/>
      <c r="E59" s="622"/>
      <c r="F59" s="622"/>
      <c r="G59" s="622"/>
      <c r="H59" s="622"/>
      <c r="I59" s="622"/>
      <c r="J59" s="622"/>
      <c r="K59" s="622"/>
    </row>
    <row r="60" spans="1:11" ht="22.5" x14ac:dyDescent="0.3">
      <c r="A60" s="233" t="s">
        <v>123</v>
      </c>
      <c r="B60" s="614" t="s">
        <v>124</v>
      </c>
      <c r="C60" s="614"/>
      <c r="D60" s="614"/>
      <c r="E60" s="614"/>
      <c r="F60" s="614"/>
      <c r="G60" s="614"/>
      <c r="H60" s="614"/>
      <c r="I60" s="614"/>
      <c r="J60" s="614"/>
      <c r="K60" s="614"/>
    </row>
    <row r="61" spans="1:11" ht="22.5" x14ac:dyDescent="0.3">
      <c r="A61" s="207" t="s">
        <v>125</v>
      </c>
      <c r="B61" s="198">
        <f>C61+F61+I61</f>
        <v>3799027.2</v>
      </c>
      <c r="C61" s="200">
        <f>D61+E61</f>
        <v>1200000</v>
      </c>
      <c r="D61" s="200">
        <f>'Додаток 3'!I49*1000</f>
        <v>1200000</v>
      </c>
      <c r="E61" s="200">
        <v>0</v>
      </c>
      <c r="F61" s="200">
        <f>G61+H61</f>
        <v>1267200</v>
      </c>
      <c r="G61" s="200">
        <f>'Додаток 3'!J49*1000</f>
        <v>1267200</v>
      </c>
      <c r="H61" s="200">
        <v>0</v>
      </c>
      <c r="I61" s="200">
        <f>J61+K61</f>
        <v>1331827.2</v>
      </c>
      <c r="J61" s="200">
        <f>'Додаток 3'!K49*1000</f>
        <v>1331827.2</v>
      </c>
      <c r="K61" s="200">
        <v>0</v>
      </c>
    </row>
    <row r="62" spans="1:11" ht="22.5" customHeight="1" x14ac:dyDescent="0.3">
      <c r="A62" s="235" t="s">
        <v>136</v>
      </c>
      <c r="B62" s="198"/>
      <c r="C62" s="200">
        <v>200000</v>
      </c>
      <c r="D62" s="200"/>
      <c r="E62" s="200"/>
      <c r="F62" s="200">
        <v>211200</v>
      </c>
      <c r="G62" s="200"/>
      <c r="H62" s="200"/>
      <c r="I62" s="200">
        <v>221971</v>
      </c>
      <c r="J62" s="200"/>
      <c r="K62" s="200"/>
    </row>
    <row r="63" spans="1:11" ht="46.5" x14ac:dyDescent="0.3">
      <c r="A63" s="235" t="s">
        <v>137</v>
      </c>
      <c r="B63" s="198"/>
      <c r="C63" s="200">
        <v>1000000</v>
      </c>
      <c r="D63" s="200"/>
      <c r="E63" s="200"/>
      <c r="F63" s="200">
        <v>1056000</v>
      </c>
      <c r="G63" s="200"/>
      <c r="H63" s="200"/>
      <c r="I63" s="200">
        <v>1109856</v>
      </c>
      <c r="J63" s="200"/>
      <c r="K63" s="200"/>
    </row>
    <row r="64" spans="1:11" ht="24" customHeight="1" x14ac:dyDescent="0.3">
      <c r="A64" s="207" t="s">
        <v>305</v>
      </c>
      <c r="B64" s="198"/>
      <c r="C64" s="201"/>
      <c r="D64" s="200"/>
      <c r="E64" s="200"/>
      <c r="F64" s="201"/>
      <c r="G64" s="201"/>
      <c r="H64" s="201"/>
      <c r="I64" s="201"/>
      <c r="J64" s="200"/>
      <c r="K64" s="200"/>
    </row>
    <row r="65" spans="1:11" ht="46.5" x14ac:dyDescent="0.35">
      <c r="A65" s="235" t="s">
        <v>138</v>
      </c>
      <c r="B65" s="205"/>
      <c r="C65" s="206">
        <v>30</v>
      </c>
      <c r="D65" s="201"/>
      <c r="E65" s="201"/>
      <c r="F65" s="206">
        <v>30</v>
      </c>
      <c r="G65" s="201"/>
      <c r="H65" s="201"/>
      <c r="I65" s="206">
        <v>30</v>
      </c>
      <c r="J65" s="201"/>
      <c r="K65" s="200"/>
    </row>
    <row r="66" spans="1:11" ht="46.5" x14ac:dyDescent="0.35">
      <c r="A66" s="235" t="s">
        <v>139</v>
      </c>
      <c r="B66" s="205"/>
      <c r="C66" s="206">
        <v>170</v>
      </c>
      <c r="D66" s="201"/>
      <c r="E66" s="201"/>
      <c r="F66" s="206">
        <v>170</v>
      </c>
      <c r="G66" s="201"/>
      <c r="H66" s="201"/>
      <c r="I66" s="206">
        <v>170</v>
      </c>
      <c r="J66" s="201"/>
      <c r="K66" s="200"/>
    </row>
    <row r="67" spans="1:11" ht="23.25" customHeight="1" x14ac:dyDescent="0.35">
      <c r="A67" s="235" t="s">
        <v>140</v>
      </c>
      <c r="B67" s="205"/>
      <c r="C67" s="206">
        <v>30</v>
      </c>
      <c r="D67" s="201"/>
      <c r="E67" s="201"/>
      <c r="F67" s="206">
        <v>30</v>
      </c>
      <c r="G67" s="201"/>
      <c r="H67" s="201"/>
      <c r="I67" s="206">
        <v>30</v>
      </c>
      <c r="J67" s="201"/>
      <c r="K67" s="200"/>
    </row>
    <row r="68" spans="1:11" ht="46.5" x14ac:dyDescent="0.35">
      <c r="A68" s="235" t="s">
        <v>141</v>
      </c>
      <c r="B68" s="205"/>
      <c r="C68" s="206">
        <v>55</v>
      </c>
      <c r="D68" s="201"/>
      <c r="E68" s="201"/>
      <c r="F68" s="206">
        <v>55</v>
      </c>
      <c r="G68" s="201"/>
      <c r="H68" s="201"/>
      <c r="I68" s="206">
        <v>55</v>
      </c>
      <c r="J68" s="201"/>
      <c r="K68" s="200"/>
    </row>
    <row r="69" spans="1:11" ht="23.25" x14ac:dyDescent="0.3">
      <c r="A69" s="207" t="s">
        <v>128</v>
      </c>
      <c r="B69" s="205"/>
      <c r="C69" s="201"/>
      <c r="D69" s="201"/>
      <c r="E69" s="201"/>
      <c r="F69" s="201"/>
      <c r="G69" s="201"/>
      <c r="H69" s="201"/>
      <c r="I69" s="201"/>
      <c r="J69" s="201"/>
      <c r="K69" s="200"/>
    </row>
    <row r="70" spans="1:11" ht="23.25" x14ac:dyDescent="0.3">
      <c r="A70" s="235" t="s">
        <v>142</v>
      </c>
      <c r="B70" s="205"/>
      <c r="C70" s="201">
        <f>C62/C65</f>
        <v>6666.666666666667</v>
      </c>
      <c r="D70" s="201"/>
      <c r="E70" s="201"/>
      <c r="F70" s="201">
        <f>F62/F65</f>
        <v>7040</v>
      </c>
      <c r="G70" s="201"/>
      <c r="H70" s="201"/>
      <c r="I70" s="201">
        <f>I62/I65</f>
        <v>7399.0333333333338</v>
      </c>
      <c r="J70" s="201"/>
      <c r="K70" s="200"/>
    </row>
    <row r="71" spans="1:11" ht="46.5" x14ac:dyDescent="0.3">
      <c r="A71" s="235" t="s">
        <v>143</v>
      </c>
      <c r="B71" s="205"/>
      <c r="C71" s="201">
        <f>C63/C68</f>
        <v>18181.81818181818</v>
      </c>
      <c r="D71" s="201"/>
      <c r="E71" s="201"/>
      <c r="F71" s="201">
        <f>F63/F68</f>
        <v>19200</v>
      </c>
      <c r="G71" s="201"/>
      <c r="H71" s="201"/>
      <c r="I71" s="201">
        <f>I63/I68</f>
        <v>20179.2</v>
      </c>
      <c r="J71" s="201"/>
      <c r="K71" s="200"/>
    </row>
    <row r="72" spans="1:11" ht="46.5" x14ac:dyDescent="0.3">
      <c r="A72" s="235" t="s">
        <v>144</v>
      </c>
      <c r="B72" s="205"/>
      <c r="C72" s="201">
        <f>C67/C65*100</f>
        <v>100</v>
      </c>
      <c r="D72" s="201"/>
      <c r="E72" s="201"/>
      <c r="F72" s="201">
        <f>F67/F65*100</f>
        <v>100</v>
      </c>
      <c r="G72" s="201"/>
      <c r="H72" s="201"/>
      <c r="I72" s="201">
        <f>I67/I65*100</f>
        <v>100</v>
      </c>
      <c r="J72" s="201"/>
      <c r="K72" s="200"/>
    </row>
    <row r="73" spans="1:11" ht="46.5" x14ac:dyDescent="0.3">
      <c r="A73" s="235" t="s">
        <v>145</v>
      </c>
      <c r="B73" s="205"/>
      <c r="C73" s="201">
        <f>C68/C66*100</f>
        <v>32.352941176470587</v>
      </c>
      <c r="D73" s="201"/>
      <c r="E73" s="201"/>
      <c r="F73" s="201">
        <f>F68/F66*100</f>
        <v>32.352941176470587</v>
      </c>
      <c r="G73" s="201"/>
      <c r="H73" s="201"/>
      <c r="I73" s="201">
        <f>I68/I66*100</f>
        <v>32.352941176470587</v>
      </c>
      <c r="J73" s="201"/>
      <c r="K73" s="200"/>
    </row>
    <row r="74" spans="1:11" ht="23.25" x14ac:dyDescent="0.3">
      <c r="A74" s="232" t="s">
        <v>120</v>
      </c>
      <c r="B74" s="633" t="s">
        <v>388</v>
      </c>
      <c r="C74" s="633"/>
      <c r="D74" s="633"/>
      <c r="E74" s="633"/>
      <c r="F74" s="633"/>
      <c r="G74" s="633"/>
      <c r="H74" s="633"/>
      <c r="I74" s="633"/>
      <c r="J74" s="633"/>
      <c r="K74" s="633"/>
    </row>
    <row r="75" spans="1:11" ht="22.5" x14ac:dyDescent="0.3">
      <c r="A75" s="233" t="s">
        <v>123</v>
      </c>
      <c r="B75" s="614" t="s">
        <v>124</v>
      </c>
      <c r="C75" s="614"/>
      <c r="D75" s="614"/>
      <c r="E75" s="614"/>
      <c r="F75" s="614"/>
      <c r="G75" s="614"/>
      <c r="H75" s="614"/>
      <c r="I75" s="614"/>
      <c r="J75" s="614"/>
      <c r="K75" s="614"/>
    </row>
    <row r="76" spans="1:11" ht="22.5" x14ac:dyDescent="0.3">
      <c r="A76" s="207" t="s">
        <v>125</v>
      </c>
      <c r="B76" s="198">
        <f>C76+F76+I76</f>
        <v>3165856</v>
      </c>
      <c r="C76" s="200">
        <f>D76+E76</f>
        <v>1000000</v>
      </c>
      <c r="D76" s="200">
        <f>'Додаток 3'!I50*1000</f>
        <v>1000000</v>
      </c>
      <c r="E76" s="200">
        <v>0</v>
      </c>
      <c r="F76" s="200">
        <f>G76+H76</f>
        <v>1056000</v>
      </c>
      <c r="G76" s="200">
        <f>'Додаток 3'!J50*1000</f>
        <v>1056000</v>
      </c>
      <c r="H76" s="200">
        <v>0</v>
      </c>
      <c r="I76" s="200">
        <f>J76+K76</f>
        <v>1109856</v>
      </c>
      <c r="J76" s="200">
        <f>'Додаток 3'!K50*1000</f>
        <v>1109856</v>
      </c>
      <c r="K76" s="200">
        <v>0</v>
      </c>
    </row>
    <row r="77" spans="1:11" ht="24" customHeight="1" x14ac:dyDescent="0.3">
      <c r="A77" s="207" t="s">
        <v>305</v>
      </c>
      <c r="B77" s="198"/>
      <c r="C77" s="201"/>
      <c r="D77" s="200"/>
      <c r="E77" s="200"/>
      <c r="F77" s="201"/>
      <c r="G77" s="201"/>
      <c r="H77" s="201"/>
      <c r="I77" s="201"/>
      <c r="J77" s="200"/>
      <c r="K77" s="200"/>
    </row>
    <row r="78" spans="1:11" ht="46.5" x14ac:dyDescent="0.35">
      <c r="A78" s="235" t="s">
        <v>146</v>
      </c>
      <c r="B78" s="205"/>
      <c r="C78" s="206">
        <v>750</v>
      </c>
      <c r="D78" s="201"/>
      <c r="E78" s="201"/>
      <c r="F78" s="206">
        <v>750</v>
      </c>
      <c r="G78" s="201"/>
      <c r="H78" s="201"/>
      <c r="I78" s="206">
        <v>750</v>
      </c>
      <c r="J78" s="201"/>
      <c r="K78" s="200"/>
    </row>
    <row r="79" spans="1:11" ht="23.25" x14ac:dyDescent="0.35">
      <c r="A79" s="235" t="s">
        <v>147</v>
      </c>
      <c r="B79" s="205"/>
      <c r="C79" s="206">
        <v>37</v>
      </c>
      <c r="D79" s="201"/>
      <c r="E79" s="201"/>
      <c r="F79" s="206">
        <v>37</v>
      </c>
      <c r="G79" s="201"/>
      <c r="H79" s="201"/>
      <c r="I79" s="206">
        <v>37</v>
      </c>
      <c r="J79" s="201"/>
      <c r="K79" s="200"/>
    </row>
    <row r="80" spans="1:11" ht="23.25" x14ac:dyDescent="0.3">
      <c r="A80" s="207" t="s">
        <v>128</v>
      </c>
      <c r="B80" s="205"/>
      <c r="C80" s="201"/>
      <c r="D80" s="201"/>
      <c r="E80" s="201"/>
      <c r="F80" s="201"/>
      <c r="G80" s="201"/>
      <c r="H80" s="201"/>
      <c r="I80" s="201"/>
      <c r="J80" s="201"/>
      <c r="K80" s="200"/>
    </row>
    <row r="81" spans="1:11" ht="26.25" customHeight="1" x14ac:dyDescent="0.3">
      <c r="A81" s="235" t="s">
        <v>142</v>
      </c>
      <c r="B81" s="205"/>
      <c r="C81" s="201">
        <f>C76/C79</f>
        <v>27027.027027027027</v>
      </c>
      <c r="D81" s="201"/>
      <c r="E81" s="201"/>
      <c r="F81" s="201">
        <f>F76/F79</f>
        <v>28540.54054054054</v>
      </c>
      <c r="G81" s="201"/>
      <c r="H81" s="201"/>
      <c r="I81" s="201">
        <f>I76/I79</f>
        <v>29996.108108108107</v>
      </c>
      <c r="J81" s="201"/>
      <c r="K81" s="200"/>
    </row>
    <row r="82" spans="1:11" ht="46.5" x14ac:dyDescent="0.3">
      <c r="A82" s="235" t="s">
        <v>148</v>
      </c>
      <c r="B82" s="205"/>
      <c r="C82" s="201">
        <f>C79/C78*100</f>
        <v>4.9333333333333336</v>
      </c>
      <c r="D82" s="201"/>
      <c r="E82" s="201"/>
      <c r="F82" s="201">
        <f>F79/F78*100</f>
        <v>4.9333333333333336</v>
      </c>
      <c r="G82" s="201"/>
      <c r="H82" s="201"/>
      <c r="I82" s="201">
        <f>I79/I78*100</f>
        <v>4.9333333333333336</v>
      </c>
      <c r="J82" s="201"/>
      <c r="K82" s="200"/>
    </row>
    <row r="83" spans="1:11" ht="23.25" x14ac:dyDescent="0.3">
      <c r="A83" s="232" t="s">
        <v>120</v>
      </c>
      <c r="B83" s="622" t="s">
        <v>414</v>
      </c>
      <c r="C83" s="622"/>
      <c r="D83" s="622"/>
      <c r="E83" s="622"/>
      <c r="F83" s="622"/>
      <c r="G83" s="622"/>
      <c r="H83" s="622"/>
      <c r="I83" s="622"/>
      <c r="J83" s="622"/>
      <c r="K83" s="622"/>
    </row>
    <row r="84" spans="1:11" ht="22.5" x14ac:dyDescent="0.3">
      <c r="A84" s="233" t="s">
        <v>123</v>
      </c>
      <c r="B84" s="614" t="s">
        <v>124</v>
      </c>
      <c r="C84" s="614"/>
      <c r="D84" s="614"/>
      <c r="E84" s="614"/>
      <c r="F84" s="614"/>
      <c r="G84" s="614"/>
      <c r="H84" s="614"/>
      <c r="I84" s="614"/>
      <c r="J84" s="614"/>
      <c r="K84" s="614"/>
    </row>
    <row r="85" spans="1:11" ht="22.5" x14ac:dyDescent="0.3">
      <c r="A85" s="207" t="s">
        <v>125</v>
      </c>
      <c r="B85" s="207">
        <f>C85+F85+I85</f>
        <v>3883000</v>
      </c>
      <c r="C85" s="200">
        <f>D85+E85</f>
        <v>3883000</v>
      </c>
      <c r="D85" s="200">
        <f>'Додаток 3'!I51*1000</f>
        <v>3883000</v>
      </c>
      <c r="E85" s="200">
        <v>0</v>
      </c>
      <c r="F85" s="200">
        <f>G85+H85</f>
        <v>0</v>
      </c>
      <c r="G85" s="200">
        <f>'Додаток 3'!J51*1000</f>
        <v>0</v>
      </c>
      <c r="H85" s="200">
        <v>0</v>
      </c>
      <c r="I85" s="200">
        <f>J85+K85</f>
        <v>0</v>
      </c>
      <c r="J85" s="200">
        <f>'Додаток 3'!K51*1000</f>
        <v>0</v>
      </c>
      <c r="K85" s="200">
        <v>0</v>
      </c>
    </row>
    <row r="86" spans="1:11" ht="24" customHeight="1" x14ac:dyDescent="0.3">
      <c r="A86" s="207" t="s">
        <v>305</v>
      </c>
      <c r="B86" s="198"/>
      <c r="C86" s="201"/>
      <c r="D86" s="200"/>
      <c r="E86" s="200"/>
      <c r="F86" s="201"/>
      <c r="G86" s="201"/>
      <c r="H86" s="201"/>
      <c r="I86" s="201"/>
      <c r="J86" s="200"/>
      <c r="K86" s="200"/>
    </row>
    <row r="87" spans="1:11" ht="48.75" customHeight="1" x14ac:dyDescent="0.3">
      <c r="A87" s="236" t="s">
        <v>149</v>
      </c>
      <c r="B87" s="205"/>
      <c r="C87" s="203">
        <v>70</v>
      </c>
      <c r="D87" s="201"/>
      <c r="E87" s="201"/>
      <c r="F87" s="203"/>
      <c r="G87" s="201"/>
      <c r="H87" s="201"/>
      <c r="I87" s="203"/>
      <c r="J87" s="201"/>
      <c r="K87" s="200"/>
    </row>
    <row r="88" spans="1:11" ht="47.25" customHeight="1" x14ac:dyDescent="0.35">
      <c r="A88" s="236" t="s">
        <v>384</v>
      </c>
      <c r="B88" s="205"/>
      <c r="C88" s="206">
        <v>70</v>
      </c>
      <c r="D88" s="201"/>
      <c r="E88" s="201"/>
      <c r="F88" s="206"/>
      <c r="G88" s="201"/>
      <c r="H88" s="201"/>
      <c r="I88" s="206"/>
      <c r="J88" s="201"/>
      <c r="K88" s="200"/>
    </row>
    <row r="89" spans="1:11" ht="23.25" x14ac:dyDescent="0.3">
      <c r="A89" s="207" t="s">
        <v>128</v>
      </c>
      <c r="B89" s="205"/>
      <c r="C89" s="201"/>
      <c r="D89" s="201"/>
      <c r="E89" s="201"/>
      <c r="F89" s="201"/>
      <c r="G89" s="201"/>
      <c r="H89" s="201"/>
      <c r="I89" s="201"/>
      <c r="J89" s="201"/>
      <c r="K89" s="200"/>
    </row>
    <row r="90" spans="1:11" ht="69.75" x14ac:dyDescent="0.3">
      <c r="A90" s="235" t="s">
        <v>150</v>
      </c>
      <c r="B90" s="205"/>
      <c r="C90" s="201">
        <f>C85/C88</f>
        <v>55471.428571428572</v>
      </c>
      <c r="D90" s="201"/>
      <c r="E90" s="201"/>
      <c r="F90" s="201"/>
      <c r="G90" s="201"/>
      <c r="H90" s="201"/>
      <c r="I90" s="201"/>
      <c r="J90" s="201"/>
      <c r="K90" s="200"/>
    </row>
    <row r="91" spans="1:11" ht="23.25" x14ac:dyDescent="0.3">
      <c r="A91" s="232" t="s">
        <v>120</v>
      </c>
      <c r="B91" s="630" t="s">
        <v>58</v>
      </c>
      <c r="C91" s="631"/>
      <c r="D91" s="631"/>
      <c r="E91" s="631"/>
      <c r="F91" s="631"/>
      <c r="G91" s="631"/>
      <c r="H91" s="631"/>
      <c r="I91" s="631"/>
      <c r="J91" s="631"/>
      <c r="K91" s="632"/>
    </row>
    <row r="92" spans="1:11" ht="22.5" x14ac:dyDescent="0.3">
      <c r="A92" s="233" t="s">
        <v>123</v>
      </c>
      <c r="B92" s="621" t="s">
        <v>124</v>
      </c>
      <c r="C92" s="621"/>
      <c r="D92" s="621"/>
      <c r="E92" s="621"/>
      <c r="F92" s="621"/>
      <c r="G92" s="621"/>
      <c r="H92" s="621"/>
      <c r="I92" s="621"/>
      <c r="J92" s="621"/>
      <c r="K92" s="621"/>
    </row>
    <row r="93" spans="1:11" s="237" customFormat="1" ht="22.5" x14ac:dyDescent="0.3">
      <c r="A93" s="208" t="s">
        <v>125</v>
      </c>
      <c r="B93" s="208">
        <f>C93+F93+I93</f>
        <v>850000</v>
      </c>
      <c r="C93" s="209">
        <f>D93+E93</f>
        <v>850000</v>
      </c>
      <c r="D93" s="209">
        <f>'Додаток 3'!I54*1000</f>
        <v>850000</v>
      </c>
      <c r="E93" s="208"/>
      <c r="F93" s="210"/>
      <c r="G93" s="210"/>
      <c r="H93" s="210"/>
      <c r="I93" s="210"/>
      <c r="J93" s="210"/>
      <c r="K93" s="210"/>
    </row>
    <row r="94" spans="1:11" ht="23.25" x14ac:dyDescent="0.3">
      <c r="A94" s="208" t="s">
        <v>127</v>
      </c>
      <c r="B94" s="203"/>
      <c r="C94" s="203"/>
      <c r="D94" s="203"/>
      <c r="E94" s="203"/>
      <c r="F94" s="203"/>
      <c r="G94" s="203"/>
      <c r="H94" s="203"/>
      <c r="I94" s="203"/>
      <c r="J94" s="203"/>
      <c r="K94" s="209"/>
    </row>
    <row r="95" spans="1:11" ht="22.5" customHeight="1" x14ac:dyDescent="0.3">
      <c r="A95" s="236" t="s">
        <v>389</v>
      </c>
      <c r="B95" s="202"/>
      <c r="C95" s="203">
        <v>1200</v>
      </c>
      <c r="D95" s="203"/>
      <c r="E95" s="203"/>
      <c r="F95" s="203"/>
      <c r="G95" s="203"/>
      <c r="H95" s="203"/>
      <c r="I95" s="203"/>
      <c r="J95" s="203"/>
      <c r="K95" s="209"/>
    </row>
    <row r="96" spans="1:11" ht="23.25" x14ac:dyDescent="0.35">
      <c r="A96" s="236" t="s">
        <v>213</v>
      </c>
      <c r="B96" s="202"/>
      <c r="C96" s="206">
        <v>845</v>
      </c>
      <c r="D96" s="203"/>
      <c r="E96" s="203"/>
      <c r="F96" s="206"/>
      <c r="G96" s="203"/>
      <c r="H96" s="203"/>
      <c r="I96" s="206"/>
      <c r="J96" s="203"/>
      <c r="K96" s="209"/>
    </row>
    <row r="97" spans="1:11" ht="23.25" x14ac:dyDescent="0.3">
      <c r="A97" s="208" t="s">
        <v>128</v>
      </c>
      <c r="B97" s="202"/>
      <c r="C97" s="203"/>
      <c r="D97" s="203"/>
      <c r="E97" s="203"/>
      <c r="F97" s="203"/>
      <c r="G97" s="203"/>
      <c r="H97" s="203"/>
      <c r="I97" s="203"/>
      <c r="J97" s="203"/>
      <c r="K97" s="209"/>
    </row>
    <row r="98" spans="1:11" ht="23.25" x14ac:dyDescent="0.3">
      <c r="A98" s="236" t="s">
        <v>413</v>
      </c>
      <c r="B98" s="202"/>
      <c r="C98" s="203">
        <f>C93/C96</f>
        <v>1005.9171597633136</v>
      </c>
      <c r="D98" s="203"/>
      <c r="E98" s="203"/>
      <c r="F98" s="203"/>
      <c r="G98" s="203"/>
      <c r="H98" s="203"/>
      <c r="I98" s="203"/>
      <c r="J98" s="203"/>
      <c r="K98" s="209"/>
    </row>
    <row r="99" spans="1:11" ht="23.25" x14ac:dyDescent="0.3">
      <c r="A99" s="238" t="s">
        <v>129</v>
      </c>
      <c r="B99" s="202"/>
      <c r="C99" s="203"/>
      <c r="D99" s="203"/>
      <c r="E99" s="203"/>
      <c r="F99" s="203"/>
      <c r="G99" s="203"/>
      <c r="H99" s="203"/>
      <c r="I99" s="203"/>
      <c r="J99" s="203"/>
      <c r="K99" s="209"/>
    </row>
    <row r="100" spans="1:11" ht="23.25" x14ac:dyDescent="0.3">
      <c r="A100" s="236" t="s">
        <v>390</v>
      </c>
      <c r="B100" s="202"/>
      <c r="C100" s="203">
        <f>C96/C95*100</f>
        <v>70.416666666666671</v>
      </c>
      <c r="D100" s="203"/>
      <c r="E100" s="203"/>
      <c r="F100" s="203"/>
      <c r="G100" s="203"/>
      <c r="H100" s="203"/>
      <c r="I100" s="203"/>
      <c r="J100" s="203"/>
      <c r="K100" s="209"/>
    </row>
    <row r="101" spans="1:11" ht="23.25" x14ac:dyDescent="0.35">
      <c r="A101" s="239" t="s">
        <v>120</v>
      </c>
      <c r="B101" s="629" t="s">
        <v>316</v>
      </c>
      <c r="C101" s="629"/>
      <c r="D101" s="629"/>
      <c r="E101" s="629"/>
      <c r="F101" s="629"/>
      <c r="G101" s="629"/>
      <c r="H101" s="629"/>
      <c r="I101" s="629"/>
      <c r="J101" s="629"/>
      <c r="K101" s="629"/>
    </row>
    <row r="102" spans="1:11" ht="22.5" x14ac:dyDescent="0.3">
      <c r="A102" s="233" t="s">
        <v>123</v>
      </c>
      <c r="B102" s="621" t="s">
        <v>124</v>
      </c>
      <c r="C102" s="621"/>
      <c r="D102" s="621"/>
      <c r="E102" s="621"/>
      <c r="F102" s="621"/>
      <c r="G102" s="621"/>
      <c r="H102" s="621"/>
      <c r="I102" s="621"/>
      <c r="J102" s="621"/>
      <c r="K102" s="621"/>
    </row>
    <row r="103" spans="1:11" s="237" customFormat="1" ht="22.5" x14ac:dyDescent="0.3">
      <c r="A103" s="233" t="s">
        <v>130</v>
      </c>
      <c r="B103" s="621" t="s">
        <v>131</v>
      </c>
      <c r="C103" s="621"/>
      <c r="D103" s="621"/>
      <c r="E103" s="621"/>
      <c r="F103" s="621"/>
      <c r="G103" s="621"/>
      <c r="H103" s="621"/>
      <c r="I103" s="621"/>
      <c r="J103" s="621"/>
      <c r="K103" s="621"/>
    </row>
    <row r="104" spans="1:11" s="237" customFormat="1" ht="22.5" x14ac:dyDescent="0.3">
      <c r="A104" s="208" t="s">
        <v>125</v>
      </c>
      <c r="B104" s="208">
        <f>C104+F104+I104</f>
        <v>5591100</v>
      </c>
      <c r="C104" s="210">
        <f>D104+E104</f>
        <v>2947900.0000000005</v>
      </c>
      <c r="D104" s="210">
        <f>('Додаток 3'!I58+'Додаток 3'!I97)*1000</f>
        <v>2947900.0000000005</v>
      </c>
      <c r="E104" s="208"/>
      <c r="F104" s="210">
        <f>G104+H104</f>
        <v>1897300</v>
      </c>
      <c r="G104" s="210">
        <f>('Додаток 3'!J97+'Додаток 3'!J58)*1000</f>
        <v>1897300</v>
      </c>
      <c r="H104" s="210"/>
      <c r="I104" s="210">
        <f>J104+K104</f>
        <v>745900</v>
      </c>
      <c r="J104" s="210">
        <f>('Додаток 3'!K58+'Додаток 3'!K97)*1000</f>
        <v>745900</v>
      </c>
      <c r="K104" s="210"/>
    </row>
    <row r="105" spans="1:11" ht="23.25" x14ac:dyDescent="0.3">
      <c r="A105" s="208" t="s">
        <v>127</v>
      </c>
      <c r="B105" s="202"/>
      <c r="C105" s="203"/>
      <c r="D105" s="203"/>
      <c r="E105" s="203"/>
      <c r="F105" s="203"/>
      <c r="G105" s="203"/>
      <c r="H105" s="203"/>
      <c r="I105" s="203"/>
      <c r="J105" s="203"/>
      <c r="K105" s="209"/>
    </row>
    <row r="106" spans="1:11" ht="23.25" x14ac:dyDescent="0.3">
      <c r="A106" s="240" t="s">
        <v>135</v>
      </c>
      <c r="B106" s="202"/>
      <c r="C106" s="203">
        <v>46</v>
      </c>
      <c r="D106" s="203"/>
      <c r="E106" s="203"/>
      <c r="F106" s="203">
        <v>33</v>
      </c>
      <c r="G106" s="203"/>
      <c r="H106" s="203"/>
      <c r="I106" s="203">
        <v>11</v>
      </c>
      <c r="J106" s="203"/>
      <c r="K106" s="209"/>
    </row>
    <row r="107" spans="1:11" ht="23.25" x14ac:dyDescent="0.3">
      <c r="A107" s="207" t="s">
        <v>128</v>
      </c>
      <c r="B107" s="202"/>
      <c r="C107" s="203"/>
      <c r="D107" s="203"/>
      <c r="E107" s="203"/>
      <c r="F107" s="203"/>
      <c r="G107" s="203"/>
      <c r="H107" s="203"/>
      <c r="I107" s="203"/>
      <c r="J107" s="203"/>
      <c r="K107" s="209"/>
    </row>
    <row r="108" spans="1:11" ht="45.75" customHeight="1" x14ac:dyDescent="0.3">
      <c r="A108" s="240" t="s">
        <v>392</v>
      </c>
      <c r="B108" s="202"/>
      <c r="C108" s="203">
        <f>C104/C106</f>
        <v>64084.782608695663</v>
      </c>
      <c r="D108" s="203"/>
      <c r="E108" s="203"/>
      <c r="F108" s="203">
        <f>F104/F106</f>
        <v>57493.939393939392</v>
      </c>
      <c r="G108" s="203"/>
      <c r="H108" s="203"/>
      <c r="I108" s="203">
        <f>I104/I106</f>
        <v>67809.090909090912</v>
      </c>
      <c r="J108" s="203"/>
      <c r="K108" s="209"/>
    </row>
    <row r="109" spans="1:11" ht="21" customHeight="1" x14ac:dyDescent="0.35">
      <c r="A109" s="239" t="s">
        <v>120</v>
      </c>
      <c r="B109" s="606" t="s">
        <v>317</v>
      </c>
      <c r="C109" s="606"/>
      <c r="D109" s="606"/>
      <c r="E109" s="606"/>
      <c r="F109" s="606"/>
      <c r="G109" s="606"/>
      <c r="H109" s="606"/>
      <c r="I109" s="606"/>
      <c r="J109" s="606"/>
      <c r="K109" s="606"/>
    </row>
    <row r="110" spans="1:11" ht="22.5" x14ac:dyDescent="0.3">
      <c r="A110" s="233" t="s">
        <v>123</v>
      </c>
      <c r="B110" s="621" t="s">
        <v>124</v>
      </c>
      <c r="C110" s="621"/>
      <c r="D110" s="621"/>
      <c r="E110" s="621"/>
      <c r="F110" s="621"/>
      <c r="G110" s="621"/>
      <c r="H110" s="621"/>
      <c r="I110" s="621"/>
      <c r="J110" s="621"/>
      <c r="K110" s="621"/>
    </row>
    <row r="111" spans="1:11" s="237" customFormat="1" ht="22.5" x14ac:dyDescent="0.3">
      <c r="A111" s="207" t="s">
        <v>125</v>
      </c>
      <c r="B111" s="208">
        <f>C111+F111+I111</f>
        <v>8997568</v>
      </c>
      <c r="C111" s="208">
        <f>D111+E111</f>
        <v>2500000</v>
      </c>
      <c r="D111" s="208">
        <f>'Додаток 3'!I63*1000</f>
        <v>2500000</v>
      </c>
      <c r="E111" s="210"/>
      <c r="F111" s="210">
        <f>G111+H111</f>
        <v>3168000</v>
      </c>
      <c r="G111" s="210">
        <f>'Додаток 3'!J63*1000</f>
        <v>3168000</v>
      </c>
      <c r="H111" s="210"/>
      <c r="I111" s="210">
        <f>J111+K111</f>
        <v>3329567.9999999995</v>
      </c>
      <c r="J111" s="210">
        <f>'Додаток 3'!K63*1000</f>
        <v>3329567.9999999995</v>
      </c>
      <c r="K111" s="210"/>
    </row>
    <row r="112" spans="1:11" ht="23.25" x14ac:dyDescent="0.3">
      <c r="A112" s="208" t="s">
        <v>127</v>
      </c>
      <c r="B112" s="202"/>
      <c r="C112" s="203"/>
      <c r="D112" s="203"/>
      <c r="E112" s="203"/>
      <c r="F112" s="203"/>
      <c r="G112" s="203"/>
      <c r="H112" s="203"/>
      <c r="I112" s="203"/>
      <c r="J112" s="203"/>
      <c r="K112" s="209"/>
    </row>
    <row r="113" spans="1:11" ht="46.5" x14ac:dyDescent="0.3">
      <c r="A113" s="218" t="s">
        <v>393</v>
      </c>
      <c r="B113" s="202"/>
      <c r="C113" s="203">
        <v>6217</v>
      </c>
      <c r="D113" s="203"/>
      <c r="E113" s="203"/>
      <c r="F113" s="203">
        <v>6217</v>
      </c>
      <c r="G113" s="203"/>
      <c r="H113" s="203"/>
      <c r="I113" s="203">
        <v>6217</v>
      </c>
      <c r="J113" s="203"/>
      <c r="K113" s="209"/>
    </row>
    <row r="114" spans="1:11" ht="23.25" x14ac:dyDescent="0.3">
      <c r="A114" s="218" t="s">
        <v>394</v>
      </c>
      <c r="B114" s="202"/>
      <c r="C114" s="203">
        <v>6217</v>
      </c>
      <c r="D114" s="203"/>
      <c r="E114" s="203"/>
      <c r="F114" s="203">
        <v>6217</v>
      </c>
      <c r="G114" s="203"/>
      <c r="H114" s="203"/>
      <c r="I114" s="203">
        <v>6217</v>
      </c>
      <c r="J114" s="203"/>
      <c r="K114" s="209"/>
    </row>
    <row r="115" spans="1:11" ht="23.25" x14ac:dyDescent="0.3">
      <c r="A115" s="208" t="s">
        <v>128</v>
      </c>
      <c r="B115" s="202"/>
      <c r="C115" s="203"/>
      <c r="D115" s="203"/>
      <c r="E115" s="203"/>
      <c r="F115" s="203"/>
      <c r="G115" s="203"/>
      <c r="H115" s="203"/>
      <c r="I115" s="203"/>
      <c r="J115" s="203"/>
      <c r="K115" s="209"/>
    </row>
    <row r="116" spans="1:11" ht="48.75" customHeight="1" x14ac:dyDescent="0.3">
      <c r="A116" s="218" t="s">
        <v>395</v>
      </c>
      <c r="B116" s="202"/>
      <c r="C116" s="203">
        <f>C111/C114</f>
        <v>402.12321055171304</v>
      </c>
      <c r="D116" s="203"/>
      <c r="E116" s="203"/>
      <c r="F116" s="203">
        <f>F111/F114</f>
        <v>509.57053241113078</v>
      </c>
      <c r="G116" s="203"/>
      <c r="H116" s="203"/>
      <c r="I116" s="203">
        <f>I111/I114</f>
        <v>535.5586295640984</v>
      </c>
      <c r="J116" s="203"/>
      <c r="K116" s="209"/>
    </row>
    <row r="117" spans="1:11" ht="23.25" x14ac:dyDescent="0.35">
      <c r="A117" s="241" t="s">
        <v>210</v>
      </c>
      <c r="B117" s="202"/>
      <c r="C117" s="203">
        <f>C114/C113*100</f>
        <v>100</v>
      </c>
      <c r="D117" s="203"/>
      <c r="E117" s="203"/>
      <c r="F117" s="203">
        <f>C117</f>
        <v>100</v>
      </c>
      <c r="G117" s="203"/>
      <c r="H117" s="203"/>
      <c r="I117" s="203">
        <f>F117</f>
        <v>100</v>
      </c>
      <c r="J117" s="203"/>
      <c r="K117" s="209"/>
    </row>
    <row r="118" spans="1:11" ht="23.25" x14ac:dyDescent="0.3">
      <c r="A118" s="232" t="s">
        <v>120</v>
      </c>
      <c r="B118" s="622" t="s">
        <v>437</v>
      </c>
      <c r="C118" s="622"/>
      <c r="D118" s="622"/>
      <c r="E118" s="622"/>
      <c r="F118" s="622"/>
      <c r="G118" s="622"/>
      <c r="H118" s="622"/>
      <c r="I118" s="622"/>
      <c r="J118" s="622"/>
      <c r="K118" s="622"/>
    </row>
    <row r="119" spans="1:11" ht="20.25" customHeight="1" x14ac:dyDescent="0.3">
      <c r="A119" s="233" t="s">
        <v>436</v>
      </c>
      <c r="B119" s="603" t="s">
        <v>438</v>
      </c>
      <c r="C119" s="604"/>
      <c r="D119" s="604"/>
      <c r="E119" s="604"/>
      <c r="F119" s="604"/>
      <c r="G119" s="604"/>
      <c r="H119" s="604"/>
      <c r="I119" s="604"/>
      <c r="J119" s="604"/>
      <c r="K119" s="605"/>
    </row>
    <row r="120" spans="1:11" ht="22.5" x14ac:dyDescent="0.3">
      <c r="A120" s="207" t="s">
        <v>125</v>
      </c>
      <c r="B120" s="198">
        <f>C120+F120+I120</f>
        <v>3000000</v>
      </c>
      <c r="C120" s="200">
        <f>D120+E120</f>
        <v>3000000</v>
      </c>
      <c r="D120" s="200">
        <f>'Додаток 3'!I64*1000</f>
        <v>3000000</v>
      </c>
      <c r="E120" s="200">
        <v>0</v>
      </c>
      <c r="F120" s="200">
        <f>G120+H120</f>
        <v>0</v>
      </c>
      <c r="G120" s="200">
        <v>0</v>
      </c>
      <c r="H120" s="200">
        <v>0</v>
      </c>
      <c r="I120" s="200">
        <f>J120+K120</f>
        <v>0</v>
      </c>
      <c r="J120" s="200">
        <v>0</v>
      </c>
      <c r="K120" s="200">
        <v>0</v>
      </c>
    </row>
    <row r="121" spans="1:11" ht="23.25" x14ac:dyDescent="0.3">
      <c r="A121" s="207" t="s">
        <v>385</v>
      </c>
      <c r="B121" s="198"/>
      <c r="C121" s="201">
        <v>1</v>
      </c>
      <c r="D121" s="200"/>
      <c r="E121" s="200"/>
      <c r="F121" s="201"/>
      <c r="G121" s="201"/>
      <c r="H121" s="201"/>
      <c r="I121" s="201"/>
      <c r="J121" s="200"/>
      <c r="K121" s="200"/>
    </row>
    <row r="122" spans="1:11" ht="46.5" x14ac:dyDescent="0.3">
      <c r="A122" s="207" t="s">
        <v>391</v>
      </c>
      <c r="B122" s="202"/>
      <c r="C122" s="203">
        <f>C120/C121/3</f>
        <v>1000000</v>
      </c>
      <c r="D122" s="203"/>
      <c r="E122" s="203"/>
      <c r="F122" s="203"/>
      <c r="G122" s="203"/>
      <c r="H122" s="203"/>
      <c r="I122" s="203"/>
      <c r="J122" s="201"/>
      <c r="K122" s="200"/>
    </row>
    <row r="123" spans="1:11" ht="23.25" x14ac:dyDescent="0.35">
      <c r="A123" s="239" t="s">
        <v>120</v>
      </c>
      <c r="B123" s="606" t="s">
        <v>318</v>
      </c>
      <c r="C123" s="606"/>
      <c r="D123" s="606"/>
      <c r="E123" s="606"/>
      <c r="F123" s="606"/>
      <c r="G123" s="606"/>
      <c r="H123" s="606"/>
      <c r="I123" s="606"/>
      <c r="J123" s="606"/>
      <c r="K123" s="606"/>
    </row>
    <row r="124" spans="1:11" ht="22.5" x14ac:dyDescent="0.3">
      <c r="A124" s="233" t="s">
        <v>123</v>
      </c>
      <c r="B124" s="621" t="s">
        <v>124</v>
      </c>
      <c r="C124" s="621"/>
      <c r="D124" s="621"/>
      <c r="E124" s="621"/>
      <c r="F124" s="621"/>
      <c r="G124" s="621"/>
      <c r="H124" s="621"/>
      <c r="I124" s="621"/>
      <c r="J124" s="621"/>
      <c r="K124" s="621"/>
    </row>
    <row r="125" spans="1:11" ht="22.5" x14ac:dyDescent="0.3">
      <c r="A125" s="207" t="s">
        <v>125</v>
      </c>
      <c r="B125" s="216">
        <f>C125+F125+I125</f>
        <v>5179023.8304000003</v>
      </c>
      <c r="C125" s="216">
        <f>D125+E125</f>
        <v>1635900</v>
      </c>
      <c r="D125" s="216">
        <f>'Додаток 3'!I65*1000</f>
        <v>1635900</v>
      </c>
      <c r="E125" s="216"/>
      <c r="F125" s="216">
        <f>G125+H125</f>
        <v>1727510.4000000001</v>
      </c>
      <c r="G125" s="216">
        <f>'Додаток 3'!J65*1000</f>
        <v>1727510.4000000001</v>
      </c>
      <c r="H125" s="216"/>
      <c r="I125" s="216">
        <f>J125+K125</f>
        <v>1815613.4304</v>
      </c>
      <c r="J125" s="216">
        <f>'Додаток 3'!K65*1000</f>
        <v>1815613.4304</v>
      </c>
      <c r="K125" s="217"/>
    </row>
    <row r="126" spans="1:11" ht="50.25" customHeight="1" x14ac:dyDescent="0.35">
      <c r="A126" s="235" t="s">
        <v>410</v>
      </c>
      <c r="B126" s="202"/>
      <c r="C126" s="203">
        <v>44900</v>
      </c>
      <c r="D126" s="211"/>
      <c r="E126" s="203"/>
      <c r="F126" s="203">
        <f>C126*1.056</f>
        <v>47414.400000000001</v>
      </c>
      <c r="G126" s="203"/>
      <c r="H126" s="203"/>
      <c r="I126" s="203">
        <f>F126*1.051</f>
        <v>49832.534399999997</v>
      </c>
      <c r="J126" s="203"/>
      <c r="K126" s="209"/>
    </row>
    <row r="127" spans="1:11" ht="23.25" x14ac:dyDescent="0.35">
      <c r="A127" s="235" t="s">
        <v>157</v>
      </c>
      <c r="B127" s="202"/>
      <c r="C127" s="203">
        <v>335300</v>
      </c>
      <c r="D127" s="211"/>
      <c r="E127" s="203"/>
      <c r="F127" s="203">
        <f>C127*1.056</f>
        <v>354076.8</v>
      </c>
      <c r="G127" s="203"/>
      <c r="H127" s="203"/>
      <c r="I127" s="203">
        <f>F127+1.051</f>
        <v>354077.85099999997</v>
      </c>
      <c r="J127" s="203"/>
      <c r="K127" s="209"/>
    </row>
    <row r="128" spans="1:11" ht="23.25" x14ac:dyDescent="0.3">
      <c r="A128" s="207" t="s">
        <v>127</v>
      </c>
      <c r="B128" s="202"/>
      <c r="C128" s="203"/>
      <c r="D128" s="203"/>
      <c r="E128" s="203"/>
      <c r="F128" s="203"/>
      <c r="G128" s="203"/>
      <c r="H128" s="203"/>
      <c r="I128" s="203"/>
      <c r="J128" s="203"/>
      <c r="K128" s="209"/>
    </row>
    <row r="129" spans="1:11" ht="45.75" customHeight="1" x14ac:dyDescent="0.35">
      <c r="A129" s="242" t="s">
        <v>409</v>
      </c>
      <c r="B129" s="202"/>
      <c r="C129" s="203">
        <v>8</v>
      </c>
      <c r="D129" s="211"/>
      <c r="E129" s="203"/>
      <c r="F129" s="203">
        <v>8</v>
      </c>
      <c r="G129" s="203"/>
      <c r="H129" s="203"/>
      <c r="I129" s="203">
        <v>8</v>
      </c>
      <c r="J129" s="203"/>
      <c r="K129" s="209"/>
    </row>
    <row r="130" spans="1:11" ht="23.25" x14ac:dyDescent="0.35">
      <c r="A130" s="242" t="s">
        <v>158</v>
      </c>
      <c r="B130" s="202"/>
      <c r="C130" s="203">
        <v>100</v>
      </c>
      <c r="D130" s="211"/>
      <c r="E130" s="203"/>
      <c r="F130" s="203">
        <v>100</v>
      </c>
      <c r="G130" s="203"/>
      <c r="H130" s="203"/>
      <c r="I130" s="203">
        <v>100</v>
      </c>
      <c r="J130" s="203"/>
      <c r="K130" s="209"/>
    </row>
    <row r="131" spans="1:11" ht="23.25" x14ac:dyDescent="0.35">
      <c r="A131" s="207" t="s">
        <v>128</v>
      </c>
      <c r="B131" s="202"/>
      <c r="C131" s="203"/>
      <c r="D131" s="211"/>
      <c r="E131" s="203"/>
      <c r="F131" s="203"/>
      <c r="G131" s="203"/>
      <c r="H131" s="203"/>
      <c r="I131" s="203"/>
      <c r="J131" s="203"/>
      <c r="K131" s="209"/>
    </row>
    <row r="132" spans="1:11" ht="47.25" customHeight="1" x14ac:dyDescent="0.3">
      <c r="A132" s="243" t="s">
        <v>412</v>
      </c>
      <c r="B132" s="202"/>
      <c r="C132" s="203">
        <f>C126/C129/12</f>
        <v>467.70833333333331</v>
      </c>
      <c r="D132" s="203"/>
      <c r="E132" s="203"/>
      <c r="F132" s="203">
        <f t="shared" ref="F132:I132" si="5">F126/F129/12</f>
        <v>493.90000000000003</v>
      </c>
      <c r="G132" s="203"/>
      <c r="H132" s="203"/>
      <c r="I132" s="203">
        <f t="shared" si="5"/>
        <v>519.08889999999997</v>
      </c>
      <c r="J132" s="203"/>
      <c r="K132" s="209"/>
    </row>
    <row r="133" spans="1:11" ht="46.5" x14ac:dyDescent="0.3">
      <c r="A133" s="243" t="s">
        <v>411</v>
      </c>
      <c r="B133" s="202"/>
      <c r="C133" s="203">
        <f>C127/C130/12</f>
        <v>279.41666666666669</v>
      </c>
      <c r="D133" s="203"/>
      <c r="E133" s="203"/>
      <c r="F133" s="203">
        <f t="shared" ref="F133:I133" si="6">F127/F130/12</f>
        <v>295.06400000000002</v>
      </c>
      <c r="G133" s="203"/>
      <c r="H133" s="203"/>
      <c r="I133" s="203">
        <f t="shared" si="6"/>
        <v>295.0648758333333</v>
      </c>
      <c r="J133" s="203"/>
      <c r="K133" s="209"/>
    </row>
    <row r="134" spans="1:11" ht="46.5" x14ac:dyDescent="0.3">
      <c r="A134" s="243" t="s">
        <v>320</v>
      </c>
      <c r="B134" s="202"/>
      <c r="C134" s="203">
        <f>C125/12</f>
        <v>136325</v>
      </c>
      <c r="D134" s="203"/>
      <c r="E134" s="203"/>
      <c r="F134" s="203">
        <f t="shared" ref="F134:I134" si="7">F125/12</f>
        <v>143959.20000000001</v>
      </c>
      <c r="G134" s="203"/>
      <c r="H134" s="203"/>
      <c r="I134" s="203">
        <f t="shared" si="7"/>
        <v>151301.11919999999</v>
      </c>
      <c r="J134" s="203"/>
      <c r="K134" s="209"/>
    </row>
    <row r="135" spans="1:11" ht="23.25" x14ac:dyDescent="0.35">
      <c r="A135" s="239" t="s">
        <v>120</v>
      </c>
      <c r="B135" s="606" t="s">
        <v>319</v>
      </c>
      <c r="C135" s="606"/>
      <c r="D135" s="606"/>
      <c r="E135" s="606"/>
      <c r="F135" s="606"/>
      <c r="G135" s="606"/>
      <c r="H135" s="606"/>
      <c r="I135" s="606"/>
      <c r="J135" s="606"/>
      <c r="K135" s="606"/>
    </row>
    <row r="136" spans="1:11" ht="22.5" x14ac:dyDescent="0.3">
      <c r="A136" s="233" t="s">
        <v>123</v>
      </c>
      <c r="B136" s="621" t="s">
        <v>124</v>
      </c>
      <c r="C136" s="621"/>
      <c r="D136" s="621"/>
      <c r="E136" s="621"/>
      <c r="F136" s="621"/>
      <c r="G136" s="621"/>
      <c r="H136" s="621"/>
      <c r="I136" s="621"/>
      <c r="J136" s="621"/>
      <c r="K136" s="621"/>
    </row>
    <row r="137" spans="1:11" ht="22.5" x14ac:dyDescent="0.3">
      <c r="A137" s="207" t="s">
        <v>125</v>
      </c>
      <c r="B137" s="216">
        <f>C137+F137+I137</f>
        <v>2825950.7047040001</v>
      </c>
      <c r="C137" s="216">
        <f>D137+E137</f>
        <v>892634</v>
      </c>
      <c r="D137" s="216">
        <f>'Додаток 3'!I66*1000</f>
        <v>892634</v>
      </c>
      <c r="E137" s="216"/>
      <c r="F137" s="216">
        <f>G137+H137</f>
        <v>942621.50400000007</v>
      </c>
      <c r="G137" s="216">
        <f>'Додаток 3'!J66*1000</f>
        <v>942621.50400000007</v>
      </c>
      <c r="H137" s="216"/>
      <c r="I137" s="216">
        <f>J137+K137</f>
        <v>990695.20070400008</v>
      </c>
      <c r="J137" s="216">
        <f>'Додаток 3'!K66*1000</f>
        <v>990695.20070400008</v>
      </c>
      <c r="K137" s="217"/>
    </row>
    <row r="138" spans="1:11" ht="23.25" x14ac:dyDescent="0.35">
      <c r="A138" s="244" t="s">
        <v>159</v>
      </c>
      <c r="B138" s="202"/>
      <c r="C138" s="212">
        <v>8.25</v>
      </c>
      <c r="D138" s="204"/>
      <c r="E138" s="203"/>
      <c r="F138" s="212">
        <v>8.25</v>
      </c>
      <c r="G138" s="203"/>
      <c r="H138" s="203"/>
      <c r="I138" s="212">
        <v>8.25</v>
      </c>
      <c r="J138" s="203"/>
      <c r="K138" s="209"/>
    </row>
    <row r="139" spans="1:11" ht="23.25" x14ac:dyDescent="0.35">
      <c r="A139" s="245" t="s">
        <v>160</v>
      </c>
      <c r="B139" s="202"/>
      <c r="C139" s="212">
        <v>2.75</v>
      </c>
      <c r="D139" s="204"/>
      <c r="E139" s="203"/>
      <c r="F139" s="212">
        <v>2.75</v>
      </c>
      <c r="G139" s="203"/>
      <c r="H139" s="203"/>
      <c r="I139" s="212">
        <v>2.75</v>
      </c>
      <c r="J139" s="203"/>
      <c r="K139" s="209"/>
    </row>
    <row r="140" spans="1:11" ht="23.25" x14ac:dyDescent="0.3">
      <c r="A140" s="207" t="s">
        <v>127</v>
      </c>
      <c r="B140" s="202"/>
      <c r="C140" s="203"/>
      <c r="D140" s="203"/>
      <c r="E140" s="203"/>
      <c r="F140" s="203"/>
      <c r="G140" s="203"/>
      <c r="H140" s="203"/>
      <c r="I140" s="203"/>
      <c r="J140" s="203"/>
      <c r="K140" s="209"/>
    </row>
    <row r="141" spans="1:11" ht="23.25" x14ac:dyDescent="0.3">
      <c r="A141" s="242" t="s">
        <v>161</v>
      </c>
      <c r="B141" s="202"/>
      <c r="C141" s="218">
        <v>2915</v>
      </c>
      <c r="D141" s="218"/>
      <c r="E141" s="218"/>
      <c r="F141" s="218">
        <v>2915</v>
      </c>
      <c r="G141" s="218"/>
      <c r="H141" s="218"/>
      <c r="I141" s="218">
        <v>2915</v>
      </c>
      <c r="J141" s="203"/>
      <c r="K141" s="209"/>
    </row>
    <row r="142" spans="1:11" ht="23.25" x14ac:dyDescent="0.35">
      <c r="A142" s="207" t="s">
        <v>128</v>
      </c>
      <c r="B142" s="202"/>
      <c r="C142" s="203"/>
      <c r="D142" s="204"/>
      <c r="E142" s="203"/>
      <c r="F142" s="203"/>
      <c r="G142" s="203"/>
      <c r="H142" s="203"/>
      <c r="I142" s="203"/>
      <c r="J142" s="203"/>
      <c r="K142" s="209"/>
    </row>
    <row r="143" spans="1:11" ht="46.5" x14ac:dyDescent="0.3">
      <c r="A143" s="246" t="s">
        <v>162</v>
      </c>
      <c r="B143" s="202"/>
      <c r="C143" s="212">
        <f>C141/C139</f>
        <v>1060</v>
      </c>
      <c r="D143" s="212"/>
      <c r="E143" s="212"/>
      <c r="F143" s="212">
        <f t="shared" ref="F143" si="8">F141/F139</f>
        <v>1060</v>
      </c>
      <c r="G143" s="212"/>
      <c r="H143" s="212"/>
      <c r="I143" s="212">
        <f>I141/I139</f>
        <v>1060</v>
      </c>
      <c r="J143" s="203"/>
      <c r="K143" s="209"/>
    </row>
    <row r="144" spans="1:11" ht="46.5" x14ac:dyDescent="0.3">
      <c r="A144" s="243" t="s">
        <v>321</v>
      </c>
      <c r="B144" s="202"/>
      <c r="C144" s="212">
        <f>C137/12</f>
        <v>74386.166666666672</v>
      </c>
      <c r="D144" s="212"/>
      <c r="E144" s="212"/>
      <c r="F144" s="212">
        <f t="shared" ref="F144:I144" si="9">F137/12</f>
        <v>78551.792000000001</v>
      </c>
      <c r="G144" s="212"/>
      <c r="H144" s="212"/>
      <c r="I144" s="212">
        <f t="shared" si="9"/>
        <v>82557.933392000006</v>
      </c>
      <c r="J144" s="203"/>
      <c r="K144" s="209"/>
    </row>
    <row r="145" spans="1:11" ht="23.25" x14ac:dyDescent="0.35">
      <c r="A145" s="239" t="s">
        <v>120</v>
      </c>
      <c r="B145" s="606" t="s">
        <v>322</v>
      </c>
      <c r="C145" s="606"/>
      <c r="D145" s="606"/>
      <c r="E145" s="606"/>
      <c r="F145" s="606"/>
      <c r="G145" s="606"/>
      <c r="H145" s="606"/>
      <c r="I145" s="606"/>
      <c r="J145" s="606"/>
      <c r="K145" s="606"/>
    </row>
    <row r="146" spans="1:11" ht="22.5" x14ac:dyDescent="0.3">
      <c r="A146" s="233" t="s">
        <v>123</v>
      </c>
      <c r="B146" s="621" t="s">
        <v>124</v>
      </c>
      <c r="C146" s="621"/>
      <c r="D146" s="621"/>
      <c r="E146" s="621"/>
      <c r="F146" s="621"/>
      <c r="G146" s="621"/>
      <c r="H146" s="621"/>
      <c r="I146" s="621"/>
      <c r="J146" s="621"/>
      <c r="K146" s="621"/>
    </row>
    <row r="147" spans="1:11" ht="22.5" x14ac:dyDescent="0.3">
      <c r="A147" s="207" t="s">
        <v>125</v>
      </c>
      <c r="B147" s="216">
        <f>C147+F147+I147</f>
        <v>3608442.6688000001</v>
      </c>
      <c r="C147" s="216">
        <f>D147+E147</f>
        <v>1139800</v>
      </c>
      <c r="D147" s="216">
        <f>'Додаток 3'!I67*1000</f>
        <v>1139800</v>
      </c>
      <c r="E147" s="216"/>
      <c r="F147" s="216">
        <f>G147+H147</f>
        <v>1203628.8000000003</v>
      </c>
      <c r="G147" s="216">
        <f>'Додаток 3'!J67*1000</f>
        <v>1203628.8000000003</v>
      </c>
      <c r="H147" s="216"/>
      <c r="I147" s="216">
        <f>J147+K147</f>
        <v>1265013.8688000001</v>
      </c>
      <c r="J147" s="216">
        <f>'Додаток 3'!K67*1000</f>
        <v>1265013.8688000001</v>
      </c>
      <c r="K147" s="216"/>
    </row>
    <row r="148" spans="1:11" ht="23.25" x14ac:dyDescent="0.35">
      <c r="A148" s="207" t="s">
        <v>127</v>
      </c>
      <c r="B148" s="202"/>
      <c r="C148" s="203"/>
      <c r="D148" s="204"/>
      <c r="E148" s="203"/>
      <c r="F148" s="212"/>
      <c r="G148" s="212"/>
      <c r="H148" s="212"/>
      <c r="I148" s="212"/>
      <c r="J148" s="203"/>
      <c r="K148" s="209"/>
    </row>
    <row r="149" spans="1:11" ht="23.25" x14ac:dyDescent="0.35">
      <c r="A149" s="242" t="s">
        <v>163</v>
      </c>
      <c r="B149" s="202"/>
      <c r="C149" s="218">
        <v>600</v>
      </c>
      <c r="D149" s="204"/>
      <c r="E149" s="203"/>
      <c r="F149" s="212">
        <v>600</v>
      </c>
      <c r="G149" s="212"/>
      <c r="H149" s="212"/>
      <c r="I149" s="212">
        <v>600</v>
      </c>
      <c r="J149" s="203"/>
      <c r="K149" s="209"/>
    </row>
    <row r="150" spans="1:11" ht="23.25" x14ac:dyDescent="0.35">
      <c r="A150" s="207" t="s">
        <v>128</v>
      </c>
      <c r="B150" s="202"/>
      <c r="C150" s="203"/>
      <c r="D150" s="204"/>
      <c r="E150" s="203"/>
      <c r="F150" s="203"/>
      <c r="G150" s="203"/>
      <c r="H150" s="203"/>
      <c r="I150" s="203"/>
      <c r="J150" s="203"/>
      <c r="K150" s="209"/>
    </row>
    <row r="151" spans="1:11" ht="23.25" x14ac:dyDescent="0.3">
      <c r="A151" s="247" t="s">
        <v>164</v>
      </c>
      <c r="B151" s="202"/>
      <c r="C151" s="212">
        <f>C147/C149</f>
        <v>1899.6666666666667</v>
      </c>
      <c r="D151" s="212"/>
      <c r="E151" s="212"/>
      <c r="F151" s="212">
        <f>F147/F149</f>
        <v>2006.0480000000005</v>
      </c>
      <c r="G151" s="212"/>
      <c r="H151" s="212"/>
      <c r="I151" s="212">
        <f>I147/I149</f>
        <v>2108.356448</v>
      </c>
      <c r="J151" s="203"/>
      <c r="K151" s="209"/>
    </row>
    <row r="152" spans="1:11" ht="23.25" x14ac:dyDescent="0.3">
      <c r="A152" s="232" t="s">
        <v>120</v>
      </c>
      <c r="B152" s="622" t="s">
        <v>243</v>
      </c>
      <c r="C152" s="622"/>
      <c r="D152" s="622"/>
      <c r="E152" s="622"/>
      <c r="F152" s="622"/>
      <c r="G152" s="622"/>
      <c r="H152" s="622"/>
      <c r="I152" s="622"/>
      <c r="J152" s="622"/>
      <c r="K152" s="622"/>
    </row>
    <row r="153" spans="1:11" ht="20.25" customHeight="1" x14ac:dyDescent="0.3">
      <c r="A153" s="233" t="s">
        <v>130</v>
      </c>
      <c r="B153" s="621" t="s">
        <v>168</v>
      </c>
      <c r="C153" s="621"/>
      <c r="D153" s="621"/>
      <c r="E153" s="621"/>
      <c r="F153" s="621"/>
      <c r="G153" s="621"/>
      <c r="H153" s="621"/>
      <c r="I153" s="621"/>
      <c r="J153" s="621"/>
      <c r="K153" s="621"/>
    </row>
    <row r="154" spans="1:11" ht="22.5" x14ac:dyDescent="0.3">
      <c r="A154" s="207" t="s">
        <v>125</v>
      </c>
      <c r="B154" s="198">
        <f>C154+F154+I154</f>
        <v>15457357.328</v>
      </c>
      <c r="C154" s="200">
        <f>D154+E154</f>
        <v>14319200</v>
      </c>
      <c r="D154" s="200">
        <f>('Додаток 3'!I92+'Додаток 3'!I95+'Додаток 3'!I96)*1000</f>
        <v>14319200</v>
      </c>
      <c r="E154" s="200"/>
      <c r="F154" s="200">
        <f>G154+H154</f>
        <v>554928</v>
      </c>
      <c r="G154" s="200">
        <f>'Додаток 3'!J96*1000</f>
        <v>554928</v>
      </c>
      <c r="H154" s="200"/>
      <c r="I154" s="200">
        <f>J154+K154</f>
        <v>583229.32799999998</v>
      </c>
      <c r="J154" s="200">
        <f>'Додаток 3'!K96*1000</f>
        <v>583229.32799999998</v>
      </c>
      <c r="K154" s="200"/>
    </row>
    <row r="155" spans="1:11" ht="23.25" x14ac:dyDescent="0.3">
      <c r="A155" s="207" t="s">
        <v>385</v>
      </c>
      <c r="B155" s="198"/>
      <c r="C155" s="201">
        <v>1</v>
      </c>
      <c r="D155" s="200"/>
      <c r="E155" s="200"/>
      <c r="F155" s="201">
        <v>1</v>
      </c>
      <c r="G155" s="201"/>
      <c r="H155" s="201"/>
      <c r="I155" s="201">
        <v>1</v>
      </c>
      <c r="J155" s="200"/>
      <c r="K155" s="200"/>
    </row>
    <row r="156" spans="1:11" ht="46.5" x14ac:dyDescent="0.3">
      <c r="A156" s="207" t="s">
        <v>391</v>
      </c>
      <c r="B156" s="202"/>
      <c r="C156" s="203">
        <f>C154/C155/12</f>
        <v>1193266.6666666667</v>
      </c>
      <c r="D156" s="203"/>
      <c r="E156" s="203"/>
      <c r="F156" s="203">
        <f>F154/F155/12</f>
        <v>46244</v>
      </c>
      <c r="G156" s="203"/>
      <c r="H156" s="203"/>
      <c r="I156" s="203">
        <f t="shared" ref="I156" si="10">I154/I155/12</f>
        <v>48602.443999999996</v>
      </c>
      <c r="J156" s="201"/>
      <c r="K156" s="200"/>
    </row>
    <row r="157" spans="1:11" ht="23.25" x14ac:dyDescent="0.3">
      <c r="A157" s="232" t="s">
        <v>120</v>
      </c>
      <c r="B157" s="622" t="s">
        <v>287</v>
      </c>
      <c r="C157" s="622"/>
      <c r="D157" s="622"/>
      <c r="E157" s="622"/>
      <c r="F157" s="622"/>
      <c r="G157" s="622"/>
      <c r="H157" s="622"/>
      <c r="I157" s="622"/>
      <c r="J157" s="622"/>
      <c r="K157" s="622"/>
    </row>
    <row r="158" spans="1:11" ht="20.25" customHeight="1" x14ac:dyDescent="0.3">
      <c r="A158" s="233" t="s">
        <v>132</v>
      </c>
      <c r="B158" s="614" t="s">
        <v>133</v>
      </c>
      <c r="C158" s="614"/>
      <c r="D158" s="614"/>
      <c r="E158" s="614"/>
      <c r="F158" s="614"/>
      <c r="G158" s="614"/>
      <c r="H158" s="614"/>
      <c r="I158" s="614"/>
      <c r="J158" s="614"/>
      <c r="K158" s="614"/>
    </row>
    <row r="159" spans="1:11" ht="22.5" x14ac:dyDescent="0.3">
      <c r="A159" s="207" t="s">
        <v>125</v>
      </c>
      <c r="B159" s="198">
        <f>C159+F159+I159</f>
        <v>6738200</v>
      </c>
      <c r="C159" s="207">
        <f>D159+E159</f>
        <v>6738200</v>
      </c>
      <c r="D159" s="207">
        <f>'Додаток 3'!I105*1000</f>
        <v>6738200</v>
      </c>
      <c r="E159" s="207"/>
      <c r="F159" s="207"/>
      <c r="G159" s="207"/>
      <c r="H159" s="207"/>
      <c r="I159" s="207"/>
      <c r="J159" s="207"/>
      <c r="K159" s="207"/>
    </row>
    <row r="160" spans="1:11" ht="23.25" x14ac:dyDescent="0.3">
      <c r="A160" s="207" t="s">
        <v>385</v>
      </c>
      <c r="B160" s="198"/>
      <c r="C160" s="201">
        <v>1</v>
      </c>
      <c r="D160" s="200"/>
      <c r="E160" s="200"/>
      <c r="F160" s="201"/>
      <c r="G160" s="201"/>
      <c r="H160" s="201"/>
      <c r="I160" s="201"/>
      <c r="J160" s="200"/>
      <c r="K160" s="200"/>
    </row>
    <row r="161" spans="1:11" ht="46.5" x14ac:dyDescent="0.3">
      <c r="A161" s="207" t="s">
        <v>396</v>
      </c>
      <c r="B161" s="202"/>
      <c r="C161" s="203">
        <f>C159/C160/12</f>
        <v>561516.66666666663</v>
      </c>
      <c r="D161" s="203"/>
      <c r="E161" s="203"/>
      <c r="F161" s="203"/>
      <c r="G161" s="203"/>
      <c r="H161" s="203"/>
      <c r="I161" s="203"/>
      <c r="J161" s="201"/>
      <c r="K161" s="200"/>
    </row>
    <row r="162" spans="1:11" ht="22.5" x14ac:dyDescent="0.3">
      <c r="A162" s="610" t="s">
        <v>228</v>
      </c>
      <c r="B162" s="610"/>
      <c r="C162" s="610"/>
      <c r="D162" s="610"/>
      <c r="E162" s="610"/>
      <c r="F162" s="610"/>
      <c r="G162" s="610"/>
      <c r="H162" s="610"/>
      <c r="I162" s="610"/>
      <c r="J162" s="610"/>
      <c r="K162" s="610"/>
    </row>
    <row r="163" spans="1:11" ht="22.5" x14ac:dyDescent="0.3">
      <c r="A163" s="230" t="s">
        <v>324</v>
      </c>
      <c r="B163" s="199">
        <f t="shared" ref="B163:K163" si="11">B167+B174+B188+B196+B203+B210+B219+B235+B243</f>
        <v>67462184.550400004</v>
      </c>
      <c r="C163" s="199">
        <f t="shared" si="11"/>
        <v>29299600</v>
      </c>
      <c r="D163" s="199">
        <f t="shared" si="11"/>
        <v>29299600</v>
      </c>
      <c r="E163" s="199">
        <f t="shared" si="11"/>
        <v>0</v>
      </c>
      <c r="F163" s="199">
        <f t="shared" si="11"/>
        <v>18611730.399999999</v>
      </c>
      <c r="G163" s="199">
        <f t="shared" si="11"/>
        <v>18611730.399999999</v>
      </c>
      <c r="H163" s="199">
        <f t="shared" si="11"/>
        <v>0</v>
      </c>
      <c r="I163" s="199">
        <f t="shared" si="11"/>
        <v>19550854.150399998</v>
      </c>
      <c r="J163" s="199">
        <f t="shared" si="11"/>
        <v>19550854.150399998</v>
      </c>
      <c r="K163" s="199">
        <f t="shared" si="11"/>
        <v>0</v>
      </c>
    </row>
    <row r="164" spans="1:11" ht="22.5" x14ac:dyDescent="0.3">
      <c r="A164" s="231" t="s">
        <v>122</v>
      </c>
      <c r="B164" s="611"/>
      <c r="C164" s="612"/>
      <c r="D164" s="612"/>
      <c r="E164" s="612"/>
      <c r="F164" s="612"/>
      <c r="G164" s="612"/>
      <c r="H164" s="612"/>
      <c r="I164" s="612"/>
      <c r="J164" s="612"/>
      <c r="K164" s="613"/>
    </row>
    <row r="165" spans="1:11" ht="23.25" x14ac:dyDescent="0.35">
      <c r="A165" s="239" t="s">
        <v>120</v>
      </c>
      <c r="B165" s="606" t="s">
        <v>325</v>
      </c>
      <c r="C165" s="606"/>
      <c r="D165" s="606"/>
      <c r="E165" s="606"/>
      <c r="F165" s="606"/>
      <c r="G165" s="606"/>
      <c r="H165" s="606"/>
      <c r="I165" s="606"/>
      <c r="J165" s="606"/>
      <c r="K165" s="606"/>
    </row>
    <row r="166" spans="1:11" ht="22.5" x14ac:dyDescent="0.3">
      <c r="A166" s="233" t="s">
        <v>152</v>
      </c>
      <c r="B166" s="603" t="s">
        <v>170</v>
      </c>
      <c r="C166" s="604"/>
      <c r="D166" s="604"/>
      <c r="E166" s="604"/>
      <c r="F166" s="604"/>
      <c r="G166" s="604"/>
      <c r="H166" s="604"/>
      <c r="I166" s="604"/>
      <c r="J166" s="604"/>
      <c r="K166" s="605"/>
    </row>
    <row r="167" spans="1:11" ht="22.5" x14ac:dyDescent="0.3">
      <c r="A167" s="207" t="s">
        <v>125</v>
      </c>
      <c r="B167" s="216">
        <f>C167+F167+I167</f>
        <v>16443456.063999999</v>
      </c>
      <c r="C167" s="216">
        <f>D167+E167</f>
        <v>5194000</v>
      </c>
      <c r="D167" s="216">
        <f>'Додаток 3'!I138*1000</f>
        <v>5194000</v>
      </c>
      <c r="E167" s="216"/>
      <c r="F167" s="216">
        <f>G167+H167</f>
        <v>5484864</v>
      </c>
      <c r="G167" s="216">
        <f>'Додаток 3'!J138*1000</f>
        <v>5484864</v>
      </c>
      <c r="H167" s="216"/>
      <c r="I167" s="216">
        <f>J167+K167</f>
        <v>5764592.0639999993</v>
      </c>
      <c r="J167" s="216">
        <f>'Додаток 3'!K138*1000</f>
        <v>5764592.0639999993</v>
      </c>
      <c r="K167" s="219"/>
    </row>
    <row r="168" spans="1:11" ht="23.25" x14ac:dyDescent="0.3">
      <c r="A168" s="207" t="s">
        <v>127</v>
      </c>
      <c r="B168" s="205"/>
      <c r="C168" s="201"/>
      <c r="D168" s="201"/>
      <c r="E168" s="201"/>
      <c r="F168" s="201"/>
      <c r="G168" s="201"/>
      <c r="H168" s="201"/>
      <c r="I168" s="201"/>
      <c r="J168" s="201"/>
      <c r="K168" s="200"/>
    </row>
    <row r="169" spans="1:11" ht="23.25" x14ac:dyDescent="0.3">
      <c r="A169" s="240" t="s">
        <v>169</v>
      </c>
      <c r="B169" s="205"/>
      <c r="C169" s="201">
        <v>51807</v>
      </c>
      <c r="D169" s="201"/>
      <c r="E169" s="201"/>
      <c r="F169" s="201">
        <v>51807</v>
      </c>
      <c r="G169" s="201"/>
      <c r="H169" s="201"/>
      <c r="I169" s="201">
        <v>51807</v>
      </c>
      <c r="J169" s="201"/>
      <c r="K169" s="200"/>
    </row>
    <row r="170" spans="1:11" ht="23.25" x14ac:dyDescent="0.3">
      <c r="A170" s="207" t="s">
        <v>128</v>
      </c>
      <c r="B170" s="205"/>
      <c r="C170" s="201"/>
      <c r="D170" s="201"/>
      <c r="E170" s="201"/>
      <c r="F170" s="201"/>
      <c r="G170" s="201"/>
      <c r="H170" s="201"/>
      <c r="I170" s="201"/>
      <c r="J170" s="201"/>
      <c r="K170" s="200"/>
    </row>
    <row r="171" spans="1:11" ht="23.25" x14ac:dyDescent="0.3">
      <c r="A171" s="236" t="s">
        <v>326</v>
      </c>
      <c r="B171" s="205"/>
      <c r="C171" s="201">
        <f>C167/C169</f>
        <v>100.25672206458587</v>
      </c>
      <c r="D171" s="201"/>
      <c r="E171" s="201"/>
      <c r="F171" s="201">
        <f>F167/F169</f>
        <v>105.87109850020268</v>
      </c>
      <c r="G171" s="201"/>
      <c r="H171" s="201"/>
      <c r="I171" s="201">
        <f>I167/I169</f>
        <v>111.27052452371299</v>
      </c>
      <c r="J171" s="201"/>
      <c r="K171" s="200"/>
    </row>
    <row r="172" spans="1:11" ht="23.25" x14ac:dyDescent="0.35">
      <c r="A172" s="239" t="s">
        <v>120</v>
      </c>
      <c r="B172" s="606" t="s">
        <v>327</v>
      </c>
      <c r="C172" s="606"/>
      <c r="D172" s="606"/>
      <c r="E172" s="606"/>
      <c r="F172" s="606"/>
      <c r="G172" s="606"/>
      <c r="H172" s="606"/>
      <c r="I172" s="606"/>
      <c r="J172" s="606"/>
      <c r="K172" s="606"/>
    </row>
    <row r="173" spans="1:11" ht="22.5" x14ac:dyDescent="0.3">
      <c r="A173" s="233" t="s">
        <v>152</v>
      </c>
      <c r="B173" s="603" t="s">
        <v>170</v>
      </c>
      <c r="C173" s="604"/>
      <c r="D173" s="604"/>
      <c r="E173" s="604"/>
      <c r="F173" s="604"/>
      <c r="G173" s="604"/>
      <c r="H173" s="604"/>
      <c r="I173" s="604"/>
      <c r="J173" s="604"/>
      <c r="K173" s="605"/>
    </row>
    <row r="174" spans="1:11" ht="22.5" x14ac:dyDescent="0.3">
      <c r="A174" s="207" t="s">
        <v>125</v>
      </c>
      <c r="B174" s="216">
        <f>C174+F174+I174</f>
        <v>2638424.3903999999</v>
      </c>
      <c r="C174" s="216">
        <f>D174+E174</f>
        <v>833400.00000000012</v>
      </c>
      <c r="D174" s="216">
        <f>'Додаток 3'!I141*1000</f>
        <v>833400.00000000012</v>
      </c>
      <c r="E174" s="216"/>
      <c r="F174" s="216">
        <f>G174+H174</f>
        <v>880070.4</v>
      </c>
      <c r="G174" s="216">
        <f>'Додаток 3'!J141*1000</f>
        <v>880070.4</v>
      </c>
      <c r="H174" s="216"/>
      <c r="I174" s="216">
        <f>J174+K174</f>
        <v>924953.99040000001</v>
      </c>
      <c r="J174" s="216">
        <f>'Додаток 3'!K141*1000</f>
        <v>924953.99040000001</v>
      </c>
      <c r="K174" s="216"/>
    </row>
    <row r="175" spans="1:11" ht="23.25" x14ac:dyDescent="0.35">
      <c r="A175" s="248" t="s">
        <v>399</v>
      </c>
      <c r="B175" s="216"/>
      <c r="C175" s="206">
        <v>665590</v>
      </c>
      <c r="D175" s="221"/>
      <c r="E175" s="220"/>
      <c r="F175" s="206">
        <f>C175*1.056</f>
        <v>702863.04</v>
      </c>
      <c r="G175" s="220"/>
      <c r="H175" s="220"/>
      <c r="I175" s="206">
        <f>F175*1.051</f>
        <v>738709.05504000001</v>
      </c>
      <c r="J175" s="216"/>
      <c r="K175" s="216"/>
    </row>
    <row r="176" spans="1:11" ht="46.5" x14ac:dyDescent="0.35">
      <c r="A176" s="248" t="s">
        <v>400</v>
      </c>
      <c r="B176" s="216"/>
      <c r="C176" s="206">
        <v>155810</v>
      </c>
      <c r="D176" s="221"/>
      <c r="E176" s="220"/>
      <c r="F176" s="206">
        <f>C176*1.056</f>
        <v>164535.36000000002</v>
      </c>
      <c r="G176" s="220"/>
      <c r="H176" s="220"/>
      <c r="I176" s="206">
        <f>F176*1.051</f>
        <v>172926.66336000001</v>
      </c>
      <c r="J176" s="216"/>
      <c r="K176" s="216"/>
    </row>
    <row r="177" spans="1:11" ht="47.25" customHeight="1" x14ac:dyDescent="0.35">
      <c r="A177" s="248" t="s">
        <v>401</v>
      </c>
      <c r="B177" s="216"/>
      <c r="C177" s="206">
        <v>12000</v>
      </c>
      <c r="D177" s="221"/>
      <c r="E177" s="220"/>
      <c r="F177" s="206">
        <f>C177*1.056</f>
        <v>12672</v>
      </c>
      <c r="G177" s="220"/>
      <c r="H177" s="220"/>
      <c r="I177" s="206">
        <f>F177*1.051</f>
        <v>13318.271999999999</v>
      </c>
      <c r="J177" s="216"/>
      <c r="K177" s="216"/>
    </row>
    <row r="178" spans="1:11" ht="23.25" x14ac:dyDescent="0.3">
      <c r="A178" s="207" t="s">
        <v>127</v>
      </c>
      <c r="B178" s="205"/>
      <c r="C178" s="201"/>
      <c r="D178" s="201"/>
      <c r="E178" s="201"/>
      <c r="F178" s="201"/>
      <c r="G178" s="201"/>
      <c r="H178" s="201"/>
      <c r="I178" s="201"/>
      <c r="J178" s="201"/>
      <c r="K178" s="200"/>
    </row>
    <row r="179" spans="1:11" ht="23.25" x14ac:dyDescent="0.35">
      <c r="A179" s="248" t="s">
        <v>171</v>
      </c>
      <c r="B179" s="205"/>
      <c r="C179" s="201">
        <v>60100</v>
      </c>
      <c r="D179" s="204"/>
      <c r="E179" s="201"/>
      <c r="F179" s="201">
        <v>60100</v>
      </c>
      <c r="G179" s="201"/>
      <c r="H179" s="201"/>
      <c r="I179" s="201">
        <v>60100</v>
      </c>
      <c r="J179" s="201"/>
      <c r="K179" s="200"/>
    </row>
    <row r="180" spans="1:11" ht="23.25" x14ac:dyDescent="0.35">
      <c r="A180" s="248" t="s">
        <v>172</v>
      </c>
      <c r="B180" s="205"/>
      <c r="C180" s="201">
        <v>2250</v>
      </c>
      <c r="D180" s="204"/>
      <c r="E180" s="201"/>
      <c r="F180" s="201">
        <v>2250</v>
      </c>
      <c r="G180" s="201"/>
      <c r="H180" s="201"/>
      <c r="I180" s="201">
        <v>2250</v>
      </c>
      <c r="J180" s="201"/>
      <c r="K180" s="200"/>
    </row>
    <row r="181" spans="1:11" ht="23.25" x14ac:dyDescent="0.35">
      <c r="A181" s="248" t="s">
        <v>173</v>
      </c>
      <c r="B181" s="205"/>
      <c r="C181" s="201">
        <v>150</v>
      </c>
      <c r="D181" s="204"/>
      <c r="E181" s="201"/>
      <c r="F181" s="201">
        <v>150</v>
      </c>
      <c r="G181" s="201"/>
      <c r="H181" s="201"/>
      <c r="I181" s="201">
        <v>150</v>
      </c>
      <c r="J181" s="201"/>
      <c r="K181" s="200"/>
    </row>
    <row r="182" spans="1:11" ht="23.25" x14ac:dyDescent="0.3">
      <c r="A182" s="207" t="s">
        <v>128</v>
      </c>
      <c r="B182" s="205"/>
      <c r="C182" s="201"/>
      <c r="D182" s="201"/>
      <c r="E182" s="201"/>
      <c r="F182" s="201"/>
      <c r="G182" s="201"/>
      <c r="H182" s="201"/>
      <c r="I182" s="201"/>
      <c r="J182" s="201"/>
      <c r="K182" s="200"/>
    </row>
    <row r="183" spans="1:11" ht="23.25" x14ac:dyDescent="0.3">
      <c r="A183" s="236" t="s">
        <v>174</v>
      </c>
      <c r="B183" s="205"/>
      <c r="C183" s="201">
        <f>C175/C179</f>
        <v>11.074708818635607</v>
      </c>
      <c r="D183" s="201"/>
      <c r="E183" s="201"/>
      <c r="F183" s="201">
        <f>F175/F179</f>
        <v>11.694892512479202</v>
      </c>
      <c r="G183" s="201"/>
      <c r="H183" s="201"/>
      <c r="I183" s="201">
        <f>I175/I179</f>
        <v>12.29133203061564</v>
      </c>
      <c r="J183" s="201"/>
      <c r="K183" s="200"/>
    </row>
    <row r="184" spans="1:11" ht="46.5" x14ac:dyDescent="0.3">
      <c r="A184" s="236" t="s">
        <v>397</v>
      </c>
      <c r="B184" s="205"/>
      <c r="C184" s="201">
        <f>C176/C180</f>
        <v>69.248888888888885</v>
      </c>
      <c r="D184" s="201"/>
      <c r="E184" s="201"/>
      <c r="F184" s="201">
        <f>F176/F180</f>
        <v>73.126826666666673</v>
      </c>
      <c r="G184" s="201"/>
      <c r="H184" s="201"/>
      <c r="I184" s="201">
        <f>I176/I180</f>
        <v>76.856294826666669</v>
      </c>
      <c r="J184" s="201"/>
      <c r="K184" s="200"/>
    </row>
    <row r="185" spans="1:11" ht="46.5" x14ac:dyDescent="0.3">
      <c r="A185" s="236" t="s">
        <v>398</v>
      </c>
      <c r="B185" s="205"/>
      <c r="C185" s="201">
        <f>C177/C181</f>
        <v>80</v>
      </c>
      <c r="D185" s="201"/>
      <c r="E185" s="201"/>
      <c r="F185" s="201">
        <f>F177/F181</f>
        <v>84.48</v>
      </c>
      <c r="G185" s="201"/>
      <c r="H185" s="201"/>
      <c r="I185" s="201">
        <f>I177/I181</f>
        <v>88.788479999999993</v>
      </c>
      <c r="J185" s="201"/>
      <c r="K185" s="200"/>
    </row>
    <row r="186" spans="1:11" ht="23.25" x14ac:dyDescent="0.35">
      <c r="A186" s="239" t="s">
        <v>120</v>
      </c>
      <c r="B186" s="606" t="s">
        <v>328</v>
      </c>
      <c r="C186" s="606"/>
      <c r="D186" s="606"/>
      <c r="E186" s="606"/>
      <c r="F186" s="606"/>
      <c r="G186" s="606"/>
      <c r="H186" s="606"/>
      <c r="I186" s="606"/>
      <c r="J186" s="606"/>
      <c r="K186" s="606"/>
    </row>
    <row r="187" spans="1:11" ht="22.5" x14ac:dyDescent="0.3">
      <c r="A187" s="233" t="s">
        <v>123</v>
      </c>
      <c r="B187" s="603" t="s">
        <v>167</v>
      </c>
      <c r="C187" s="604"/>
      <c r="D187" s="604"/>
      <c r="E187" s="604"/>
      <c r="F187" s="604"/>
      <c r="G187" s="604"/>
      <c r="H187" s="604"/>
      <c r="I187" s="604"/>
      <c r="J187" s="604"/>
      <c r="K187" s="605"/>
    </row>
    <row r="188" spans="1:11" ht="23.25" x14ac:dyDescent="0.35">
      <c r="A188" s="207" t="s">
        <v>125</v>
      </c>
      <c r="B188" s="216">
        <f>C188+F188+I188</f>
        <v>2849270.4</v>
      </c>
      <c r="C188" s="216">
        <f>D188+E188</f>
        <v>900000</v>
      </c>
      <c r="D188" s="333">
        <f>'Додаток 3'!I144*1000</f>
        <v>900000</v>
      </c>
      <c r="E188" s="216"/>
      <c r="F188" s="216">
        <f>G188+H188</f>
        <v>950400.00000000012</v>
      </c>
      <c r="G188" s="216">
        <f>'Додаток 3'!J144*1000</f>
        <v>950400.00000000012</v>
      </c>
      <c r="H188" s="216"/>
      <c r="I188" s="216">
        <f>J188+K188</f>
        <v>998870.4</v>
      </c>
      <c r="J188" s="216">
        <f>'Додаток 3'!K144*1000</f>
        <v>998870.4</v>
      </c>
      <c r="K188" s="216"/>
    </row>
    <row r="189" spans="1:11" ht="23.25" x14ac:dyDescent="0.3">
      <c r="A189" s="207" t="s">
        <v>127</v>
      </c>
      <c r="B189" s="205"/>
      <c r="C189" s="201"/>
      <c r="D189" s="201"/>
      <c r="E189" s="201"/>
      <c r="F189" s="201"/>
      <c r="G189" s="201"/>
      <c r="H189" s="201"/>
      <c r="I189" s="201"/>
      <c r="J189" s="201"/>
      <c r="K189" s="200"/>
    </row>
    <row r="190" spans="1:11" ht="46.5" x14ac:dyDescent="0.3">
      <c r="A190" s="248" t="s">
        <v>175</v>
      </c>
      <c r="B190" s="205"/>
      <c r="C190" s="201">
        <v>6</v>
      </c>
      <c r="D190" s="201"/>
      <c r="E190" s="201"/>
      <c r="F190" s="201">
        <v>6</v>
      </c>
      <c r="G190" s="201"/>
      <c r="H190" s="201"/>
      <c r="I190" s="201">
        <v>6</v>
      </c>
      <c r="J190" s="201"/>
      <c r="K190" s="200"/>
    </row>
    <row r="191" spans="1:11" ht="23.25" x14ac:dyDescent="0.3">
      <c r="A191" s="207" t="s">
        <v>128</v>
      </c>
      <c r="B191" s="205"/>
      <c r="C191" s="201"/>
      <c r="D191" s="201"/>
      <c r="E191" s="201"/>
      <c r="F191" s="201"/>
      <c r="G191" s="201"/>
      <c r="H191" s="201"/>
      <c r="I191" s="201"/>
      <c r="J191" s="201"/>
      <c r="K191" s="200"/>
    </row>
    <row r="192" spans="1:11" ht="53.25" customHeight="1" x14ac:dyDescent="0.3">
      <c r="A192" s="236" t="s">
        <v>402</v>
      </c>
      <c r="B192" s="205"/>
      <c r="C192" s="201">
        <f>C188/C190</f>
        <v>150000</v>
      </c>
      <c r="D192" s="201"/>
      <c r="E192" s="201"/>
      <c r="F192" s="201">
        <f t="shared" ref="F192:I192" si="12">F188/F190</f>
        <v>158400.00000000003</v>
      </c>
      <c r="G192" s="201"/>
      <c r="H192" s="201"/>
      <c r="I192" s="201">
        <f t="shared" si="12"/>
        <v>166478.39999999999</v>
      </c>
      <c r="J192" s="201"/>
      <c r="K192" s="200"/>
    </row>
    <row r="193" spans="1:11" ht="23.25" x14ac:dyDescent="0.35">
      <c r="A193" s="239" t="s">
        <v>120</v>
      </c>
      <c r="B193" s="606" t="s">
        <v>329</v>
      </c>
      <c r="C193" s="606"/>
      <c r="D193" s="606"/>
      <c r="E193" s="606"/>
      <c r="F193" s="606"/>
      <c r="G193" s="606"/>
      <c r="H193" s="606"/>
      <c r="I193" s="606"/>
      <c r="J193" s="606"/>
      <c r="K193" s="606"/>
    </row>
    <row r="194" spans="1:11" ht="22.5" x14ac:dyDescent="0.3">
      <c r="A194" s="233" t="s">
        <v>123</v>
      </c>
      <c r="B194" s="603" t="s">
        <v>167</v>
      </c>
      <c r="C194" s="604"/>
      <c r="D194" s="604"/>
      <c r="E194" s="604"/>
      <c r="F194" s="604"/>
      <c r="G194" s="604"/>
      <c r="H194" s="604"/>
      <c r="I194" s="604"/>
      <c r="J194" s="604"/>
      <c r="K194" s="605"/>
    </row>
    <row r="195" spans="1:11" ht="20.25" customHeight="1" x14ac:dyDescent="0.3">
      <c r="A195" s="233" t="s">
        <v>165</v>
      </c>
      <c r="B195" s="603" t="s">
        <v>166</v>
      </c>
      <c r="C195" s="604"/>
      <c r="D195" s="604"/>
      <c r="E195" s="604"/>
      <c r="F195" s="604"/>
      <c r="G195" s="604"/>
      <c r="H195" s="604"/>
      <c r="I195" s="604"/>
      <c r="J195" s="604"/>
      <c r="K195" s="605"/>
    </row>
    <row r="196" spans="1:11" ht="22.5" x14ac:dyDescent="0.3">
      <c r="A196" s="207" t="s">
        <v>125</v>
      </c>
      <c r="B196" s="216">
        <f>C196+F196+I196</f>
        <v>23082025.910400003</v>
      </c>
      <c r="C196" s="216">
        <f>D196+E196</f>
        <v>7290900</v>
      </c>
      <c r="D196" s="216">
        <f>'Додаток 3'!I145*1000</f>
        <v>7290900</v>
      </c>
      <c r="E196" s="216"/>
      <c r="F196" s="216">
        <f>G196+H196</f>
        <v>7699190.4000000004</v>
      </c>
      <c r="G196" s="216">
        <f>'Додаток 3'!J145*1000</f>
        <v>7699190.4000000004</v>
      </c>
      <c r="H196" s="216"/>
      <c r="I196" s="216">
        <f>J196+K196</f>
        <v>8091935.510400001</v>
      </c>
      <c r="J196" s="216">
        <f>'Додаток 3'!K145*1000</f>
        <v>8091935.510400001</v>
      </c>
      <c r="K196" s="216"/>
    </row>
    <row r="197" spans="1:11" ht="23.25" x14ac:dyDescent="0.3">
      <c r="A197" s="207" t="s">
        <v>127</v>
      </c>
      <c r="B197" s="205"/>
      <c r="C197" s="201"/>
      <c r="D197" s="201"/>
      <c r="E197" s="201"/>
      <c r="F197" s="201"/>
      <c r="G197" s="201"/>
      <c r="H197" s="201"/>
      <c r="I197" s="201"/>
      <c r="J197" s="201"/>
      <c r="K197" s="200"/>
    </row>
    <row r="198" spans="1:11" ht="46.5" x14ac:dyDescent="0.3">
      <c r="A198" s="248" t="s">
        <v>176</v>
      </c>
      <c r="B198" s="205"/>
      <c r="C198" s="201">
        <v>39</v>
      </c>
      <c r="D198" s="201"/>
      <c r="E198" s="201"/>
      <c r="F198" s="201">
        <v>39</v>
      </c>
      <c r="G198" s="201"/>
      <c r="H198" s="201"/>
      <c r="I198" s="201">
        <v>39</v>
      </c>
      <c r="J198" s="201"/>
      <c r="K198" s="200"/>
    </row>
    <row r="199" spans="1:11" ht="23.25" x14ac:dyDescent="0.3">
      <c r="A199" s="207" t="s">
        <v>128</v>
      </c>
      <c r="B199" s="205"/>
      <c r="C199" s="201"/>
      <c r="D199" s="201"/>
      <c r="E199" s="201"/>
      <c r="F199" s="201"/>
      <c r="G199" s="201"/>
      <c r="H199" s="201"/>
      <c r="I199" s="201"/>
      <c r="J199" s="201"/>
      <c r="K199" s="200"/>
    </row>
    <row r="200" spans="1:11" ht="69.75" customHeight="1" x14ac:dyDescent="0.3">
      <c r="A200" s="236" t="s">
        <v>177</v>
      </c>
      <c r="B200" s="205"/>
      <c r="C200" s="201">
        <f>C196/C198</f>
        <v>186946.15384615384</v>
      </c>
      <c r="D200" s="201"/>
      <c r="E200" s="201"/>
      <c r="F200" s="201">
        <f t="shared" ref="F200:I200" si="13">F196/F198</f>
        <v>197415.13846153847</v>
      </c>
      <c r="G200" s="201"/>
      <c r="H200" s="201"/>
      <c r="I200" s="201">
        <f t="shared" si="13"/>
        <v>207485.52590769232</v>
      </c>
      <c r="J200" s="201"/>
      <c r="K200" s="200"/>
    </row>
    <row r="201" spans="1:11" ht="23.25" x14ac:dyDescent="0.35">
      <c r="A201" s="239" t="s">
        <v>120</v>
      </c>
      <c r="B201" s="606" t="s">
        <v>330</v>
      </c>
      <c r="C201" s="606"/>
      <c r="D201" s="606"/>
      <c r="E201" s="606"/>
      <c r="F201" s="606"/>
      <c r="G201" s="606"/>
      <c r="H201" s="606"/>
      <c r="I201" s="606"/>
      <c r="J201" s="606"/>
      <c r="K201" s="606"/>
    </row>
    <row r="202" spans="1:11" ht="22.5" x14ac:dyDescent="0.3">
      <c r="A202" s="233" t="s">
        <v>123</v>
      </c>
      <c r="B202" s="603" t="s">
        <v>167</v>
      </c>
      <c r="C202" s="604"/>
      <c r="D202" s="604"/>
      <c r="E202" s="604"/>
      <c r="F202" s="604"/>
      <c r="G202" s="604"/>
      <c r="H202" s="604"/>
      <c r="I202" s="604"/>
      <c r="J202" s="604"/>
      <c r="K202" s="605"/>
    </row>
    <row r="203" spans="1:11" ht="22.5" x14ac:dyDescent="0.3">
      <c r="A203" s="207" t="s">
        <v>125</v>
      </c>
      <c r="B203" s="216">
        <f>C203+F203+I203</f>
        <v>1329600</v>
      </c>
      <c r="C203" s="216">
        <f>D203+E203</f>
        <v>420000</v>
      </c>
      <c r="D203" s="216">
        <f>'Додаток 3'!I149*1000</f>
        <v>420000</v>
      </c>
      <c r="E203" s="216"/>
      <c r="F203" s="216">
        <f>G203+H203</f>
        <v>443500</v>
      </c>
      <c r="G203" s="216">
        <f>'Додаток 3'!J149*1000</f>
        <v>443500</v>
      </c>
      <c r="H203" s="216"/>
      <c r="I203" s="216">
        <f>J203+K203</f>
        <v>466100</v>
      </c>
      <c r="J203" s="216">
        <f>'Додаток 3'!K149*1000</f>
        <v>466100</v>
      </c>
      <c r="K203" s="216"/>
    </row>
    <row r="204" spans="1:11" ht="23.25" x14ac:dyDescent="0.3">
      <c r="A204" s="207" t="s">
        <v>127</v>
      </c>
      <c r="B204" s="205"/>
      <c r="C204" s="201"/>
      <c r="D204" s="201"/>
      <c r="E204" s="201"/>
      <c r="F204" s="201"/>
      <c r="G204" s="201"/>
      <c r="H204" s="201"/>
      <c r="I204" s="201"/>
      <c r="J204" s="201"/>
      <c r="K204" s="200"/>
    </row>
    <row r="205" spans="1:11" ht="46.5" x14ac:dyDescent="0.3">
      <c r="A205" s="248" t="s">
        <v>331</v>
      </c>
      <c r="B205" s="205"/>
      <c r="C205" s="201">
        <v>2</v>
      </c>
      <c r="D205" s="201"/>
      <c r="E205" s="201"/>
      <c r="F205" s="201">
        <v>2</v>
      </c>
      <c r="G205" s="201"/>
      <c r="H205" s="201"/>
      <c r="I205" s="201">
        <v>2</v>
      </c>
      <c r="J205" s="201"/>
      <c r="K205" s="200"/>
    </row>
    <row r="206" spans="1:11" ht="23.25" x14ac:dyDescent="0.3">
      <c r="A206" s="207" t="s">
        <v>128</v>
      </c>
      <c r="B206" s="205"/>
      <c r="C206" s="201"/>
      <c r="D206" s="201"/>
      <c r="E206" s="201"/>
      <c r="F206" s="201"/>
      <c r="G206" s="201"/>
      <c r="H206" s="201"/>
      <c r="I206" s="201"/>
      <c r="J206" s="201"/>
      <c r="K206" s="200"/>
    </row>
    <row r="207" spans="1:11" ht="69.75" x14ac:dyDescent="0.3">
      <c r="A207" s="236" t="s">
        <v>178</v>
      </c>
      <c r="B207" s="205"/>
      <c r="C207" s="201">
        <f>C203/C205</f>
        <v>210000</v>
      </c>
      <c r="D207" s="201"/>
      <c r="E207" s="201"/>
      <c r="F207" s="201">
        <f t="shared" ref="F207" si="14">F203/F205</f>
        <v>221750</v>
      </c>
      <c r="G207" s="201"/>
      <c r="H207" s="201"/>
      <c r="I207" s="201">
        <f t="shared" ref="I207" si="15">I203/I205</f>
        <v>233050</v>
      </c>
      <c r="J207" s="201"/>
      <c r="K207" s="200"/>
    </row>
    <row r="208" spans="1:11" ht="23.25" x14ac:dyDescent="0.35">
      <c r="A208" s="239" t="s">
        <v>120</v>
      </c>
      <c r="B208" s="606" t="s">
        <v>59</v>
      </c>
      <c r="C208" s="606"/>
      <c r="D208" s="606"/>
      <c r="E208" s="606"/>
      <c r="F208" s="606"/>
      <c r="G208" s="606"/>
      <c r="H208" s="606"/>
      <c r="I208" s="606"/>
      <c r="J208" s="606"/>
      <c r="K208" s="606"/>
    </row>
    <row r="209" spans="1:12" ht="22.5" x14ac:dyDescent="0.3">
      <c r="A209" s="233" t="s">
        <v>152</v>
      </c>
      <c r="B209" s="603" t="s">
        <v>170</v>
      </c>
      <c r="C209" s="604"/>
      <c r="D209" s="604"/>
      <c r="E209" s="604"/>
      <c r="F209" s="604"/>
      <c r="G209" s="604"/>
      <c r="H209" s="604"/>
      <c r="I209" s="604"/>
      <c r="J209" s="604"/>
      <c r="K209" s="605"/>
    </row>
    <row r="210" spans="1:12" ht="23.25" x14ac:dyDescent="0.35">
      <c r="A210" s="207" t="s">
        <v>125</v>
      </c>
      <c r="B210" s="216">
        <f>C210+F210+I210</f>
        <v>6081284.7583999997</v>
      </c>
      <c r="C210" s="216">
        <f>D210+E210</f>
        <v>1920900</v>
      </c>
      <c r="D210" s="333">
        <f>'Додаток 3'!I150*1000</f>
        <v>1920900</v>
      </c>
      <c r="E210" s="216"/>
      <c r="F210" s="216">
        <f>G210+H210</f>
        <v>2028438.4</v>
      </c>
      <c r="G210" s="216">
        <f>'Додаток 3'!J150*1000</f>
        <v>2028438.4</v>
      </c>
      <c r="H210" s="216"/>
      <c r="I210" s="216">
        <f>J210+K210</f>
        <v>2131946.3583999998</v>
      </c>
      <c r="J210" s="216">
        <f>'Додаток 3'!K150*1000</f>
        <v>2131946.3583999998</v>
      </c>
      <c r="K210" s="217"/>
    </row>
    <row r="211" spans="1:12" ht="23.25" x14ac:dyDescent="0.3">
      <c r="A211" s="207" t="s">
        <v>127</v>
      </c>
      <c r="B211" s="205"/>
      <c r="C211" s="201"/>
      <c r="D211" s="201"/>
      <c r="E211" s="201"/>
      <c r="F211" s="201"/>
      <c r="G211" s="201"/>
      <c r="H211" s="201"/>
      <c r="I211" s="201"/>
      <c r="J211" s="201"/>
      <c r="K211" s="200"/>
    </row>
    <row r="212" spans="1:12" ht="46.5" x14ac:dyDescent="0.3">
      <c r="A212" s="248" t="s">
        <v>179</v>
      </c>
      <c r="B212" s="205"/>
      <c r="C212" s="201">
        <v>8805</v>
      </c>
      <c r="D212" s="201"/>
      <c r="E212" s="201"/>
      <c r="F212" s="201">
        <f>C212</f>
        <v>8805</v>
      </c>
      <c r="G212" s="201"/>
      <c r="H212" s="201"/>
      <c r="I212" s="201">
        <f>F212</f>
        <v>8805</v>
      </c>
      <c r="J212" s="201"/>
      <c r="K212" s="200"/>
    </row>
    <row r="213" spans="1:12" ht="54.75" customHeight="1" x14ac:dyDescent="0.3">
      <c r="A213" s="248" t="s">
        <v>180</v>
      </c>
      <c r="B213" s="205"/>
      <c r="C213" s="203">
        <v>749</v>
      </c>
      <c r="D213" s="203"/>
      <c r="E213" s="203"/>
      <c r="F213" s="203">
        <v>749</v>
      </c>
      <c r="G213" s="203"/>
      <c r="H213" s="203"/>
      <c r="I213" s="203">
        <v>749</v>
      </c>
      <c r="J213" s="203"/>
      <c r="K213" s="209"/>
    </row>
    <row r="214" spans="1:12" ht="23.25" x14ac:dyDescent="0.3">
      <c r="A214" s="207" t="s">
        <v>128</v>
      </c>
      <c r="B214" s="205"/>
      <c r="C214" s="203"/>
      <c r="D214" s="203"/>
      <c r="E214" s="203"/>
      <c r="F214" s="203"/>
      <c r="G214" s="203"/>
      <c r="H214" s="203"/>
      <c r="I214" s="203"/>
      <c r="J214" s="203"/>
      <c r="K214" s="209"/>
    </row>
    <row r="215" spans="1:12" ht="24" customHeight="1" x14ac:dyDescent="0.3">
      <c r="A215" s="236" t="s">
        <v>181</v>
      </c>
      <c r="B215" s="205"/>
      <c r="C215" s="203">
        <f>C210/C213</f>
        <v>2564.619492656876</v>
      </c>
      <c r="D215" s="203"/>
      <c r="E215" s="203"/>
      <c r="F215" s="203">
        <f>F210/F213</f>
        <v>2708.1954606141521</v>
      </c>
      <c r="G215" s="203"/>
      <c r="H215" s="203"/>
      <c r="I215" s="203">
        <f>I210/I213</f>
        <v>2846.3903316421893</v>
      </c>
      <c r="J215" s="203"/>
      <c r="K215" s="209"/>
    </row>
    <row r="216" spans="1:12" ht="69.75" x14ac:dyDescent="0.3">
      <c r="A216" s="236" t="s">
        <v>182</v>
      </c>
      <c r="B216" s="205"/>
      <c r="C216" s="203">
        <f>C213/C212*100</f>
        <v>8.5065303804656445</v>
      </c>
      <c r="D216" s="203"/>
      <c r="E216" s="203"/>
      <c r="F216" s="203">
        <f t="shared" ref="F216:I216" si="16">F213/F212*100</f>
        <v>8.5065303804656445</v>
      </c>
      <c r="G216" s="203"/>
      <c r="H216" s="203"/>
      <c r="I216" s="203">
        <f t="shared" si="16"/>
        <v>8.5065303804656445</v>
      </c>
      <c r="J216" s="203"/>
      <c r="K216" s="209"/>
    </row>
    <row r="217" spans="1:12" ht="23.25" x14ac:dyDescent="0.35">
      <c r="A217" s="222" t="s">
        <v>120</v>
      </c>
      <c r="B217" s="606" t="s">
        <v>332</v>
      </c>
      <c r="C217" s="606"/>
      <c r="D217" s="606"/>
      <c r="E217" s="606"/>
      <c r="F217" s="606"/>
      <c r="G217" s="606"/>
      <c r="H217" s="606"/>
      <c r="I217" s="606"/>
      <c r="J217" s="606"/>
      <c r="K217" s="606"/>
    </row>
    <row r="218" spans="1:12" ht="22.5" x14ac:dyDescent="0.3">
      <c r="A218" s="233" t="s">
        <v>123</v>
      </c>
      <c r="B218" s="603" t="s">
        <v>167</v>
      </c>
      <c r="C218" s="604"/>
      <c r="D218" s="604"/>
      <c r="E218" s="604"/>
      <c r="F218" s="604"/>
      <c r="G218" s="604"/>
      <c r="H218" s="604"/>
      <c r="I218" s="604"/>
      <c r="J218" s="604"/>
      <c r="K218" s="605"/>
    </row>
    <row r="219" spans="1:12" ht="23.25" x14ac:dyDescent="0.35">
      <c r="A219" s="207" t="s">
        <v>125</v>
      </c>
      <c r="B219" s="216">
        <f>C219+F219+I219</f>
        <v>520000</v>
      </c>
      <c r="C219" s="216">
        <f>D219+E219</f>
        <v>120000</v>
      </c>
      <c r="D219" s="333">
        <f>'Додаток 3'!I153*1000</f>
        <v>120000</v>
      </c>
      <c r="E219" s="216"/>
      <c r="F219" s="216">
        <f>G219+H219</f>
        <v>200000</v>
      </c>
      <c r="G219" s="216">
        <f>'Додаток 3'!J153*1000</f>
        <v>200000</v>
      </c>
      <c r="H219" s="216"/>
      <c r="I219" s="216">
        <f>J219+K219</f>
        <v>200000</v>
      </c>
      <c r="J219" s="216">
        <f>'Додаток 3'!K153*1000</f>
        <v>200000</v>
      </c>
      <c r="K219" s="216"/>
      <c r="L219" s="334"/>
    </row>
    <row r="220" spans="1:12" ht="23.25" x14ac:dyDescent="0.35">
      <c r="A220" s="207" t="s">
        <v>127</v>
      </c>
      <c r="B220" s="216"/>
      <c r="C220" s="217"/>
      <c r="D220" s="222"/>
      <c r="E220" s="217"/>
      <c r="F220" s="217"/>
      <c r="G220" s="217"/>
      <c r="H220" s="217"/>
      <c r="I220" s="217"/>
      <c r="J220" s="217"/>
      <c r="K220" s="216"/>
    </row>
    <row r="221" spans="1:12" ht="46.5" x14ac:dyDescent="0.35">
      <c r="A221" s="248" t="s">
        <v>333</v>
      </c>
      <c r="B221" s="216"/>
      <c r="C221" s="206">
        <v>250</v>
      </c>
      <c r="D221" s="206"/>
      <c r="E221" s="206"/>
      <c r="F221" s="206">
        <v>250</v>
      </c>
      <c r="G221" s="206"/>
      <c r="H221" s="206"/>
      <c r="I221" s="206">
        <v>250</v>
      </c>
      <c r="J221" s="222"/>
      <c r="K221" s="216"/>
    </row>
    <row r="222" spans="1:12" ht="23.25" hidden="1" x14ac:dyDescent="0.3">
      <c r="A222" s="207" t="s">
        <v>127</v>
      </c>
      <c r="B222" s="205"/>
      <c r="C222" s="201"/>
      <c r="D222" s="201"/>
      <c r="E222" s="201"/>
      <c r="F222" s="201"/>
      <c r="G222" s="201"/>
      <c r="H222" s="201"/>
      <c r="I222" s="201"/>
      <c r="J222" s="201"/>
      <c r="K222" s="200"/>
    </row>
    <row r="223" spans="1:12" ht="23.25" hidden="1" x14ac:dyDescent="0.3">
      <c r="A223" s="240" t="s">
        <v>126</v>
      </c>
      <c r="B223" s="205"/>
      <c r="C223" s="201">
        <v>1</v>
      </c>
      <c r="D223" s="201"/>
      <c r="E223" s="201"/>
      <c r="F223" s="201">
        <f>C223</f>
        <v>1</v>
      </c>
      <c r="G223" s="201"/>
      <c r="H223" s="201"/>
      <c r="I223" s="201">
        <f>F223</f>
        <v>1</v>
      </c>
      <c r="J223" s="201"/>
      <c r="K223" s="200"/>
    </row>
    <row r="224" spans="1:12" ht="46.5" hidden="1" x14ac:dyDescent="0.3">
      <c r="A224" s="248" t="s">
        <v>183</v>
      </c>
      <c r="B224" s="205"/>
      <c r="C224" s="201"/>
      <c r="D224" s="201"/>
      <c r="E224" s="201"/>
      <c r="F224" s="201"/>
      <c r="G224" s="201"/>
      <c r="H224" s="201"/>
      <c r="I224" s="201"/>
      <c r="J224" s="201"/>
      <c r="K224" s="200"/>
    </row>
    <row r="225" spans="1:11" ht="23.25" hidden="1" x14ac:dyDescent="0.3">
      <c r="A225" s="207" t="s">
        <v>128</v>
      </c>
      <c r="B225" s="205"/>
      <c r="C225" s="201"/>
      <c r="D225" s="201"/>
      <c r="E225" s="201"/>
      <c r="F225" s="201"/>
      <c r="G225" s="201"/>
      <c r="H225" s="201"/>
      <c r="I225" s="201"/>
      <c r="J225" s="201"/>
      <c r="K225" s="200"/>
    </row>
    <row r="226" spans="1:11" ht="18" hidden="1" customHeight="1" x14ac:dyDescent="0.3">
      <c r="A226" s="236" t="s">
        <v>184</v>
      </c>
      <c r="B226" s="205"/>
      <c r="C226" s="201" t="e">
        <f>C219/C224</f>
        <v>#DIV/0!</v>
      </c>
      <c r="D226" s="201"/>
      <c r="E226" s="201"/>
      <c r="F226" s="201"/>
      <c r="G226" s="201"/>
      <c r="H226" s="201"/>
      <c r="I226" s="201"/>
      <c r="J226" s="201"/>
      <c r="K226" s="200"/>
    </row>
    <row r="227" spans="1:11" ht="17.25" hidden="1" customHeight="1" x14ac:dyDescent="0.3">
      <c r="A227" s="238" t="s">
        <v>129</v>
      </c>
      <c r="B227" s="205"/>
      <c r="C227" s="201"/>
      <c r="D227" s="201"/>
      <c r="E227" s="201"/>
      <c r="F227" s="201"/>
      <c r="G227" s="201"/>
      <c r="H227" s="201"/>
      <c r="I227" s="201"/>
      <c r="J227" s="201"/>
      <c r="K227" s="200"/>
    </row>
    <row r="228" spans="1:11" ht="46.5" hidden="1" x14ac:dyDescent="0.3">
      <c r="A228" s="236" t="s">
        <v>185</v>
      </c>
      <c r="B228" s="205"/>
      <c r="C228" s="201">
        <f>C224/C221*100</f>
        <v>0</v>
      </c>
      <c r="D228" s="201"/>
      <c r="E228" s="201"/>
      <c r="F228" s="201"/>
      <c r="G228" s="201"/>
      <c r="H228" s="201"/>
      <c r="I228" s="201"/>
      <c r="J228" s="201"/>
      <c r="K228" s="200"/>
    </row>
    <row r="229" spans="1:11" ht="46.5" x14ac:dyDescent="0.3">
      <c r="A229" s="236" t="s">
        <v>183</v>
      </c>
      <c r="B229" s="205"/>
      <c r="C229" s="201">
        <v>43</v>
      </c>
      <c r="D229" s="201"/>
      <c r="E229" s="201"/>
      <c r="F229" s="201">
        <v>70</v>
      </c>
      <c r="G229" s="201"/>
      <c r="H229" s="201"/>
      <c r="I229" s="201">
        <v>70</v>
      </c>
      <c r="J229" s="201"/>
      <c r="K229" s="200"/>
    </row>
    <row r="230" spans="1:11" ht="23.25" x14ac:dyDescent="0.3">
      <c r="A230" s="207" t="s">
        <v>128</v>
      </c>
      <c r="B230" s="205"/>
      <c r="C230" s="201"/>
      <c r="D230" s="201"/>
      <c r="E230" s="201"/>
      <c r="F230" s="201"/>
      <c r="G230" s="201"/>
      <c r="H230" s="201"/>
      <c r="I230" s="201"/>
      <c r="J230" s="201"/>
      <c r="K230" s="200"/>
    </row>
    <row r="231" spans="1:11" ht="46.5" x14ac:dyDescent="0.3">
      <c r="A231" s="234" t="s">
        <v>334</v>
      </c>
      <c r="B231" s="205"/>
      <c r="C231" s="201">
        <f>C219/C229</f>
        <v>2790.6976744186045</v>
      </c>
      <c r="D231" s="201"/>
      <c r="E231" s="201"/>
      <c r="F231" s="201">
        <f t="shared" ref="F231:I231" si="17">F219/F229</f>
        <v>2857.1428571428573</v>
      </c>
      <c r="G231" s="201"/>
      <c r="H231" s="201"/>
      <c r="I231" s="201">
        <f t="shared" si="17"/>
        <v>2857.1428571428573</v>
      </c>
      <c r="J231" s="201"/>
      <c r="K231" s="200"/>
    </row>
    <row r="232" spans="1:11" ht="47.25" customHeight="1" x14ac:dyDescent="0.3">
      <c r="A232" s="236" t="s">
        <v>185</v>
      </c>
      <c r="B232" s="205"/>
      <c r="C232" s="201">
        <f>C229/C221*100</f>
        <v>17.2</v>
      </c>
      <c r="D232" s="201"/>
      <c r="E232" s="201"/>
      <c r="F232" s="201">
        <f t="shared" ref="F232:I232" si="18">F229/F221*100</f>
        <v>28.000000000000004</v>
      </c>
      <c r="G232" s="201"/>
      <c r="H232" s="201"/>
      <c r="I232" s="201">
        <f t="shared" si="18"/>
        <v>28.000000000000004</v>
      </c>
      <c r="J232" s="201"/>
      <c r="K232" s="200"/>
    </row>
    <row r="233" spans="1:11" ht="23.25" x14ac:dyDescent="0.35">
      <c r="A233" s="239" t="s">
        <v>120</v>
      </c>
      <c r="B233" s="606" t="s">
        <v>335</v>
      </c>
      <c r="C233" s="606"/>
      <c r="D233" s="606"/>
      <c r="E233" s="606"/>
      <c r="F233" s="606"/>
      <c r="G233" s="606"/>
      <c r="H233" s="606"/>
      <c r="I233" s="606"/>
      <c r="J233" s="606"/>
      <c r="K233" s="606"/>
    </row>
    <row r="234" spans="1:11" ht="22.5" x14ac:dyDescent="0.3">
      <c r="A234" s="233" t="s">
        <v>192</v>
      </c>
      <c r="B234" s="603" t="s">
        <v>193</v>
      </c>
      <c r="C234" s="604"/>
      <c r="D234" s="604"/>
      <c r="E234" s="604"/>
      <c r="F234" s="604"/>
      <c r="G234" s="604"/>
      <c r="H234" s="604"/>
      <c r="I234" s="604"/>
      <c r="J234" s="604"/>
      <c r="K234" s="605"/>
    </row>
    <row r="235" spans="1:11" ht="21.75" customHeight="1" x14ac:dyDescent="0.35">
      <c r="A235" s="207" t="s">
        <v>125</v>
      </c>
      <c r="B235" s="216">
        <f>C235+F235+I235</f>
        <v>11743600</v>
      </c>
      <c r="C235" s="216">
        <f>D235+E235</f>
        <v>11743600</v>
      </c>
      <c r="D235" s="333">
        <f>'Додаток 3'!I154*1000</f>
        <v>11743600</v>
      </c>
      <c r="E235" s="216"/>
      <c r="F235" s="216"/>
      <c r="G235" s="216"/>
      <c r="H235" s="216"/>
      <c r="I235" s="216"/>
      <c r="J235" s="216"/>
      <c r="K235" s="216"/>
    </row>
    <row r="236" spans="1:11" ht="48" customHeight="1" x14ac:dyDescent="0.35">
      <c r="A236" s="234" t="s">
        <v>353</v>
      </c>
      <c r="B236" s="216"/>
      <c r="C236" s="206">
        <v>10532673</v>
      </c>
      <c r="D236" s="222"/>
      <c r="E236" s="216"/>
      <c r="F236" s="216"/>
      <c r="G236" s="216"/>
      <c r="H236" s="216"/>
      <c r="I236" s="216"/>
      <c r="J236" s="216"/>
      <c r="K236" s="216"/>
    </row>
    <row r="237" spans="1:11" ht="23.25" x14ac:dyDescent="0.3">
      <c r="A237" s="207" t="s">
        <v>127</v>
      </c>
      <c r="B237" s="205"/>
      <c r="C237" s="201"/>
      <c r="D237" s="201"/>
      <c r="E237" s="201"/>
      <c r="F237" s="201"/>
      <c r="G237" s="201"/>
      <c r="H237" s="201"/>
      <c r="I237" s="201"/>
      <c r="J237" s="201"/>
      <c r="K237" s="200"/>
    </row>
    <row r="238" spans="1:11" ht="48.75" customHeight="1" x14ac:dyDescent="0.3">
      <c r="A238" s="248" t="s">
        <v>194</v>
      </c>
      <c r="B238" s="205"/>
      <c r="C238" s="201">
        <v>1492</v>
      </c>
      <c r="D238" s="201"/>
      <c r="E238" s="201"/>
      <c r="F238" s="201"/>
      <c r="G238" s="201"/>
      <c r="H238" s="201"/>
      <c r="I238" s="201"/>
      <c r="J238" s="201"/>
      <c r="K238" s="200"/>
    </row>
    <row r="239" spans="1:11" ht="23.25" x14ac:dyDescent="0.3">
      <c r="A239" s="207" t="s">
        <v>128</v>
      </c>
      <c r="B239" s="205"/>
      <c r="C239" s="201"/>
      <c r="D239" s="201"/>
      <c r="E239" s="201"/>
      <c r="F239" s="201"/>
      <c r="G239" s="201"/>
      <c r="H239" s="201"/>
      <c r="I239" s="201"/>
      <c r="J239" s="201"/>
      <c r="K239" s="200"/>
    </row>
    <row r="240" spans="1:11" ht="69.75" x14ac:dyDescent="0.35">
      <c r="A240" s="241" t="s">
        <v>195</v>
      </c>
      <c r="B240" s="205"/>
      <c r="C240" s="201">
        <f>C235/C238</f>
        <v>7871.0455764075068</v>
      </c>
      <c r="D240" s="201"/>
      <c r="E240" s="201"/>
      <c r="F240" s="201"/>
      <c r="G240" s="201"/>
      <c r="H240" s="201"/>
      <c r="I240" s="201"/>
      <c r="J240" s="201"/>
      <c r="K240" s="200"/>
    </row>
    <row r="241" spans="1:11" ht="42.75" customHeight="1" x14ac:dyDescent="0.35">
      <c r="A241" s="239" t="s">
        <v>120</v>
      </c>
      <c r="B241" s="607" t="s">
        <v>408</v>
      </c>
      <c r="C241" s="608"/>
      <c r="D241" s="608"/>
      <c r="E241" s="608"/>
      <c r="F241" s="608"/>
      <c r="G241" s="608"/>
      <c r="H241" s="608"/>
      <c r="I241" s="608"/>
      <c r="J241" s="608"/>
      <c r="K241" s="609"/>
    </row>
    <row r="242" spans="1:11" ht="20.25" customHeight="1" x14ac:dyDescent="0.3">
      <c r="A242" s="233" t="s">
        <v>123</v>
      </c>
      <c r="B242" s="603" t="s">
        <v>124</v>
      </c>
      <c r="C242" s="604"/>
      <c r="D242" s="604"/>
      <c r="E242" s="604"/>
      <c r="F242" s="604"/>
      <c r="G242" s="604"/>
      <c r="H242" s="604"/>
      <c r="I242" s="604"/>
      <c r="J242" s="604"/>
      <c r="K242" s="605"/>
    </row>
    <row r="243" spans="1:11" s="237" customFormat="1" ht="22.5" x14ac:dyDescent="0.3">
      <c r="A243" s="207" t="s">
        <v>125</v>
      </c>
      <c r="B243" s="208">
        <f>C243+F243+I243</f>
        <v>2774523.0272000004</v>
      </c>
      <c r="C243" s="208">
        <f>D243+E243</f>
        <v>876800</v>
      </c>
      <c r="D243" s="208">
        <f>'Додаток 3'!I158*1000</f>
        <v>876800</v>
      </c>
      <c r="E243" s="208"/>
      <c r="F243" s="208">
        <f>G243+H243</f>
        <v>925267.20000000007</v>
      </c>
      <c r="G243" s="208">
        <f>'Додаток 3'!J158*1000</f>
        <v>925267.20000000007</v>
      </c>
      <c r="H243" s="208"/>
      <c r="I243" s="208">
        <f>J243+K243</f>
        <v>972455.82720000006</v>
      </c>
      <c r="J243" s="208">
        <f>'Додаток 3'!K158*1000</f>
        <v>972455.82720000006</v>
      </c>
      <c r="K243" s="210"/>
    </row>
    <row r="244" spans="1:11" ht="23.25" x14ac:dyDescent="0.3">
      <c r="A244" s="207" t="s">
        <v>127</v>
      </c>
      <c r="B244" s="202"/>
      <c r="C244" s="203"/>
      <c r="D244" s="203"/>
      <c r="E244" s="203"/>
      <c r="F244" s="203"/>
      <c r="G244" s="203"/>
      <c r="H244" s="203"/>
      <c r="I244" s="203"/>
      <c r="J244" s="203"/>
      <c r="K244" s="209"/>
    </row>
    <row r="245" spans="1:11" ht="23.25" x14ac:dyDescent="0.3">
      <c r="A245" s="240" t="s">
        <v>134</v>
      </c>
      <c r="B245" s="202"/>
      <c r="C245" s="203">
        <v>38</v>
      </c>
      <c r="D245" s="203"/>
      <c r="E245" s="203"/>
      <c r="F245" s="203">
        <v>38</v>
      </c>
      <c r="G245" s="203"/>
      <c r="H245" s="203"/>
      <c r="I245" s="203">
        <v>38</v>
      </c>
      <c r="J245" s="203"/>
      <c r="K245" s="209"/>
    </row>
    <row r="246" spans="1:11" ht="23.25" x14ac:dyDescent="0.3">
      <c r="A246" s="207" t="s">
        <v>128</v>
      </c>
      <c r="B246" s="202"/>
      <c r="C246" s="203"/>
      <c r="D246" s="203"/>
      <c r="E246" s="203"/>
      <c r="F246" s="203"/>
      <c r="G246" s="203"/>
      <c r="H246" s="203"/>
      <c r="I246" s="203"/>
      <c r="J246" s="203"/>
      <c r="K246" s="209"/>
    </row>
    <row r="247" spans="1:11" ht="51.75" customHeight="1" x14ac:dyDescent="0.3">
      <c r="A247" s="240" t="s">
        <v>403</v>
      </c>
      <c r="B247" s="202"/>
      <c r="C247" s="203">
        <f>C243/C245/12</f>
        <v>1922.8070175438597</v>
      </c>
      <c r="D247" s="203"/>
      <c r="E247" s="203"/>
      <c r="F247" s="203">
        <f>F243/F245/12</f>
        <v>2029.0947368421055</v>
      </c>
      <c r="G247" s="203"/>
      <c r="H247" s="203"/>
      <c r="I247" s="203">
        <f>I243/I245/12</f>
        <v>2132.5785684210528</v>
      </c>
      <c r="J247" s="203"/>
      <c r="K247" s="209"/>
    </row>
    <row r="248" spans="1:11" ht="22.5" x14ac:dyDescent="0.3">
      <c r="A248" s="610" t="s">
        <v>416</v>
      </c>
      <c r="B248" s="610"/>
      <c r="C248" s="610"/>
      <c r="D248" s="610"/>
      <c r="E248" s="610"/>
      <c r="F248" s="610"/>
      <c r="G248" s="610"/>
      <c r="H248" s="610"/>
      <c r="I248" s="610"/>
      <c r="J248" s="610"/>
      <c r="K248" s="610"/>
    </row>
    <row r="249" spans="1:11" ht="22.5" x14ac:dyDescent="0.3">
      <c r="A249" s="230" t="s">
        <v>121</v>
      </c>
      <c r="B249" s="199">
        <f t="shared" ref="B249:K249" si="19">B253+B270+B277+B285+B263</f>
        <v>28417300</v>
      </c>
      <c r="C249" s="199">
        <f t="shared" si="19"/>
        <v>19628800</v>
      </c>
      <c r="D249" s="199">
        <f t="shared" si="19"/>
        <v>19628800</v>
      </c>
      <c r="E249" s="199">
        <f t="shared" si="19"/>
        <v>0</v>
      </c>
      <c r="F249" s="199">
        <f t="shared" si="19"/>
        <v>4206300</v>
      </c>
      <c r="G249" s="199">
        <f t="shared" si="19"/>
        <v>4206300</v>
      </c>
      <c r="H249" s="199">
        <f t="shared" si="19"/>
        <v>0</v>
      </c>
      <c r="I249" s="199">
        <f t="shared" si="19"/>
        <v>4582200</v>
      </c>
      <c r="J249" s="199">
        <f t="shared" si="19"/>
        <v>4582200</v>
      </c>
      <c r="K249" s="199">
        <f t="shared" si="19"/>
        <v>0</v>
      </c>
    </row>
    <row r="250" spans="1:11" ht="22.5" x14ac:dyDescent="0.3">
      <c r="A250" s="231" t="s">
        <v>122</v>
      </c>
      <c r="B250" s="611"/>
      <c r="C250" s="612"/>
      <c r="D250" s="612"/>
      <c r="E250" s="612"/>
      <c r="F250" s="612"/>
      <c r="G250" s="612"/>
      <c r="H250" s="612"/>
      <c r="I250" s="612"/>
      <c r="J250" s="612"/>
      <c r="K250" s="613"/>
    </row>
    <row r="251" spans="1:11" ht="23.25" x14ac:dyDescent="0.35">
      <c r="A251" s="239" t="s">
        <v>120</v>
      </c>
      <c r="B251" s="606" t="s">
        <v>448</v>
      </c>
      <c r="C251" s="606"/>
      <c r="D251" s="606"/>
      <c r="E251" s="606"/>
      <c r="F251" s="606"/>
      <c r="G251" s="606"/>
      <c r="H251" s="606"/>
      <c r="I251" s="606"/>
      <c r="J251" s="606"/>
      <c r="K251" s="606"/>
    </row>
    <row r="252" spans="1:11" ht="22.5" x14ac:dyDescent="0.3">
      <c r="A252" s="233" t="s">
        <v>152</v>
      </c>
      <c r="B252" s="603" t="s">
        <v>170</v>
      </c>
      <c r="C252" s="604"/>
      <c r="D252" s="604"/>
      <c r="E252" s="604"/>
      <c r="F252" s="604"/>
      <c r="G252" s="604"/>
      <c r="H252" s="604"/>
      <c r="I252" s="604"/>
      <c r="J252" s="604"/>
      <c r="K252" s="605"/>
    </row>
    <row r="253" spans="1:11" ht="23.25" x14ac:dyDescent="0.35">
      <c r="A253" s="207" t="s">
        <v>125</v>
      </c>
      <c r="B253" s="216">
        <f>C253+F253+I253</f>
        <v>150000</v>
      </c>
      <c r="C253" s="216">
        <f>D253+E253</f>
        <v>50000</v>
      </c>
      <c r="D253" s="333">
        <f>'Додаток 3'!I182*1000</f>
        <v>50000</v>
      </c>
      <c r="E253" s="216"/>
      <c r="F253" s="216">
        <f>G253+H253</f>
        <v>50000</v>
      </c>
      <c r="G253" s="216">
        <f>'Додаток 3'!J182*1000</f>
        <v>50000</v>
      </c>
      <c r="H253" s="216"/>
      <c r="I253" s="216">
        <f>J253+K253</f>
        <v>50000</v>
      </c>
      <c r="J253" s="216">
        <f>'Додаток 3'!K182*1000</f>
        <v>50000</v>
      </c>
      <c r="K253" s="217"/>
    </row>
    <row r="254" spans="1:11" ht="46.5" x14ac:dyDescent="0.35">
      <c r="A254" s="234" t="s">
        <v>188</v>
      </c>
      <c r="B254" s="216"/>
      <c r="C254" s="206">
        <v>43</v>
      </c>
      <c r="D254" s="222"/>
      <c r="E254" s="216"/>
      <c r="F254" s="206">
        <v>43</v>
      </c>
      <c r="G254" s="206"/>
      <c r="H254" s="206"/>
      <c r="I254" s="206">
        <v>43</v>
      </c>
      <c r="J254" s="216"/>
      <c r="K254" s="216"/>
    </row>
    <row r="255" spans="1:11" ht="23.25" x14ac:dyDescent="0.3">
      <c r="A255" s="207" t="s">
        <v>127</v>
      </c>
      <c r="B255" s="205"/>
      <c r="C255" s="201"/>
      <c r="D255" s="201"/>
      <c r="E255" s="201"/>
      <c r="F255" s="201"/>
      <c r="G255" s="201"/>
      <c r="H255" s="201"/>
      <c r="I255" s="201"/>
      <c r="J255" s="201"/>
      <c r="K255" s="200"/>
    </row>
    <row r="256" spans="1:11" ht="54" customHeight="1" x14ac:dyDescent="0.3">
      <c r="A256" s="248" t="s">
        <v>189</v>
      </c>
      <c r="B256" s="205"/>
      <c r="C256" s="201">
        <v>20</v>
      </c>
      <c r="D256" s="201"/>
      <c r="E256" s="201"/>
      <c r="F256" s="201">
        <v>20</v>
      </c>
      <c r="G256" s="201"/>
      <c r="H256" s="201"/>
      <c r="I256" s="201">
        <v>20</v>
      </c>
      <c r="J256" s="201"/>
      <c r="K256" s="200"/>
    </row>
    <row r="257" spans="1:11" ht="23.25" x14ac:dyDescent="0.3">
      <c r="A257" s="207" t="s">
        <v>128</v>
      </c>
      <c r="B257" s="205"/>
      <c r="C257" s="201"/>
      <c r="D257" s="201"/>
      <c r="E257" s="201"/>
      <c r="F257" s="201"/>
      <c r="G257" s="201"/>
      <c r="H257" s="201"/>
      <c r="I257" s="201"/>
      <c r="J257" s="201"/>
      <c r="K257" s="200"/>
    </row>
    <row r="258" spans="1:11" ht="46.5" x14ac:dyDescent="0.3">
      <c r="A258" s="236" t="s">
        <v>190</v>
      </c>
      <c r="B258" s="205"/>
      <c r="C258" s="201">
        <f>C253/C256</f>
        <v>2500</v>
      </c>
      <c r="D258" s="201"/>
      <c r="E258" s="201"/>
      <c r="F258" s="201">
        <f>F253/F256</f>
        <v>2500</v>
      </c>
      <c r="G258" s="201"/>
      <c r="H258" s="201"/>
      <c r="I258" s="201">
        <f>I253/I256</f>
        <v>2500</v>
      </c>
      <c r="J258" s="201"/>
      <c r="K258" s="200"/>
    </row>
    <row r="259" spans="1:11" ht="23.25" x14ac:dyDescent="0.3">
      <c r="A259" s="238" t="s">
        <v>129</v>
      </c>
      <c r="B259" s="205"/>
      <c r="C259" s="201"/>
      <c r="D259" s="201"/>
      <c r="E259" s="201"/>
      <c r="F259" s="201"/>
      <c r="G259" s="201"/>
      <c r="H259" s="201"/>
      <c r="I259" s="201"/>
      <c r="J259" s="201"/>
      <c r="K259" s="200"/>
    </row>
    <row r="260" spans="1:11" ht="69.75" x14ac:dyDescent="0.3">
      <c r="A260" s="236" t="s">
        <v>191</v>
      </c>
      <c r="B260" s="205"/>
      <c r="C260" s="201">
        <f>C256/C254*100</f>
        <v>46.511627906976742</v>
      </c>
      <c r="D260" s="201"/>
      <c r="E260" s="201"/>
      <c r="F260" s="201">
        <f>F256/F254*100</f>
        <v>46.511627906976742</v>
      </c>
      <c r="G260" s="201"/>
      <c r="H260" s="201"/>
      <c r="I260" s="201">
        <f>I256/I254*100</f>
        <v>46.511627906976742</v>
      </c>
      <c r="J260" s="201"/>
      <c r="K260" s="200"/>
    </row>
    <row r="261" spans="1:11" ht="23.25" x14ac:dyDescent="0.35">
      <c r="A261" s="239" t="s">
        <v>120</v>
      </c>
      <c r="B261" s="606" t="s">
        <v>113</v>
      </c>
      <c r="C261" s="606"/>
      <c r="D261" s="606"/>
      <c r="E261" s="606"/>
      <c r="F261" s="606"/>
      <c r="G261" s="606"/>
      <c r="H261" s="606"/>
      <c r="I261" s="606"/>
      <c r="J261" s="606"/>
      <c r="K261" s="606"/>
    </row>
    <row r="262" spans="1:11" ht="22.5" x14ac:dyDescent="0.3">
      <c r="A262" s="233" t="s">
        <v>152</v>
      </c>
      <c r="B262" s="603" t="s">
        <v>170</v>
      </c>
      <c r="C262" s="604"/>
      <c r="D262" s="604"/>
      <c r="E262" s="604"/>
      <c r="F262" s="604"/>
      <c r="G262" s="604"/>
      <c r="H262" s="604"/>
      <c r="I262" s="604"/>
      <c r="J262" s="604"/>
      <c r="K262" s="605"/>
    </row>
    <row r="263" spans="1:11" ht="22.5" x14ac:dyDescent="0.3">
      <c r="A263" s="207" t="s">
        <v>125</v>
      </c>
      <c r="B263" s="216">
        <f>F263+I263</f>
        <v>2420000</v>
      </c>
      <c r="C263" s="216">
        <f>D263+E263</f>
        <v>0</v>
      </c>
      <c r="D263" s="216">
        <f>'Додаток 3'!I183*1000</f>
        <v>0</v>
      </c>
      <c r="E263" s="216"/>
      <c r="F263" s="216">
        <f>G263+H263</f>
        <v>1100000</v>
      </c>
      <c r="G263" s="216">
        <f>'Додаток 3'!J183*1000</f>
        <v>1100000</v>
      </c>
      <c r="H263" s="216"/>
      <c r="I263" s="216">
        <f>J263+K263</f>
        <v>1320000</v>
      </c>
      <c r="J263" s="216">
        <f>'Додаток 3'!K183*1000</f>
        <v>1320000</v>
      </c>
      <c r="K263" s="216"/>
    </row>
    <row r="264" spans="1:11" ht="23.25" x14ac:dyDescent="0.35">
      <c r="A264" s="207" t="s">
        <v>127</v>
      </c>
      <c r="B264" s="205"/>
      <c r="C264" s="201"/>
      <c r="D264" s="201"/>
      <c r="E264" s="201"/>
      <c r="F264" s="201"/>
      <c r="G264" s="201"/>
      <c r="H264" s="201"/>
      <c r="I264" s="201"/>
      <c r="J264" s="204"/>
      <c r="K264" s="200"/>
    </row>
    <row r="265" spans="1:11" ht="22.5" customHeight="1" x14ac:dyDescent="0.35">
      <c r="A265" s="234" t="s">
        <v>346</v>
      </c>
      <c r="B265" s="205"/>
      <c r="C265" s="249"/>
      <c r="D265" s="201"/>
      <c r="E265" s="201"/>
      <c r="F265" s="201">
        <v>5</v>
      </c>
      <c r="G265" s="201"/>
      <c r="H265" s="201"/>
      <c r="I265" s="201">
        <v>5</v>
      </c>
      <c r="J265" s="204"/>
      <c r="K265" s="200"/>
    </row>
    <row r="266" spans="1:11" ht="23.25" x14ac:dyDescent="0.35">
      <c r="A266" s="207" t="s">
        <v>128</v>
      </c>
      <c r="B266" s="205"/>
      <c r="C266" s="201"/>
      <c r="D266" s="201"/>
      <c r="E266" s="201"/>
      <c r="F266" s="201"/>
      <c r="G266" s="201"/>
      <c r="H266" s="201"/>
      <c r="I266" s="201"/>
      <c r="J266" s="204"/>
      <c r="K266" s="200"/>
    </row>
    <row r="267" spans="1:11" ht="46.5" x14ac:dyDescent="0.35">
      <c r="A267" s="251" t="s">
        <v>197</v>
      </c>
      <c r="B267" s="205"/>
      <c r="C267" s="201"/>
      <c r="D267" s="201"/>
      <c r="E267" s="201"/>
      <c r="F267" s="201">
        <f>F263/F265</f>
        <v>220000</v>
      </c>
      <c r="G267" s="201"/>
      <c r="H267" s="201"/>
      <c r="I267" s="201">
        <f t="shared" ref="I267" si="20">I263/I265</f>
        <v>264000</v>
      </c>
      <c r="J267" s="204"/>
      <c r="K267" s="200"/>
    </row>
    <row r="268" spans="1:11" ht="23.25" x14ac:dyDescent="0.35">
      <c r="A268" s="239" t="s">
        <v>120</v>
      </c>
      <c r="B268" s="606" t="s">
        <v>336</v>
      </c>
      <c r="C268" s="606"/>
      <c r="D268" s="606"/>
      <c r="E268" s="606"/>
      <c r="F268" s="606"/>
      <c r="G268" s="606"/>
      <c r="H268" s="606"/>
      <c r="I268" s="606"/>
      <c r="J268" s="606"/>
      <c r="K268" s="606"/>
    </row>
    <row r="269" spans="1:11" ht="22.5" x14ac:dyDescent="0.3">
      <c r="A269" s="233" t="s">
        <v>152</v>
      </c>
      <c r="B269" s="603" t="s">
        <v>170</v>
      </c>
      <c r="C269" s="604"/>
      <c r="D269" s="604"/>
      <c r="E269" s="604"/>
      <c r="F269" s="604"/>
      <c r="G269" s="604"/>
      <c r="H269" s="604"/>
      <c r="I269" s="604"/>
      <c r="J269" s="604"/>
      <c r="K269" s="605"/>
    </row>
    <row r="270" spans="1:11" ht="22.5" x14ac:dyDescent="0.3">
      <c r="A270" s="207" t="s">
        <v>125</v>
      </c>
      <c r="B270" s="216">
        <f>C270+F270+I270</f>
        <v>9162700</v>
      </c>
      <c r="C270" s="216">
        <f>D270+E270</f>
        <v>2894200</v>
      </c>
      <c r="D270" s="216">
        <f>'Додаток 3'!I185*1000</f>
        <v>2894200</v>
      </c>
      <c r="E270" s="216"/>
      <c r="F270" s="216">
        <f>G270+H270</f>
        <v>3056300</v>
      </c>
      <c r="G270" s="216">
        <f>'Додаток 3'!J185*1000</f>
        <v>3056300</v>
      </c>
      <c r="H270" s="216"/>
      <c r="I270" s="216">
        <f>J270+K270</f>
        <v>3212200</v>
      </c>
      <c r="J270" s="216">
        <f>'Додаток 3'!K185*1000</f>
        <v>3212200</v>
      </c>
      <c r="K270" s="216"/>
    </row>
    <row r="271" spans="1:11" ht="23.25" x14ac:dyDescent="0.3">
      <c r="A271" s="207" t="s">
        <v>127</v>
      </c>
      <c r="B271" s="205"/>
      <c r="C271" s="201"/>
      <c r="D271" s="201"/>
      <c r="E271" s="201"/>
      <c r="F271" s="201"/>
      <c r="G271" s="201"/>
      <c r="H271" s="201"/>
      <c r="I271" s="201"/>
      <c r="J271" s="201"/>
      <c r="K271" s="200"/>
    </row>
    <row r="272" spans="1:11" ht="23.25" x14ac:dyDescent="0.35">
      <c r="A272" s="234" t="s">
        <v>407</v>
      </c>
      <c r="B272" s="205"/>
      <c r="C272" s="249">
        <v>2</v>
      </c>
      <c r="D272" s="201"/>
      <c r="E272" s="201"/>
      <c r="F272" s="249">
        <v>2</v>
      </c>
      <c r="G272" s="201"/>
      <c r="H272" s="201"/>
      <c r="I272" s="249">
        <v>2</v>
      </c>
      <c r="J272" s="201"/>
      <c r="K272" s="200"/>
    </row>
    <row r="273" spans="1:11" ht="23.25" x14ac:dyDescent="0.3">
      <c r="A273" s="207" t="s">
        <v>128</v>
      </c>
      <c r="B273" s="205"/>
      <c r="C273" s="201"/>
      <c r="D273" s="201"/>
      <c r="E273" s="201"/>
      <c r="F273" s="201"/>
      <c r="G273" s="201"/>
      <c r="H273" s="201"/>
      <c r="I273" s="201"/>
      <c r="J273" s="201"/>
      <c r="K273" s="200"/>
    </row>
    <row r="274" spans="1:11" ht="23.25" x14ac:dyDescent="0.35">
      <c r="A274" s="250" t="s">
        <v>337</v>
      </c>
      <c r="B274" s="205"/>
      <c r="C274" s="201">
        <f>C270/C272/12</f>
        <v>120591.66666666667</v>
      </c>
      <c r="D274" s="201"/>
      <c r="E274" s="201"/>
      <c r="F274" s="201">
        <f t="shared" ref="F274:I274" si="21">F270/F272/12</f>
        <v>127345.83333333333</v>
      </c>
      <c r="G274" s="201"/>
      <c r="H274" s="201"/>
      <c r="I274" s="201">
        <f t="shared" si="21"/>
        <v>133841.66666666666</v>
      </c>
      <c r="J274" s="201"/>
      <c r="K274" s="200"/>
    </row>
    <row r="275" spans="1:11" ht="23.25" x14ac:dyDescent="0.35">
      <c r="A275" s="239" t="s">
        <v>120</v>
      </c>
      <c r="B275" s="606" t="s">
        <v>338</v>
      </c>
      <c r="C275" s="606"/>
      <c r="D275" s="606"/>
      <c r="E275" s="606"/>
      <c r="F275" s="606"/>
      <c r="G275" s="606"/>
      <c r="H275" s="606"/>
      <c r="I275" s="606"/>
      <c r="J275" s="606"/>
      <c r="K275" s="606"/>
    </row>
    <row r="276" spans="1:11" ht="22.5" x14ac:dyDescent="0.3">
      <c r="A276" s="233" t="s">
        <v>152</v>
      </c>
      <c r="B276" s="603" t="s">
        <v>170</v>
      </c>
      <c r="C276" s="604"/>
      <c r="D276" s="604"/>
      <c r="E276" s="604"/>
      <c r="F276" s="604"/>
      <c r="G276" s="604"/>
      <c r="H276" s="604"/>
      <c r="I276" s="604"/>
      <c r="J276" s="604"/>
      <c r="K276" s="605"/>
    </row>
    <row r="277" spans="1:11" ht="23.25" x14ac:dyDescent="0.35">
      <c r="A277" s="207" t="s">
        <v>125</v>
      </c>
      <c r="B277" s="216">
        <f>C277+F277+I277</f>
        <v>13939000</v>
      </c>
      <c r="C277" s="216">
        <f>D277+E277</f>
        <v>13939000</v>
      </c>
      <c r="D277" s="333">
        <f>'Додаток 3'!I186*1000</f>
        <v>13939000</v>
      </c>
      <c r="E277" s="216"/>
      <c r="F277" s="216"/>
      <c r="G277" s="216"/>
      <c r="H277" s="216"/>
      <c r="I277" s="216"/>
      <c r="J277" s="216"/>
      <c r="K277" s="216"/>
    </row>
    <row r="278" spans="1:11" ht="23.25" x14ac:dyDescent="0.3">
      <c r="A278" s="207" t="s">
        <v>127</v>
      </c>
      <c r="B278" s="205"/>
      <c r="C278" s="201"/>
      <c r="D278" s="201"/>
      <c r="E278" s="201"/>
      <c r="F278" s="201"/>
      <c r="G278" s="201"/>
      <c r="H278" s="201"/>
      <c r="I278" s="201"/>
      <c r="J278" s="201"/>
      <c r="K278" s="200"/>
    </row>
    <row r="279" spans="1:11" ht="21" customHeight="1" x14ac:dyDescent="0.35">
      <c r="A279" s="234" t="s">
        <v>196</v>
      </c>
      <c r="B279" s="205"/>
      <c r="C279" s="249">
        <v>8</v>
      </c>
      <c r="D279" s="201"/>
      <c r="E279" s="201"/>
      <c r="F279" s="201"/>
      <c r="G279" s="201"/>
      <c r="H279" s="201"/>
      <c r="I279" s="201"/>
      <c r="J279" s="201"/>
      <c r="K279" s="200"/>
    </row>
    <row r="280" spans="1:11" ht="23.25" x14ac:dyDescent="0.3">
      <c r="A280" s="207" t="s">
        <v>128</v>
      </c>
      <c r="B280" s="205"/>
      <c r="C280" s="201"/>
      <c r="D280" s="201"/>
      <c r="E280" s="201"/>
      <c r="F280" s="201"/>
      <c r="G280" s="201"/>
      <c r="H280" s="201"/>
      <c r="I280" s="201"/>
      <c r="J280" s="201"/>
      <c r="K280" s="200"/>
    </row>
    <row r="281" spans="1:11" ht="46.5" x14ac:dyDescent="0.35">
      <c r="A281" s="251" t="s">
        <v>339</v>
      </c>
      <c r="B281" s="205"/>
      <c r="C281" s="201">
        <f>C277/C279</f>
        <v>1742375</v>
      </c>
      <c r="D281" s="201"/>
      <c r="E281" s="201"/>
      <c r="F281" s="201"/>
      <c r="G281" s="201"/>
      <c r="H281" s="201"/>
      <c r="I281" s="201"/>
      <c r="J281" s="201"/>
      <c r="K281" s="200"/>
    </row>
    <row r="282" spans="1:11" ht="48" customHeight="1" x14ac:dyDescent="0.35">
      <c r="A282" s="239" t="s">
        <v>120</v>
      </c>
      <c r="B282" s="607" t="s">
        <v>340</v>
      </c>
      <c r="C282" s="608"/>
      <c r="D282" s="608"/>
      <c r="E282" s="608"/>
      <c r="F282" s="608"/>
      <c r="G282" s="608"/>
      <c r="H282" s="608"/>
      <c r="I282" s="608"/>
      <c r="J282" s="608"/>
      <c r="K282" s="609"/>
    </row>
    <row r="283" spans="1:11" ht="20.25" customHeight="1" x14ac:dyDescent="0.3">
      <c r="A283" s="233" t="s">
        <v>165</v>
      </c>
      <c r="B283" s="603" t="s">
        <v>166</v>
      </c>
      <c r="C283" s="604"/>
      <c r="D283" s="604"/>
      <c r="E283" s="604"/>
      <c r="F283" s="604"/>
      <c r="G283" s="604"/>
      <c r="H283" s="604"/>
      <c r="I283" s="604"/>
      <c r="J283" s="604"/>
      <c r="K283" s="605"/>
    </row>
    <row r="284" spans="1:11" ht="22.5" x14ac:dyDescent="0.3">
      <c r="A284" s="233" t="s">
        <v>123</v>
      </c>
      <c r="B284" s="603" t="s">
        <v>167</v>
      </c>
      <c r="C284" s="604"/>
      <c r="D284" s="604"/>
      <c r="E284" s="604"/>
      <c r="F284" s="604"/>
      <c r="G284" s="604"/>
      <c r="H284" s="604"/>
      <c r="I284" s="604"/>
      <c r="J284" s="604"/>
      <c r="K284" s="605"/>
    </row>
    <row r="285" spans="1:11" ht="23.25" x14ac:dyDescent="0.35">
      <c r="A285" s="207" t="s">
        <v>125</v>
      </c>
      <c r="B285" s="216">
        <f>C285+F285+I285</f>
        <v>2745600.0000000005</v>
      </c>
      <c r="C285" s="216">
        <f>D285+E285</f>
        <v>2745600.0000000005</v>
      </c>
      <c r="D285" s="333">
        <f>'Додаток 3'!I187*1000</f>
        <v>2745600.0000000005</v>
      </c>
      <c r="E285" s="216"/>
      <c r="F285" s="216"/>
      <c r="G285" s="216"/>
      <c r="H285" s="216"/>
      <c r="I285" s="216"/>
      <c r="J285" s="216"/>
      <c r="K285" s="216"/>
    </row>
    <row r="286" spans="1:11" ht="23.25" x14ac:dyDescent="0.3">
      <c r="A286" s="207" t="s">
        <v>127</v>
      </c>
      <c r="B286" s="205"/>
      <c r="C286" s="201"/>
      <c r="D286" s="201"/>
      <c r="E286" s="201"/>
      <c r="F286" s="201"/>
      <c r="G286" s="201"/>
      <c r="H286" s="201"/>
      <c r="I286" s="201"/>
      <c r="J286" s="201"/>
      <c r="K286" s="200"/>
    </row>
    <row r="287" spans="1:11" ht="21" customHeight="1" x14ac:dyDescent="0.35">
      <c r="A287" s="234" t="s">
        <v>196</v>
      </c>
      <c r="B287" s="205"/>
      <c r="C287" s="249">
        <v>5</v>
      </c>
      <c r="D287" s="201"/>
      <c r="E287" s="201"/>
      <c r="F287" s="201"/>
      <c r="G287" s="201"/>
      <c r="H287" s="201"/>
      <c r="I287" s="201"/>
      <c r="J287" s="201"/>
      <c r="K287" s="200"/>
    </row>
    <row r="288" spans="1:11" ht="23.25" x14ac:dyDescent="0.3">
      <c r="A288" s="207" t="s">
        <v>128</v>
      </c>
      <c r="B288" s="205"/>
      <c r="C288" s="201"/>
      <c r="D288" s="201"/>
      <c r="E288" s="201"/>
      <c r="F288" s="201"/>
      <c r="G288" s="201"/>
      <c r="H288" s="201"/>
      <c r="I288" s="201"/>
      <c r="J288" s="201"/>
      <c r="K288" s="200"/>
    </row>
    <row r="289" spans="1:11" ht="47.25" customHeight="1" x14ac:dyDescent="0.35">
      <c r="A289" s="251" t="s">
        <v>341</v>
      </c>
      <c r="B289" s="205"/>
      <c r="C289" s="201">
        <f>C285/C287/9</f>
        <v>61013.333333333343</v>
      </c>
      <c r="D289" s="201"/>
      <c r="E289" s="201"/>
      <c r="F289" s="201"/>
      <c r="G289" s="201"/>
      <c r="H289" s="201"/>
      <c r="I289" s="201"/>
      <c r="J289" s="201"/>
      <c r="K289" s="200"/>
    </row>
    <row r="290" spans="1:11" ht="22.5" x14ac:dyDescent="0.3">
      <c r="A290" s="610" t="s">
        <v>262</v>
      </c>
      <c r="B290" s="610"/>
      <c r="C290" s="610"/>
      <c r="D290" s="610"/>
      <c r="E290" s="610"/>
      <c r="F290" s="610"/>
      <c r="G290" s="610"/>
      <c r="H290" s="610"/>
      <c r="I290" s="610"/>
      <c r="J290" s="610"/>
      <c r="K290" s="610"/>
    </row>
    <row r="291" spans="1:11" ht="22.5" x14ac:dyDescent="0.3">
      <c r="A291" s="230" t="s">
        <v>121</v>
      </c>
      <c r="B291" s="199">
        <f>C291+F291+I291</f>
        <v>99593070.000000015</v>
      </c>
      <c r="C291" s="252">
        <f>D291+E291</f>
        <v>99593070.000000015</v>
      </c>
      <c r="D291" s="252">
        <f>D302+D303</f>
        <v>0</v>
      </c>
      <c r="E291" s="252">
        <f>E302+E303</f>
        <v>99593070.000000015</v>
      </c>
      <c r="F291" s="252">
        <f>G291+H291</f>
        <v>0</v>
      </c>
      <c r="G291" s="252">
        <f>G302+G303</f>
        <v>0</v>
      </c>
      <c r="H291" s="252">
        <f>H302+H303</f>
        <v>0</v>
      </c>
      <c r="I291" s="252">
        <f>J291+K291</f>
        <v>0</v>
      </c>
      <c r="J291" s="252">
        <f>J302+J303</f>
        <v>0</v>
      </c>
      <c r="K291" s="252">
        <f>K302+K303</f>
        <v>0</v>
      </c>
    </row>
    <row r="292" spans="1:11" ht="22.5" x14ac:dyDescent="0.3">
      <c r="A292" s="231" t="s">
        <v>122</v>
      </c>
      <c r="B292" s="611"/>
      <c r="C292" s="612"/>
      <c r="D292" s="612"/>
      <c r="E292" s="612"/>
      <c r="F292" s="612"/>
      <c r="G292" s="612"/>
      <c r="H292" s="612"/>
      <c r="I292" s="612"/>
      <c r="J292" s="612"/>
      <c r="K292" s="613"/>
    </row>
    <row r="293" spans="1:11" ht="23.25" x14ac:dyDescent="0.35">
      <c r="A293" s="232" t="s">
        <v>120</v>
      </c>
      <c r="B293" s="602" t="s">
        <v>61</v>
      </c>
      <c r="C293" s="602"/>
      <c r="D293" s="602"/>
      <c r="E293" s="602"/>
      <c r="F293" s="602"/>
      <c r="G293" s="602"/>
      <c r="H293" s="602"/>
      <c r="I293" s="602"/>
      <c r="J293" s="602"/>
      <c r="K293" s="602"/>
    </row>
    <row r="294" spans="1:11" ht="22.5" x14ac:dyDescent="0.3">
      <c r="A294" s="233" t="s">
        <v>123</v>
      </c>
      <c r="B294" s="603" t="s">
        <v>167</v>
      </c>
      <c r="C294" s="604"/>
      <c r="D294" s="604"/>
      <c r="E294" s="604"/>
      <c r="F294" s="604"/>
      <c r="G294" s="604"/>
      <c r="H294" s="604"/>
      <c r="I294" s="604"/>
      <c r="J294" s="604"/>
      <c r="K294" s="605"/>
    </row>
    <row r="295" spans="1:11" ht="22.5" x14ac:dyDescent="0.3">
      <c r="A295" s="233" t="s">
        <v>130</v>
      </c>
      <c r="B295" s="614" t="s">
        <v>168</v>
      </c>
      <c r="C295" s="614"/>
      <c r="D295" s="614"/>
      <c r="E295" s="614"/>
      <c r="F295" s="614"/>
      <c r="G295" s="614"/>
      <c r="H295" s="614"/>
      <c r="I295" s="614"/>
      <c r="J295" s="614"/>
      <c r="K295" s="614"/>
    </row>
    <row r="296" spans="1:11" ht="22.5" x14ac:dyDescent="0.3">
      <c r="A296" s="233" t="s">
        <v>132</v>
      </c>
      <c r="B296" s="614" t="s">
        <v>133</v>
      </c>
      <c r="C296" s="614"/>
      <c r="D296" s="614"/>
      <c r="E296" s="614"/>
      <c r="F296" s="614"/>
      <c r="G296" s="614"/>
      <c r="H296" s="614"/>
      <c r="I296" s="614"/>
      <c r="J296" s="614"/>
      <c r="K296" s="614"/>
    </row>
    <row r="297" spans="1:11" ht="22.5" x14ac:dyDescent="0.3">
      <c r="A297" s="233" t="s">
        <v>152</v>
      </c>
      <c r="B297" s="603" t="s">
        <v>447</v>
      </c>
      <c r="C297" s="604"/>
      <c r="D297" s="604"/>
      <c r="E297" s="604"/>
      <c r="F297" s="604"/>
      <c r="G297" s="604"/>
      <c r="H297" s="604"/>
      <c r="I297" s="604"/>
      <c r="J297" s="604"/>
      <c r="K297" s="605"/>
    </row>
    <row r="298" spans="1:11" ht="22.5" x14ac:dyDescent="0.3">
      <c r="A298" s="233" t="s">
        <v>200</v>
      </c>
      <c r="B298" s="618" t="s">
        <v>201</v>
      </c>
      <c r="C298" s="619"/>
      <c r="D298" s="619"/>
      <c r="E298" s="619"/>
      <c r="F298" s="619"/>
      <c r="G298" s="619"/>
      <c r="H298" s="619"/>
      <c r="I298" s="619"/>
      <c r="J298" s="619"/>
      <c r="K298" s="620"/>
    </row>
    <row r="299" spans="1:11" ht="22.5" x14ac:dyDescent="0.3">
      <c r="A299" s="233" t="s">
        <v>198</v>
      </c>
      <c r="B299" s="618" t="s">
        <v>199</v>
      </c>
      <c r="C299" s="619"/>
      <c r="D299" s="619"/>
      <c r="E299" s="619"/>
      <c r="F299" s="619"/>
      <c r="G299" s="619"/>
      <c r="H299" s="619"/>
      <c r="I299" s="619"/>
      <c r="J299" s="619"/>
      <c r="K299" s="620"/>
    </row>
    <row r="300" spans="1:11" ht="22.5" x14ac:dyDescent="0.3">
      <c r="A300" s="233" t="s">
        <v>342</v>
      </c>
      <c r="B300" s="618" t="s">
        <v>343</v>
      </c>
      <c r="C300" s="619"/>
      <c r="D300" s="619"/>
      <c r="E300" s="619"/>
      <c r="F300" s="619"/>
      <c r="G300" s="619"/>
      <c r="H300" s="619"/>
      <c r="I300" s="619"/>
      <c r="J300" s="619"/>
      <c r="K300" s="620"/>
    </row>
    <row r="301" spans="1:11" ht="23.25" x14ac:dyDescent="0.35">
      <c r="A301" s="207" t="s">
        <v>125</v>
      </c>
      <c r="B301" s="335">
        <f>C301+F301+I301</f>
        <v>99593070</v>
      </c>
      <c r="C301" s="335">
        <f>D301+E301</f>
        <v>99593070</v>
      </c>
      <c r="D301" s="330"/>
      <c r="E301" s="335">
        <f>'Додаток 3'!I231*1000</f>
        <v>99593070</v>
      </c>
      <c r="F301" s="204"/>
      <c r="G301" s="204"/>
      <c r="H301" s="204"/>
      <c r="I301" s="204"/>
      <c r="J301" s="204"/>
      <c r="K301" s="204"/>
    </row>
    <row r="302" spans="1:11" ht="23.25" customHeight="1" x14ac:dyDescent="0.35">
      <c r="A302" s="254" t="s">
        <v>203</v>
      </c>
      <c r="B302" s="335">
        <f>C302+F302+I302</f>
        <v>68469370.000000015</v>
      </c>
      <c r="C302" s="335">
        <f>E302+D302</f>
        <v>68469370.000000015</v>
      </c>
      <c r="D302" s="330"/>
      <c r="E302" s="330">
        <f>'Додаток 3'!I210*1000</f>
        <v>68469370.000000015</v>
      </c>
      <c r="F302" s="204"/>
      <c r="G302" s="204"/>
      <c r="H302" s="204"/>
      <c r="I302" s="204"/>
      <c r="J302" s="204"/>
      <c r="K302" s="204"/>
    </row>
    <row r="303" spans="1:11" ht="23.25" x14ac:dyDescent="0.35">
      <c r="A303" s="254" t="s">
        <v>202</v>
      </c>
      <c r="B303" s="335">
        <f>C303+F303+I303</f>
        <v>31123700</v>
      </c>
      <c r="C303" s="335">
        <f>E303+D303</f>
        <v>31123700</v>
      </c>
      <c r="D303" s="330"/>
      <c r="E303" s="330">
        <f>('Додаток 3'!H223+'Додаток 3'!H229+'Додаток 3'!H230)*1000</f>
        <v>31123700</v>
      </c>
      <c r="F303" s="204"/>
      <c r="G303" s="204"/>
      <c r="H303" s="204"/>
      <c r="I303" s="204"/>
      <c r="J303" s="204"/>
      <c r="K303" s="204"/>
    </row>
    <row r="304" spans="1:11" ht="23.25" x14ac:dyDescent="0.35">
      <c r="A304" s="207" t="s">
        <v>127</v>
      </c>
      <c r="B304" s="253"/>
      <c r="C304" s="204"/>
      <c r="D304" s="204"/>
      <c r="E304" s="204"/>
      <c r="F304" s="204"/>
      <c r="G304" s="204"/>
      <c r="H304" s="204"/>
      <c r="I304" s="204"/>
      <c r="J304" s="204"/>
      <c r="K304" s="204"/>
    </row>
    <row r="305" spans="1:11" ht="23.25" x14ac:dyDescent="0.35">
      <c r="A305" s="246" t="s">
        <v>204</v>
      </c>
      <c r="B305" s="253"/>
      <c r="C305" s="255">
        <f>3464+78+27+1076</f>
        <v>4645</v>
      </c>
      <c r="D305" s="204"/>
      <c r="E305" s="204"/>
      <c r="F305" s="204"/>
      <c r="G305" s="204"/>
      <c r="H305" s="204"/>
      <c r="I305" s="204"/>
      <c r="J305" s="204"/>
      <c r="K305" s="204"/>
    </row>
    <row r="306" spans="1:11" ht="24" customHeight="1" x14ac:dyDescent="0.35">
      <c r="A306" s="246" t="s">
        <v>205</v>
      </c>
      <c r="B306" s="253"/>
      <c r="C306" s="255">
        <f>129+7+5+32+20</f>
        <v>193</v>
      </c>
      <c r="D306" s="204"/>
      <c r="E306" s="204"/>
      <c r="F306" s="204"/>
      <c r="G306" s="204"/>
      <c r="H306" s="204"/>
      <c r="I306" s="204"/>
      <c r="J306" s="204"/>
      <c r="K306" s="204"/>
    </row>
    <row r="307" spans="1:11" ht="23.25" hidden="1" x14ac:dyDescent="0.35">
      <c r="A307" s="246" t="s">
        <v>206</v>
      </c>
      <c r="B307" s="253"/>
      <c r="C307" s="255"/>
      <c r="D307" s="204"/>
      <c r="E307" s="204"/>
      <c r="F307" s="204"/>
      <c r="G307" s="204"/>
      <c r="H307" s="204"/>
      <c r="I307" s="204"/>
      <c r="J307" s="204"/>
      <c r="K307" s="204"/>
    </row>
    <row r="308" spans="1:11" ht="23.25" x14ac:dyDescent="0.35">
      <c r="A308" s="246" t="s">
        <v>207</v>
      </c>
      <c r="B308" s="253"/>
      <c r="C308" s="255">
        <v>4982</v>
      </c>
      <c r="D308" s="204"/>
      <c r="E308" s="204"/>
      <c r="F308" s="204"/>
      <c r="G308" s="204"/>
      <c r="H308" s="204"/>
      <c r="I308" s="204"/>
      <c r="J308" s="204"/>
      <c r="K308" s="204"/>
    </row>
    <row r="309" spans="1:11" ht="23.25" x14ac:dyDescent="0.35">
      <c r="A309" s="207" t="s">
        <v>128</v>
      </c>
      <c r="B309" s="253"/>
      <c r="C309" s="204"/>
      <c r="D309" s="204"/>
      <c r="E309" s="204"/>
      <c r="F309" s="204"/>
      <c r="G309" s="204"/>
      <c r="H309" s="204"/>
      <c r="I309" s="204"/>
      <c r="J309" s="204"/>
      <c r="K309" s="204"/>
    </row>
    <row r="310" spans="1:11" ht="23.25" x14ac:dyDescent="0.35">
      <c r="A310" s="246" t="s">
        <v>406</v>
      </c>
      <c r="B310" s="253"/>
      <c r="C310" s="255">
        <f>C302/C306</f>
        <v>354763.57512953377</v>
      </c>
      <c r="D310" s="204"/>
      <c r="E310" s="204"/>
      <c r="F310" s="204"/>
      <c r="G310" s="204"/>
      <c r="H310" s="204"/>
      <c r="I310" s="204"/>
      <c r="J310" s="204"/>
      <c r="K310" s="204"/>
    </row>
    <row r="311" spans="1:11" ht="23.25" x14ac:dyDescent="0.35">
      <c r="A311" s="246" t="s">
        <v>214</v>
      </c>
      <c r="B311" s="253"/>
      <c r="C311" s="255">
        <f>C303/C308</f>
        <v>6247.230028101164</v>
      </c>
      <c r="D311" s="204"/>
      <c r="E311" s="204"/>
      <c r="F311" s="204"/>
      <c r="G311" s="204"/>
      <c r="H311" s="204"/>
      <c r="I311" s="204"/>
      <c r="J311" s="204"/>
      <c r="K311" s="204"/>
    </row>
    <row r="312" spans="1:11" ht="23.25" hidden="1" x14ac:dyDescent="0.35">
      <c r="A312" s="256" t="s">
        <v>129</v>
      </c>
      <c r="B312" s="253"/>
      <c r="C312" s="204"/>
      <c r="D312" s="204"/>
      <c r="E312" s="204"/>
      <c r="F312" s="204"/>
      <c r="G312" s="204"/>
      <c r="H312" s="204"/>
      <c r="I312" s="204"/>
      <c r="J312" s="204"/>
      <c r="K312" s="204"/>
    </row>
    <row r="313" spans="1:11" ht="38.25" hidden="1" customHeight="1" x14ac:dyDescent="0.35">
      <c r="A313" s="257" t="s">
        <v>209</v>
      </c>
      <c r="B313" s="253"/>
      <c r="C313" s="255">
        <f>C306/C305*100</f>
        <v>4.155005382131324</v>
      </c>
      <c r="D313" s="204"/>
      <c r="E313" s="204"/>
      <c r="F313" s="204"/>
      <c r="G313" s="204"/>
      <c r="H313" s="204"/>
      <c r="I313" s="204"/>
      <c r="J313" s="204"/>
      <c r="K313" s="204"/>
    </row>
    <row r="314" spans="1:11" ht="46.5" hidden="1" x14ac:dyDescent="0.35">
      <c r="A314" s="234" t="s">
        <v>208</v>
      </c>
      <c r="B314" s="204"/>
      <c r="C314" s="204"/>
      <c r="D314" s="204"/>
      <c r="E314" s="204"/>
      <c r="F314" s="204"/>
      <c r="G314" s="204"/>
      <c r="H314" s="204"/>
      <c r="I314" s="204"/>
      <c r="J314" s="204"/>
      <c r="K314" s="204"/>
    </row>
    <row r="315" spans="1:11" ht="27.75" hidden="1" customHeight="1" x14ac:dyDescent="0.35">
      <c r="A315" s="258" t="s">
        <v>151</v>
      </c>
      <c r="B315" s="259" t="e">
        <f>C315+F315+I315</f>
        <v>#REF!</v>
      </c>
      <c r="C315" s="260" t="e">
        <f>D315+E315</f>
        <v>#REF!</v>
      </c>
      <c r="D315" s="259">
        <f>D316</f>
        <v>0</v>
      </c>
      <c r="E315" s="259" t="e">
        <f>E316</f>
        <v>#REF!</v>
      </c>
      <c r="F315" s="261"/>
      <c r="G315" s="261"/>
      <c r="H315" s="261"/>
      <c r="I315" s="261"/>
      <c r="J315" s="261"/>
      <c r="K315" s="261"/>
    </row>
    <row r="316" spans="1:11" ht="41.25" hidden="1" customHeight="1" x14ac:dyDescent="0.35">
      <c r="A316" s="254" t="s">
        <v>153</v>
      </c>
      <c r="B316" s="253"/>
      <c r="C316" s="204"/>
      <c r="D316" s="204"/>
      <c r="E316" s="204" t="e">
        <f>'[1]Додаток 2'!#REF!*1000</f>
        <v>#REF!</v>
      </c>
      <c r="F316" s="204"/>
      <c r="G316" s="204"/>
      <c r="H316" s="204"/>
      <c r="I316" s="204"/>
      <c r="J316" s="204"/>
      <c r="K316" s="204"/>
    </row>
    <row r="317" spans="1:11" ht="32.25" hidden="1" customHeight="1" x14ac:dyDescent="0.3">
      <c r="A317" s="615" t="e">
        <f>'[1]Додаток 2'!#REF!</f>
        <v>#REF!</v>
      </c>
      <c r="B317" s="616"/>
      <c r="C317" s="616"/>
      <c r="D317" s="616"/>
      <c r="E317" s="616"/>
      <c r="F317" s="616"/>
      <c r="G317" s="616"/>
      <c r="H317" s="616"/>
      <c r="I317" s="616"/>
      <c r="J317" s="616"/>
      <c r="K317" s="617"/>
    </row>
    <row r="318" spans="1:11" ht="24.75" hidden="1" customHeight="1" x14ac:dyDescent="0.35">
      <c r="A318" s="232" t="s">
        <v>120</v>
      </c>
      <c r="B318" s="602" t="e">
        <f>'[1]Додаток 2'!#REF!</f>
        <v>#REF!</v>
      </c>
      <c r="C318" s="602"/>
      <c r="D318" s="602"/>
      <c r="E318" s="602"/>
      <c r="F318" s="602"/>
      <c r="G318" s="602"/>
      <c r="H318" s="602"/>
      <c r="I318" s="602"/>
      <c r="J318" s="602"/>
      <c r="K318" s="602"/>
    </row>
    <row r="319" spans="1:11" ht="20.25" hidden="1" customHeight="1" x14ac:dyDescent="0.35">
      <c r="A319" s="258" t="s">
        <v>151</v>
      </c>
      <c r="B319" s="259" t="e">
        <f>C319+F319+I319</f>
        <v>#REF!</v>
      </c>
      <c r="C319" s="260" t="e">
        <f>D319+E319</f>
        <v>#REF!</v>
      </c>
      <c r="D319" s="259" t="e">
        <f>D320</f>
        <v>#REF!</v>
      </c>
      <c r="E319" s="259">
        <f>E320</f>
        <v>0</v>
      </c>
      <c r="F319" s="261"/>
      <c r="G319" s="261"/>
      <c r="H319" s="261"/>
      <c r="I319" s="261"/>
      <c r="J319" s="261"/>
      <c r="K319" s="261"/>
    </row>
    <row r="320" spans="1:11" s="262" customFormat="1" ht="38.25" hidden="1" customHeight="1" x14ac:dyDescent="0.35">
      <c r="A320" s="254" t="e">
        <f>'[1]Додаток 2'!#REF!</f>
        <v>#REF!</v>
      </c>
      <c r="B320" s="253"/>
      <c r="C320" s="204"/>
      <c r="D320" s="204" t="e">
        <f>'[1]Додаток 2'!#REF!</f>
        <v>#REF!</v>
      </c>
      <c r="E320" s="204"/>
      <c r="F320" s="204"/>
      <c r="G320" s="204"/>
      <c r="H320" s="204"/>
      <c r="I320" s="204"/>
      <c r="J320" s="204"/>
      <c r="K320" s="204"/>
    </row>
    <row r="321" spans="1:11" s="262" customFormat="1" ht="10.5" customHeight="1" x14ac:dyDescent="0.35">
      <c r="A321" s="263"/>
      <c r="B321" s="264"/>
      <c r="C321" s="265"/>
      <c r="D321" s="265"/>
      <c r="E321" s="265"/>
      <c r="F321" s="265"/>
      <c r="G321" s="265"/>
      <c r="H321" s="265"/>
      <c r="I321" s="265"/>
      <c r="J321" s="265"/>
      <c r="K321" s="265"/>
    </row>
    <row r="322" spans="1:11" s="262" customFormat="1" ht="19.5" customHeight="1" x14ac:dyDescent="0.4">
      <c r="A322" s="275" t="s">
        <v>449</v>
      </c>
      <c r="B322" s="275"/>
      <c r="C322" s="276"/>
      <c r="D322" s="277"/>
      <c r="E322" s="275"/>
      <c r="F322" s="278"/>
      <c r="G322" s="278"/>
      <c r="H322" s="278"/>
      <c r="I322" s="279" t="s">
        <v>454</v>
      </c>
      <c r="J322" s="269"/>
      <c r="K322" s="271"/>
    </row>
    <row r="323" spans="1:11" s="262" customFormat="1" ht="15" customHeight="1" x14ac:dyDescent="0.35">
      <c r="A323" s="266"/>
      <c r="B323" s="266"/>
      <c r="C323" s="267"/>
      <c r="D323" s="268"/>
      <c r="E323" s="266"/>
      <c r="F323" s="269"/>
      <c r="G323" s="269"/>
      <c r="H323" s="269"/>
      <c r="I323" s="270"/>
      <c r="J323" s="269"/>
      <c r="K323" s="271"/>
    </row>
    <row r="324" spans="1:11" ht="25.5" customHeight="1" x14ac:dyDescent="0.35">
      <c r="A324" s="273" t="s">
        <v>29</v>
      </c>
      <c r="B324" s="266"/>
      <c r="C324" s="274"/>
      <c r="D324" s="268"/>
      <c r="E324" s="266"/>
      <c r="F324" s="269"/>
      <c r="G324" s="269"/>
      <c r="H324" s="269"/>
      <c r="I324" s="269"/>
      <c r="J324" s="269"/>
      <c r="K324" s="272"/>
    </row>
    <row r="325" spans="1:11" ht="20.25" customHeight="1" x14ac:dyDescent="0.35">
      <c r="A325" s="266"/>
      <c r="B325" s="266"/>
      <c r="C325" s="266"/>
      <c r="D325" s="268"/>
      <c r="E325" s="266"/>
      <c r="F325" s="269"/>
      <c r="G325" s="269"/>
      <c r="H325" s="269"/>
      <c r="I325" s="269"/>
      <c r="J325" s="269"/>
      <c r="K325" s="272"/>
    </row>
    <row r="326" spans="1:11" ht="20.25" customHeight="1" x14ac:dyDescent="0.35">
      <c r="A326" s="266"/>
      <c r="B326" s="266"/>
      <c r="C326" s="266"/>
      <c r="D326" s="266"/>
      <c r="E326" s="266"/>
      <c r="F326" s="266"/>
      <c r="G326" s="266"/>
      <c r="H326" s="266"/>
      <c r="I326" s="266"/>
      <c r="J326" s="266"/>
    </row>
    <row r="327" spans="1:11" ht="20.25" customHeight="1" x14ac:dyDescent="0.3"/>
    <row r="328" spans="1:11" ht="20.25" customHeight="1" x14ac:dyDescent="0.3"/>
  </sheetData>
  <mergeCells count="102">
    <mergeCell ref="B217:K217"/>
    <mergeCell ref="B172:K172"/>
    <mergeCell ref="B173:K173"/>
    <mergeCell ref="B195:K195"/>
    <mergeCell ref="B233:K233"/>
    <mergeCell ref="B276:K276"/>
    <mergeCell ref="B269:K269"/>
    <mergeCell ref="B251:K251"/>
    <mergeCell ref="B252:K252"/>
    <mergeCell ref="B202:K202"/>
    <mergeCell ref="B218:K218"/>
    <mergeCell ref="A248:K248"/>
    <mergeCell ref="B250:K250"/>
    <mergeCell ref="B262:K262"/>
    <mergeCell ref="B275:K275"/>
    <mergeCell ref="B201:K201"/>
    <mergeCell ref="B21:K21"/>
    <mergeCell ref="B40:K40"/>
    <mergeCell ref="B22:K22"/>
    <mergeCell ref="B26:K26"/>
    <mergeCell ref="B36:K36"/>
    <mergeCell ref="B91:K91"/>
    <mergeCell ref="B75:K75"/>
    <mergeCell ref="B83:K83"/>
    <mergeCell ref="B84:K84"/>
    <mergeCell ref="B50:K50"/>
    <mergeCell ref="B51:K51"/>
    <mergeCell ref="B59:K59"/>
    <mergeCell ref="B60:K60"/>
    <mergeCell ref="B74:K74"/>
    <mergeCell ref="B41:K41"/>
    <mergeCell ref="B45:K45"/>
    <mergeCell ref="B46:K46"/>
    <mergeCell ref="B27:K27"/>
    <mergeCell ref="B102:K102"/>
    <mergeCell ref="B103:K103"/>
    <mergeCell ref="H1:K1"/>
    <mergeCell ref="A13:K13"/>
    <mergeCell ref="B15:K15"/>
    <mergeCell ref="B35:K35"/>
    <mergeCell ref="A12:K12"/>
    <mergeCell ref="H2:K2"/>
    <mergeCell ref="A4:K4"/>
    <mergeCell ref="A6:A9"/>
    <mergeCell ref="B6:B9"/>
    <mergeCell ref="C6:E7"/>
    <mergeCell ref="F6:H7"/>
    <mergeCell ref="I6:K7"/>
    <mergeCell ref="C8:C9"/>
    <mergeCell ref="B16:K16"/>
    <mergeCell ref="D8:E8"/>
    <mergeCell ref="F8:F9"/>
    <mergeCell ref="G8:H8"/>
    <mergeCell ref="I8:I9"/>
    <mergeCell ref="J8:K8"/>
    <mergeCell ref="B17:K17"/>
    <mergeCell ref="B92:K92"/>
    <mergeCell ref="B101:K101"/>
    <mergeCell ref="B136:K136"/>
    <mergeCell ref="B145:K145"/>
    <mergeCell ref="B109:K109"/>
    <mergeCell ref="B110:K110"/>
    <mergeCell ref="B123:K123"/>
    <mergeCell ref="B124:K124"/>
    <mergeCell ref="B135:K135"/>
    <mergeCell ref="B209:K209"/>
    <mergeCell ref="B186:K186"/>
    <mergeCell ref="B187:K187"/>
    <mergeCell ref="B193:K193"/>
    <mergeCell ref="B194:K194"/>
    <mergeCell ref="B208:K208"/>
    <mergeCell ref="B158:K158"/>
    <mergeCell ref="B165:K165"/>
    <mergeCell ref="B118:K118"/>
    <mergeCell ref="B119:K119"/>
    <mergeCell ref="B146:K146"/>
    <mergeCell ref="B152:K152"/>
    <mergeCell ref="B153:K153"/>
    <mergeCell ref="B157:K157"/>
    <mergeCell ref="B166:K166"/>
    <mergeCell ref="A162:K162"/>
    <mergeCell ref="B164:K164"/>
    <mergeCell ref="B318:K318"/>
    <mergeCell ref="B297:K297"/>
    <mergeCell ref="B294:K294"/>
    <mergeCell ref="B295:K295"/>
    <mergeCell ref="B296:K296"/>
    <mergeCell ref="A317:K317"/>
    <mergeCell ref="B300:K300"/>
    <mergeCell ref="B299:K299"/>
    <mergeCell ref="B298:K298"/>
    <mergeCell ref="B293:K293"/>
    <mergeCell ref="B234:K234"/>
    <mergeCell ref="B268:K268"/>
    <mergeCell ref="B241:K241"/>
    <mergeCell ref="B242:K242"/>
    <mergeCell ref="B261:K261"/>
    <mergeCell ref="B282:K282"/>
    <mergeCell ref="B283:K283"/>
    <mergeCell ref="B284:K284"/>
    <mergeCell ref="A290:K290"/>
    <mergeCell ref="B292:K292"/>
  </mergeCells>
  <pageMargins left="0.78740157480314965" right="0.39370078740157483" top="1.1811023622047245" bottom="0.39370078740157483" header="0.31496062992125984" footer="0.31496062992125984"/>
  <pageSetup paperSize="9" scale="42" orientation="landscape" r:id="rId1"/>
  <rowBreaks count="8" manualBreakCount="8">
    <brk id="34" max="10" man="1"/>
    <brk id="67" max="10" man="1"/>
    <brk id="100" max="10" man="1"/>
    <brk id="134" max="10" man="1"/>
    <brk id="171" max="10" man="1"/>
    <brk id="200" max="10" man="1"/>
    <brk id="236" max="10" man="1"/>
    <brk id="270"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Додаток 1</vt:lpstr>
      <vt:lpstr>Додаток 2</vt:lpstr>
      <vt:lpstr>Додаток 3</vt:lpstr>
      <vt:lpstr>Додаток 4</vt:lpstr>
      <vt:lpstr>Лист1</vt:lpstr>
      <vt:lpstr>'Додаток 3'!Заголовки_для_печати</vt:lpstr>
      <vt:lpstr>'Додаток 4'!Заголовки_для_печати</vt:lpstr>
      <vt:lpstr>'Додаток 1'!Область_печати</vt:lpstr>
      <vt:lpstr>'Додаток 2'!Область_печати</vt:lpstr>
      <vt:lpstr>'Додаток 3'!Область_печати</vt:lpstr>
      <vt:lpstr>'Додаток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Користувач Windows</cp:lastModifiedBy>
  <cp:lastPrinted>2020-10-22T12:14:28Z</cp:lastPrinted>
  <dcterms:created xsi:type="dcterms:W3CDTF">1996-10-08T23:32:33Z</dcterms:created>
  <dcterms:modified xsi:type="dcterms:W3CDTF">2020-10-22T12:39:27Z</dcterms:modified>
</cp:coreProperties>
</file>