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'Sheet1'!$A$1:$P$729</definedName>
  </definedNames>
  <calcPr fullCalcOnLoad="1"/>
</workbook>
</file>

<file path=xl/sharedStrings.xml><?xml version="1.0" encoding="utf-8"?>
<sst xmlns="http://schemas.openxmlformats.org/spreadsheetml/2006/main" count="738" uniqueCount="487">
  <si>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</si>
  <si>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</si>
  <si>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</si>
  <si>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</si>
  <si>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</si>
  <si>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</si>
  <si>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</si>
  <si>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</si>
  <si>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</si>
  <si>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</si>
  <si>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</si>
  <si>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</si>
  <si>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</si>
  <si>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</si>
  <si>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</si>
  <si>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</si>
  <si>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</si>
  <si>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</si>
  <si>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</si>
  <si>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</si>
  <si>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</si>
  <si>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</si>
  <si>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</si>
  <si>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</si>
  <si>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</si>
  <si>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</si>
  <si>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</si>
  <si>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</si>
  <si>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</si>
  <si>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</si>
  <si>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</si>
  <si>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</si>
  <si>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</si>
  <si>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</si>
  <si>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</si>
  <si>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</si>
  <si>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</si>
  <si>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</si>
  <si>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</si>
  <si>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</si>
  <si>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</si>
  <si>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</si>
  <si>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</si>
  <si>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</si>
  <si>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</si>
  <si>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</si>
  <si>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</si>
  <si>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</si>
  <si>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</si>
  <si>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</si>
  <si>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</si>
  <si>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</si>
  <si>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</si>
  <si>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</si>
  <si>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</si>
  <si>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</si>
  <si>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</si>
  <si>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</si>
  <si>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</si>
  <si>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</si>
  <si>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</si>
  <si>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</si>
  <si>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</si>
  <si>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</si>
  <si>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</si>
  <si>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</si>
  <si>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</si>
  <si>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</si>
  <si>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</si>
  <si>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</si>
  <si>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</si>
  <si>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</si>
  <si>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</si>
  <si>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</si>
  <si>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</si>
  <si>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</si>
  <si>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</si>
  <si>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</si>
  <si>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</si>
  <si>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</si>
  <si>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</si>
  <si>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</si>
  <si>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</si>
  <si>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</si>
  <si>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</si>
  <si>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</si>
  <si>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</si>
  <si>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</si>
  <si>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</si>
  <si>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</si>
  <si>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</si>
  <si>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</si>
  <si>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</si>
  <si>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</si>
  <si>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</si>
  <si>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</si>
  <si>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</si>
  <si>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</si>
  <si>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</si>
  <si>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</si>
  <si>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</si>
  <si>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</si>
  <si>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</si>
  <si>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</si>
  <si>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</si>
  <si>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</si>
  <si>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</si>
  <si>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</si>
  <si>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</si>
  <si>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</si>
  <si>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</si>
  <si>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</si>
  <si>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</si>
  <si>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</si>
  <si>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</si>
  <si>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</si>
  <si>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</si>
  <si>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</si>
  <si>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</si>
  <si>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</si>
  <si>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</si>
  <si>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</si>
  <si>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</si>
  <si>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</si>
  <si>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</si>
  <si>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</si>
  <si>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</si>
  <si>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</si>
  <si>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</si>
  <si>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</si>
  <si>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</si>
  <si>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</si>
  <si>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</si>
  <si>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</si>
  <si>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</si>
  <si>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</si>
  <si>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</si>
  <si>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</si>
  <si>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</si>
  <si>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</si>
  <si>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</si>
  <si>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</si>
  <si>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</si>
  <si>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</si>
  <si>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</si>
  <si>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</si>
  <si>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</si>
  <si>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</si>
  <si>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</si>
  <si>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</si>
  <si>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</si>
  <si>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</si>
  <si>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</si>
  <si>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</si>
  <si>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</si>
  <si>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</si>
  <si>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</si>
  <si>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</si>
  <si>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</si>
  <si>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</si>
  <si>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</si>
  <si>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</si>
  <si>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</si>
  <si>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</si>
  <si>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</si>
  <si>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</si>
  <si>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</si>
  <si>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</si>
  <si>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</si>
  <si>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</si>
  <si>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</si>
  <si>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</si>
  <si>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</si>
  <si>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</si>
  <si>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</si>
  <si>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</si>
  <si>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</si>
  <si>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</si>
  <si>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</si>
  <si>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</si>
  <si>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</si>
  <si>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</si>
  <si>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</si>
  <si>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</si>
  <si>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</si>
  <si>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</si>
  <si>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</si>
  <si>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</si>
  <si>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</si>
  <si>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</si>
  <si>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</si>
  <si>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</si>
  <si>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</si>
  <si>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</si>
  <si>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</si>
  <si>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</si>
  <si>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</si>
  <si>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</si>
  <si>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</si>
  <si>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</si>
  <si>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</si>
  <si>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</si>
  <si>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</si>
  <si>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</si>
  <si>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</si>
  <si>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</si>
  <si>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</si>
  <si>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</si>
  <si>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</si>
  <si>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</si>
  <si>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</si>
  <si>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</si>
  <si>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</si>
  <si>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</si>
  <si>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</si>
  <si>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</si>
  <si>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</si>
  <si>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</si>
  <si>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</si>
  <si>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</si>
  <si>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</si>
  <si>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</si>
  <si>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</si>
  <si>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</si>
  <si>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</si>
  <si>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</si>
  <si>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</si>
  <si>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</si>
  <si>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</si>
  <si>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</si>
  <si>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</si>
  <si>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</si>
  <si>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</si>
  <si>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</si>
  <si>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</si>
  <si>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</si>
  <si>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</si>
  <si>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</si>
  <si>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</si>
  <si>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</si>
  <si>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</si>
  <si>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</si>
  <si>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</si>
  <si>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</si>
  <si>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</si>
  <si>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</si>
  <si>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</si>
  <si>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</si>
  <si>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</si>
  <si>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</si>
  <si>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</si>
  <si>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</si>
  <si>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</si>
  <si>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</si>
  <si>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</si>
  <si>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</si>
  <si>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</si>
  <si>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</si>
  <si>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</si>
  <si>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</si>
  <si>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</si>
  <si>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</si>
  <si>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</si>
  <si>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</si>
  <si>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</si>
  <si>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</si>
  <si>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</si>
  <si>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</si>
  <si>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</si>
  <si>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</si>
  <si>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</si>
  <si>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</si>
  <si>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</si>
  <si>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</si>
  <si>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</si>
  <si>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</si>
  <si>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</si>
  <si>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</si>
  <si>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</si>
  <si>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</si>
  <si>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</si>
  <si>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</si>
  <si>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</si>
  <si>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</si>
  <si>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</si>
  <si>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</si>
  <si>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</si>
  <si>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</si>
  <si>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</si>
  <si>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</si>
  <si>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</si>
  <si>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</si>
  <si>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</si>
  <si>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</si>
  <si>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</si>
  <si>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</si>
  <si>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</si>
  <si>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</si>
  <si>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</si>
  <si>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</si>
  <si>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</si>
  <si>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</si>
  <si>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</si>
  <si>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</si>
  <si>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</si>
  <si>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</si>
  <si>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</si>
  <si>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</si>
  <si>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</si>
  <si>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</si>
  <si>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</si>
  <si>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</si>
  <si>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</si>
  <si>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</si>
  <si>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</si>
  <si>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</si>
  <si>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</si>
  <si>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</si>
  <si>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</si>
  <si>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</si>
  <si>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</si>
  <si>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</si>
  <si>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</si>
  <si>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</si>
  <si>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</si>
  <si>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</si>
  <si>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</si>
  <si>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</si>
  <si>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</si>
  <si>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</si>
  <si>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</si>
  <si>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</si>
  <si>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</si>
  <si>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</si>
  <si>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</si>
  <si>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</si>
  <si>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</si>
  <si>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</si>
  <si>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</si>
  <si>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</si>
  <si>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</si>
  <si>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</si>
  <si>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</si>
  <si>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</si>
  <si>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</si>
  <si>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</si>
  <si>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</si>
  <si>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</si>
  <si>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</si>
  <si>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</si>
  <si>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</si>
  <si>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</si>
  <si>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</si>
  <si>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</si>
  <si>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</si>
  <si>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</si>
  <si>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</si>
  <si>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</si>
  <si>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</si>
  <si>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</si>
  <si>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</si>
  <si>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</si>
  <si>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</si>
  <si>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</si>
  <si>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</si>
  <si>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</si>
  <si>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</si>
  <si>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</si>
  <si>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</si>
  <si>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</si>
  <si>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</si>
  <si>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</si>
  <si>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</si>
  <si>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</si>
  <si>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</si>
  <si>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</si>
  <si>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</si>
  <si>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</si>
  <si>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</si>
  <si>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</si>
  <si>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</si>
  <si>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</si>
  <si>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</si>
  <si>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</si>
  <si>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</si>
  <si>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</si>
  <si>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</si>
  <si>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</si>
  <si>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</si>
  <si>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</si>
  <si>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</si>
  <si>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</si>
  <si>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</si>
  <si>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</si>
  <si>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</si>
  <si>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</si>
  <si>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</si>
  <si>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</si>
  <si>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</si>
  <si>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</si>
  <si>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</si>
  <si>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</si>
  <si>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</si>
  <si>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</si>
  <si>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</si>
  <si>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</si>
  <si>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</si>
  <si>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</si>
  <si>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</si>
  <si>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</si>
  <si>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</si>
  <si>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</si>
  <si>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</si>
  <si>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</si>
  <si>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</si>
  <si>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</si>
  <si>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</si>
  <si>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</si>
  <si>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</si>
  <si>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</si>
  <si>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</si>
  <si>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</si>
  <si>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</si>
  <si>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</si>
  <si>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</si>
  <si>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 xml:space="preserve">  Завдання: 53. Повернення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</si>
  <si>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</si>
  <si>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</si>
  <si>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</si>
  <si>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</si>
  <si>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</si>
  <si>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</si>
  <si>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</si>
  <si>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</si>
  <si>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</si>
  <si>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</si>
  <si>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</si>
  <si>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</si>
  <si>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</si>
  <si>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</si>
  <si>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</si>
  <si>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</si>
  <si>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</si>
  <si>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</si>
  <si>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</si>
  <si>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</si>
  <si>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</si>
  <si>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 xml:space="preserve">комунального господарства Сумської об'єднаної 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</si>
  <si>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</si>
  <si>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</si>
  <si>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</si>
  <si>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>Показник: кількість проектів по організації дорожнього руху, од</t>
  </si>
  <si>
    <t>Показник: кількість проектів, од</t>
  </si>
  <si>
    <t>Показник: кількість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од</t>
  </si>
  <si>
    <t>Показник: середня вартість проектів по організації дорожнього руху , грн.</t>
  </si>
  <si>
    <t>Показник: середня вартість проекту , грн.</t>
  </si>
  <si>
    <t>Показник: середня вартість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грн.</t>
  </si>
  <si>
    <t>Показник: кількість колодязів для поточного ремонту, од</t>
  </si>
  <si>
    <t>Показник: кількість буклетів для здійснення просвітницької діяльності сере населення міста Суми, од</t>
  </si>
  <si>
    <t>Показник: середня вартість поточного ремонту колодязів , грн.</t>
  </si>
  <si>
    <t>Показник: середня вартість буклетів для здійснення просвітницької діяльності сере населення міста Суми, грн.</t>
  </si>
  <si>
    <t>Завдання: 44. Надання послуг з очищення свердловини в с. В.Піщане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</si>
  <si>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</si>
  <si>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</si>
  <si>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Завдання: 45. Впровадження енергозберігаючих заходів</t>
  </si>
  <si>
    <t>Завдання: 45.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</si>
  <si>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45.2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</si>
  <si>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46. Забезпечення зміцнення матеріально-технічної бази підприємств комунальної форми власності</t>
  </si>
  <si>
    <t xml:space="preserve">  Завдання: 47. Створення сприятливих умов проживання населення та забезпечення надання життєво необхідних послуг</t>
  </si>
  <si>
    <t xml:space="preserve"> Завдання: 48. Встановлення вузлів  комерційного обліку </t>
  </si>
  <si>
    <t xml:space="preserve">  Завдання: 49. Забезпечення надійного та безперебійного функціонування житлово-експлуатаційного господарства</t>
  </si>
  <si>
    <t xml:space="preserve">  Завдання: 50. Організація та проведення громадських робіт</t>
  </si>
  <si>
    <t xml:space="preserve">  Завдання: 51.Заходи з будівництва, реставрації  та реконструкції</t>
  </si>
  <si>
    <t xml:space="preserve">  Завдання: 52.Здійснення заходів із землеустрою </t>
  </si>
  <si>
    <t xml:space="preserve">  Завдання: 54. Повернення бюджетних позичок на поворотній основі</t>
  </si>
  <si>
    <t xml:space="preserve">  Завдання: 55. Надання бюджетних позичок на поворотній основі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</si>
  <si>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Надання послуги з розробки проекту: організація дорожнього руху на ділянці вул. Г. Кондратьєва між перехрестями «вул. Г. Кондратьєва – Покровська площа» та «вул. Г. Кондратьєва  –  пров. Академічний» в м. Суми; Реалізація проєкту «Circular-based waste management» («Управління відходами на основі замкненого циклу»);Надання послуг з розробки оцінки впливу на довкілля будівництва напірного каналізаційного колектору від КНС-9 до проспекту Михайла Лушпи в м. Суми з переврізкою в збудований напірний колектор; Поточний ремонт колодязів с. Ганнівка, м. Суми;  Здійснення просвітницької діяльності серед населення міста Суми у сфері житлово-комунального господарства  (друк буклетів), створення електронної мапи благоустрою міста Суми</t>
  </si>
  <si>
    <t>Показник: кількість електронних мап благоустрою міста Суми, од</t>
  </si>
  <si>
    <t>Показник: середня вартість створення електронної мапи благоустрою міста Суми , грн.</t>
  </si>
  <si>
    <t>Показник: видатки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</si>
  <si>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>Показник: кількість заходів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</si>
  <si>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рішенням, сплата поточної заборгованості за електроенергію), Фінансова підтримка КП «Міськводоканал» СМР для проведення оцінки запасів питних підземних вод Сумського родовища</t>
  </si>
  <si>
    <t xml:space="preserve"> Завдання: 31.3 Фінансова підтримка (погашення заборгованості за судовим рішенням, сплата поточної заборгованості за електроенергію)</t>
  </si>
  <si>
    <t>КПКВК 6013, 8340</t>
  </si>
  <si>
    <t xml:space="preserve">від 23 вересня 2020 року № 7361-МР </t>
  </si>
  <si>
    <t xml:space="preserve">Секретар Сумської міської ради                </t>
  </si>
  <si>
    <t>А.В. Баранов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</si>
</sst>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26"/>
  <sheetViews>
    <sheetView tabSelected="1" view="pageBreakPreview" zoomScaleNormal="85" zoomScaleSheetLayoutView="100" workbookViewId="0" topLeftCell="A713">
      <selection activeCell="A724" sqref="A724:IV725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49" width="10.33203125" style="25" customWidth="1"/>
    <col min="150" max="16384" width="9.33203125" style="52" customWidth="1"/>
  </cols>
  <sheetData>
    <row r="1" ht="11.25" hidden="1"/>
    <row r="2" spans="1:16" ht="18.75">
      <c r="A2" s="111"/>
      <c r="B2" s="111"/>
      <c r="C2" s="111"/>
      <c r="D2" s="116"/>
      <c r="E2" s="116"/>
      <c r="F2" s="116"/>
      <c r="G2" s="116"/>
      <c r="H2" s="116"/>
      <c r="I2" s="116"/>
      <c r="J2" s="165" t="s">
        <v>430</v>
      </c>
      <c r="K2" s="165"/>
      <c r="L2" s="165"/>
      <c r="M2" s="107"/>
      <c r="N2" s="107"/>
      <c r="O2" s="107"/>
      <c r="P2" s="107"/>
    </row>
    <row r="3" spans="1:16" ht="14.25" customHeight="1">
      <c r="A3" s="111"/>
      <c r="B3" s="111"/>
      <c r="C3" s="111"/>
      <c r="D3" s="116"/>
      <c r="E3" s="116"/>
      <c r="F3" s="116"/>
      <c r="G3" s="116"/>
      <c r="H3" s="116"/>
      <c r="I3" s="116"/>
      <c r="J3" s="107" t="s">
        <v>346</v>
      </c>
      <c r="K3" s="107"/>
      <c r="L3" s="107"/>
      <c r="M3" s="107"/>
      <c r="N3" s="107"/>
      <c r="O3" s="107"/>
      <c r="P3" s="107"/>
    </row>
    <row r="4" spans="1:16" ht="14.25" customHeight="1">
      <c r="A4" s="111"/>
      <c r="B4" s="111"/>
      <c r="C4" s="111"/>
      <c r="D4" s="116"/>
      <c r="E4" s="116"/>
      <c r="F4" s="116"/>
      <c r="G4" s="116"/>
      <c r="H4" s="116"/>
      <c r="I4" s="116"/>
      <c r="J4" s="107" t="s">
        <v>446</v>
      </c>
      <c r="K4" s="107"/>
      <c r="L4" s="107"/>
      <c r="M4" s="107"/>
      <c r="N4" s="107"/>
      <c r="O4" s="107"/>
      <c r="P4" s="107"/>
    </row>
    <row r="5" spans="1:16" ht="13.5" customHeight="1">
      <c r="A5" s="118"/>
      <c r="B5" s="118"/>
      <c r="C5" s="118"/>
      <c r="D5" s="119"/>
      <c r="E5" s="119"/>
      <c r="F5" s="119"/>
      <c r="G5" s="119"/>
      <c r="H5" s="119"/>
      <c r="I5" s="119"/>
      <c r="J5" s="107" t="s">
        <v>42</v>
      </c>
      <c r="K5" s="107"/>
      <c r="L5" s="107"/>
      <c r="M5" s="107"/>
      <c r="N5" s="107"/>
      <c r="O5" s="107"/>
      <c r="P5" s="107"/>
    </row>
    <row r="6" spans="1:16" ht="14.25" customHeight="1">
      <c r="A6" s="118"/>
      <c r="B6" s="118"/>
      <c r="C6" s="118"/>
      <c r="D6" s="119"/>
      <c r="E6" s="119"/>
      <c r="F6" s="119"/>
      <c r="G6" s="119"/>
      <c r="H6" s="119"/>
      <c r="I6" s="119"/>
      <c r="J6" s="107" t="s">
        <v>447</v>
      </c>
      <c r="K6" s="107"/>
      <c r="L6" s="107"/>
      <c r="M6" s="107"/>
      <c r="N6" s="107"/>
      <c r="O6" s="107"/>
      <c r="P6" s="107"/>
    </row>
    <row r="7" spans="1:16" ht="14.25" customHeight="1">
      <c r="A7" s="118"/>
      <c r="B7" s="118"/>
      <c r="C7" s="118"/>
      <c r="D7" s="119"/>
      <c r="E7" s="119"/>
      <c r="F7" s="119"/>
      <c r="G7" s="119"/>
      <c r="H7" s="119"/>
      <c r="I7" s="119"/>
      <c r="J7" s="107" t="s">
        <v>448</v>
      </c>
      <c r="K7" s="107"/>
      <c r="L7" s="107"/>
      <c r="M7" s="107"/>
      <c r="N7" s="107"/>
      <c r="O7" s="107"/>
      <c r="P7" s="107"/>
    </row>
    <row r="8" spans="1:16" ht="14.25" customHeight="1">
      <c r="A8" s="118"/>
      <c r="B8" s="118"/>
      <c r="C8" s="118"/>
      <c r="D8" s="119"/>
      <c r="E8" s="119"/>
      <c r="F8" s="119"/>
      <c r="G8" s="119"/>
      <c r="H8" s="119"/>
      <c r="I8" s="119"/>
      <c r="J8" s="107" t="s">
        <v>449</v>
      </c>
      <c r="K8" s="107"/>
      <c r="L8" s="107"/>
      <c r="M8" s="107"/>
      <c r="N8" s="107"/>
      <c r="O8" s="107"/>
      <c r="P8" s="107"/>
    </row>
    <row r="9" spans="1:16" ht="14.25" customHeight="1">
      <c r="A9" s="118"/>
      <c r="B9" s="118"/>
      <c r="C9" s="118"/>
      <c r="D9" s="119"/>
      <c r="E9" s="119"/>
      <c r="F9" s="119"/>
      <c r="G9" s="119"/>
      <c r="H9" s="119"/>
      <c r="I9" s="119"/>
      <c r="J9" s="107" t="s">
        <v>450</v>
      </c>
      <c r="K9" s="107"/>
      <c r="L9" s="107"/>
      <c r="M9" s="107"/>
      <c r="N9" s="107"/>
      <c r="O9" s="107"/>
      <c r="P9" s="107"/>
    </row>
    <row r="10" spans="1:16" ht="15" customHeight="1">
      <c r="A10" s="118"/>
      <c r="B10" s="118"/>
      <c r="C10" s="118"/>
      <c r="D10" s="119"/>
      <c r="E10" s="119"/>
      <c r="F10" s="119"/>
      <c r="G10" s="119"/>
      <c r="H10" s="119"/>
      <c r="I10" s="119"/>
      <c r="J10" s="107" t="s">
        <v>484</v>
      </c>
      <c r="K10" s="107"/>
      <c r="L10" s="107"/>
      <c r="M10" s="107"/>
      <c r="N10" s="107"/>
      <c r="O10" s="107"/>
      <c r="P10" s="107"/>
    </row>
    <row r="11" spans="1:17" ht="12.75" customHeight="1">
      <c r="A11" s="118"/>
      <c r="B11" s="118"/>
      <c r="C11" s="118"/>
      <c r="D11" s="119"/>
      <c r="E11" s="119"/>
      <c r="F11" s="119"/>
      <c r="G11" s="119"/>
      <c r="H11" s="119"/>
      <c r="I11" s="119"/>
      <c r="J11" s="116"/>
      <c r="K11" s="116"/>
      <c r="L11" s="116"/>
      <c r="M11" s="116"/>
      <c r="N11" s="117"/>
      <c r="O11" s="117"/>
      <c r="P11" s="117"/>
      <c r="Q11" s="27"/>
    </row>
    <row r="12" spans="1:16" ht="10.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6"/>
      <c r="K12" s="116"/>
      <c r="L12" s="116"/>
      <c r="M12" s="116"/>
      <c r="N12" s="116"/>
      <c r="O12" s="116"/>
      <c r="P12" s="116"/>
    </row>
    <row r="13" spans="1:16" ht="39.75" customHeight="1">
      <c r="A13" s="166" t="s">
        <v>271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16.5" customHeight="1">
      <c r="A14" s="120"/>
      <c r="B14" s="120"/>
      <c r="C14" s="120"/>
      <c r="D14" s="121"/>
      <c r="E14" s="121"/>
      <c r="F14" s="164" t="s">
        <v>272</v>
      </c>
      <c r="G14" s="164"/>
      <c r="H14" s="121"/>
      <c r="I14" s="121"/>
      <c r="J14" s="116"/>
      <c r="K14" s="121"/>
      <c r="L14" s="116"/>
      <c r="M14" s="116"/>
      <c r="N14" s="116"/>
      <c r="O14" s="116"/>
      <c r="P14" s="156" t="s">
        <v>39</v>
      </c>
    </row>
    <row r="15" spans="1:155" ht="11.25" customHeight="1">
      <c r="A15" s="178"/>
      <c r="B15" s="178" t="s">
        <v>34</v>
      </c>
      <c r="C15" s="178" t="s">
        <v>35</v>
      </c>
      <c r="D15" s="168" t="s">
        <v>427</v>
      </c>
      <c r="E15" s="169"/>
      <c r="F15" s="170"/>
      <c r="G15" s="175" t="s">
        <v>428</v>
      </c>
      <c r="H15" s="175"/>
      <c r="I15" s="175"/>
      <c r="J15" s="175"/>
      <c r="K15" s="32"/>
      <c r="L15" s="32"/>
      <c r="M15" s="32"/>
      <c r="N15" s="168" t="s">
        <v>429</v>
      </c>
      <c r="O15" s="169"/>
      <c r="P15" s="170"/>
      <c r="ET15" s="25"/>
      <c r="EU15" s="25"/>
      <c r="EV15" s="25"/>
      <c r="EW15" s="25"/>
      <c r="EX15" s="25"/>
      <c r="EY15" s="25"/>
    </row>
    <row r="16" spans="1:155" ht="12" customHeight="1">
      <c r="A16" s="179"/>
      <c r="B16" s="179"/>
      <c r="C16" s="179"/>
      <c r="D16" s="171" t="s">
        <v>36</v>
      </c>
      <c r="E16" s="172"/>
      <c r="F16" s="173" t="s">
        <v>26</v>
      </c>
      <c r="G16" s="177" t="s">
        <v>36</v>
      </c>
      <c r="H16" s="177"/>
      <c r="I16" s="177"/>
      <c r="J16" s="175" t="s">
        <v>26</v>
      </c>
      <c r="K16" s="168" t="s">
        <v>25</v>
      </c>
      <c r="L16" s="169"/>
      <c r="M16" s="170"/>
      <c r="N16" s="171" t="s">
        <v>36</v>
      </c>
      <c r="O16" s="172"/>
      <c r="P16" s="173" t="s">
        <v>26</v>
      </c>
      <c r="ET16" s="25"/>
      <c r="EU16" s="25"/>
      <c r="EV16" s="25"/>
      <c r="EW16" s="25"/>
      <c r="EX16" s="25"/>
      <c r="EY16" s="25"/>
    </row>
    <row r="17" spans="1:155" ht="24.75" customHeight="1">
      <c r="A17" s="180"/>
      <c r="B17" s="180"/>
      <c r="C17" s="180"/>
      <c r="D17" s="32" t="s">
        <v>0</v>
      </c>
      <c r="E17" s="32" t="s">
        <v>1</v>
      </c>
      <c r="F17" s="174"/>
      <c r="G17" s="32" t="s">
        <v>0</v>
      </c>
      <c r="H17" s="32" t="s">
        <v>1</v>
      </c>
      <c r="I17" s="32" t="s">
        <v>185</v>
      </c>
      <c r="J17" s="175"/>
      <c r="K17" s="32" t="s">
        <v>0</v>
      </c>
      <c r="L17" s="32" t="s">
        <v>1</v>
      </c>
      <c r="M17" s="32" t="s">
        <v>26</v>
      </c>
      <c r="N17" s="32" t="s">
        <v>0</v>
      </c>
      <c r="O17" s="32" t="s">
        <v>1</v>
      </c>
      <c r="P17" s="174"/>
      <c r="ET17" s="25"/>
      <c r="EU17" s="25"/>
      <c r="EV17" s="25"/>
      <c r="EW17" s="25"/>
      <c r="EX17" s="25"/>
      <c r="EY17" s="25"/>
    </row>
    <row r="18" spans="1:155" s="115" customFormat="1" ht="12.75">
      <c r="A18" s="122">
        <v>1</v>
      </c>
      <c r="B18" s="122"/>
      <c r="C18" s="122"/>
      <c r="D18" s="122" t="s">
        <v>2</v>
      </c>
      <c r="E18" s="122" t="s">
        <v>3</v>
      </c>
      <c r="F18" s="122">
        <v>7</v>
      </c>
      <c r="G18" s="122">
        <v>8</v>
      </c>
      <c r="H18" s="122">
        <v>9</v>
      </c>
      <c r="I18" s="122">
        <v>10</v>
      </c>
      <c r="J18" s="122">
        <v>11</v>
      </c>
      <c r="K18" s="122">
        <v>12</v>
      </c>
      <c r="L18" s="122">
        <v>13</v>
      </c>
      <c r="M18" s="122">
        <v>14</v>
      </c>
      <c r="N18" s="122">
        <v>12</v>
      </c>
      <c r="O18" s="122">
        <v>13</v>
      </c>
      <c r="P18" s="122">
        <v>14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6" s="25" customFormat="1" ht="28.5" customHeight="1">
      <c r="A19" s="31" t="s">
        <v>47</v>
      </c>
      <c r="B19" s="31"/>
      <c r="C19" s="31"/>
      <c r="D19" s="32">
        <f>SUM(D24)+D303+D342+D483+D492+D610+D628+D637+D646+D656+D666+D674+D687+D696+D714</f>
        <v>157231200.00291747</v>
      </c>
      <c r="E19" s="32">
        <f>SUM(E24)+E303+E342+E483+E492+E610+E628+E637+E646+E656+E666+E674+E687+E696+E714</f>
        <v>490457807.999755</v>
      </c>
      <c r="F19" s="32">
        <f>SUM(D19:E19)</f>
        <v>647689008.0026724</v>
      </c>
      <c r="G19" s="32">
        <f>SUM(G24)+G303+G342+G483+G492+G610+G628+G637+G646+G656+G666+G674+G687+G696+G714</f>
        <v>330608667.0799948</v>
      </c>
      <c r="H19" s="32">
        <f>SUM(H24)+H303+H342+H483+H492+H610+H628+H637+H646+H656+H666+H674+H687+H696+H705+H714</f>
        <v>383991108.94646204</v>
      </c>
      <c r="I19" s="32" t="e">
        <f>SUM(I24)+I303+I342+I483+I492+I610+I628+I637+I646+I656+I666+I674+I687+I696+I714</f>
        <v>#REF!</v>
      </c>
      <c r="J19" s="32">
        <f>SUM(G19)+H19</f>
        <v>714599776.0264568</v>
      </c>
      <c r="K19" s="32" t="e">
        <f>SUM(K24)+K303+K342+K483+K492+K610+K628+K637+K646+K656+K666+K674+K687+K696+K714</f>
        <v>#REF!</v>
      </c>
      <c r="L19" s="32" t="e">
        <f>SUM(L24)+L303+L342+L483+L492+L610+L628+L637+L646+L656+L666+L674+L687+L696+L714</f>
        <v>#REF!</v>
      </c>
      <c r="M19" s="32" t="e">
        <f>SUM(M24)+M303+M342+M483+M492+M610+M628+M637+M646+M656+M666+M674+M687+M696+M714</f>
        <v>#REF!</v>
      </c>
      <c r="N19" s="32">
        <f>SUM(N24)+N303+N342+N483+N492+N610+N628+N637+N646+N656+N674+N687+N696+N714</f>
        <v>344219105.3377447</v>
      </c>
      <c r="O19" s="32">
        <f>SUM(O24)+O303+O342+O483+O492+O610+O628+O637+O646+O656+O666+O674+O687+O696+O714</f>
        <v>491472488.630365</v>
      </c>
      <c r="P19" s="32">
        <f>SUM(P24)+P303+P342+P483+P492+P610+P628+P637+P646+P656+P674+P687+P696+P714</f>
        <v>835691593.9681097</v>
      </c>
    </row>
    <row r="20" spans="1:16" s="25" customFormat="1" ht="41.25" customHeight="1">
      <c r="A20" s="31" t="s">
        <v>41</v>
      </c>
      <c r="B20" s="31"/>
      <c r="C20" s="31"/>
      <c r="D20" s="32">
        <f>D25</f>
        <v>124999999.9999491</v>
      </c>
      <c r="E20" s="32">
        <f>E25</f>
        <v>191899944.43989998</v>
      </c>
      <c r="F20" s="32">
        <f>F25</f>
        <v>316899944.4398491</v>
      </c>
      <c r="G20" s="32">
        <f>G25</f>
        <v>9041700.003999999</v>
      </c>
      <c r="H20" s="32">
        <f>H25</f>
        <v>208302479.99964452</v>
      </c>
      <c r="I20" s="32">
        <f aca="true" t="shared" si="0" ref="I20:O20">I25</f>
        <v>-2000000</v>
      </c>
      <c r="J20" s="32">
        <f>SUM(G20)+H20</f>
        <v>217344180.00364453</v>
      </c>
      <c r="K20" s="32">
        <f t="shared" si="0"/>
        <v>-2000000</v>
      </c>
      <c r="L20" s="32">
        <f t="shared" si="0"/>
        <v>-2000000</v>
      </c>
      <c r="M20" s="32">
        <f t="shared" si="0"/>
        <v>-2000000</v>
      </c>
      <c r="N20" s="32">
        <f>N25</f>
        <v>55217799.99995345</v>
      </c>
      <c r="O20" s="32">
        <f t="shared" si="0"/>
        <v>164363001.15679845</v>
      </c>
      <c r="P20" s="32">
        <f>P25</f>
        <v>219580801.1567519</v>
      </c>
    </row>
    <row r="21" spans="1:17" ht="40.5" customHeight="1">
      <c r="A21" s="31" t="s">
        <v>187</v>
      </c>
      <c r="B21" s="31"/>
      <c r="C21" s="31"/>
      <c r="D21" s="32">
        <f>D343-0.006</f>
        <v>462379.99700000003</v>
      </c>
      <c r="E21" s="32">
        <f>E343</f>
        <v>692840</v>
      </c>
      <c r="F21" s="32">
        <f>F343</f>
        <v>1155220.003</v>
      </c>
      <c r="G21" s="32">
        <f>G343</f>
        <v>443775</v>
      </c>
      <c r="H21" s="32">
        <f>H343</f>
        <v>763900</v>
      </c>
      <c r="I21" s="32">
        <f>I343</f>
        <v>0</v>
      </c>
      <c r="J21" s="32">
        <f>SUM(G21)+H21</f>
        <v>1207675</v>
      </c>
      <c r="K21" s="32">
        <f aca="true" t="shared" si="1" ref="K21:Q21">K343</f>
        <v>0</v>
      </c>
      <c r="L21" s="32">
        <f t="shared" si="1"/>
        <v>0</v>
      </c>
      <c r="M21" s="32">
        <f t="shared" si="1"/>
        <v>0</v>
      </c>
      <c r="N21" s="32">
        <f t="shared" si="1"/>
        <v>352520</v>
      </c>
      <c r="O21" s="32">
        <f t="shared" si="1"/>
        <v>787532</v>
      </c>
      <c r="P21" s="32">
        <f t="shared" si="1"/>
        <v>1140052</v>
      </c>
      <c r="Q21" s="32">
        <f t="shared" si="1"/>
        <v>0</v>
      </c>
    </row>
    <row r="22" spans="1:17" ht="20.25" customHeight="1">
      <c r="A22" s="31" t="s">
        <v>137</v>
      </c>
      <c r="B22" s="31"/>
      <c r="C22" s="31"/>
      <c r="D22" s="32">
        <f>D19+D20+D21</f>
        <v>282693579.99986655</v>
      </c>
      <c r="E22" s="32">
        <f aca="true" t="shared" si="2" ref="E22:Q22">E19+E20+E21</f>
        <v>683050592.4396551</v>
      </c>
      <c r="F22" s="32">
        <f t="shared" si="2"/>
        <v>965744172.4455216</v>
      </c>
      <c r="G22" s="32">
        <f>G19+G20+G21</f>
        <v>340094142.0839948</v>
      </c>
      <c r="H22" s="32">
        <f>H19+H20+H21</f>
        <v>593057488.9461066</v>
      </c>
      <c r="I22" s="32" t="e">
        <f t="shared" si="2"/>
        <v>#REF!</v>
      </c>
      <c r="J22" s="32">
        <f>J19+J20+J21</f>
        <v>933151631.0301013</v>
      </c>
      <c r="K22" s="32" t="e">
        <f t="shared" si="2"/>
        <v>#REF!</v>
      </c>
      <c r="L22" s="32" t="e">
        <f t="shared" si="2"/>
        <v>#REF!</v>
      </c>
      <c r="M22" s="32" t="e">
        <f t="shared" si="2"/>
        <v>#REF!</v>
      </c>
      <c r="N22" s="32">
        <f>N19+N20+N21</f>
        <v>399789425.33769816</v>
      </c>
      <c r="O22" s="32">
        <f t="shared" si="2"/>
        <v>656623021.7871635</v>
      </c>
      <c r="P22" s="32">
        <f>P19+P20+P21</f>
        <v>1056412447.1248616</v>
      </c>
      <c r="Q22" s="32">
        <f t="shared" si="2"/>
        <v>0</v>
      </c>
    </row>
    <row r="23" spans="1:149" s="137" customFormat="1" ht="30.75" customHeight="1">
      <c r="A23" s="138" t="s">
        <v>426</v>
      </c>
      <c r="B23" s="139"/>
      <c r="C23" s="139"/>
      <c r="D23" s="140">
        <f>D24+D25</f>
        <v>242045100.0028672</v>
      </c>
      <c r="E23" s="140">
        <f>E24+E25</f>
        <v>290485527.43965495</v>
      </c>
      <c r="F23" s="140">
        <f>F24+F25</f>
        <v>532530627.44252217</v>
      </c>
      <c r="G23" s="140">
        <f aca="true" t="shared" si="3" ref="G23:P23">G24+G25</f>
        <v>261115566.68376482</v>
      </c>
      <c r="H23" s="140">
        <f>H24+H25</f>
        <v>319617016.9486065</v>
      </c>
      <c r="I23" s="140">
        <f t="shared" si="3"/>
        <v>-2000000</v>
      </c>
      <c r="J23" s="140">
        <f>J24+J25</f>
        <v>580732583.6323714</v>
      </c>
      <c r="K23" s="140" t="e">
        <f t="shared" si="3"/>
        <v>#REF!</v>
      </c>
      <c r="L23" s="140" t="e">
        <f t="shared" si="3"/>
        <v>#REF!</v>
      </c>
      <c r="M23" s="140" t="e">
        <f t="shared" si="3"/>
        <v>#REF!</v>
      </c>
      <c r="N23" s="140">
        <f>N24+N25</f>
        <v>332518133.3356485</v>
      </c>
      <c r="O23" s="140">
        <f>O24+O25</f>
        <v>417142785.16516346</v>
      </c>
      <c r="P23" s="140">
        <f t="shared" si="3"/>
        <v>749660918.5008119</v>
      </c>
      <c r="Q23" s="141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</row>
    <row r="24" spans="1:149" s="137" customFormat="1" ht="15" customHeight="1">
      <c r="A24" s="142" t="s">
        <v>59</v>
      </c>
      <c r="B24" s="142"/>
      <c r="C24" s="142"/>
      <c r="D24" s="140">
        <f>SUM(D49)+D77+(D92*D95)+D99+D142+D168+D222+D246+D272+D293+D285+2000000</f>
        <v>117045100.0029181</v>
      </c>
      <c r="E24" s="140">
        <f>SUM(E49)+E77+(E92*E95)+E99+E142+E168+E222+E246+E272+E293+E285</f>
        <v>98585582.999755</v>
      </c>
      <c r="F24" s="140">
        <f>D24+E24</f>
        <v>215630683.0026731</v>
      </c>
      <c r="G24" s="140">
        <f>SUM(G49)+G77+(G92*G95)+G99+G142+G168+G222+G246+G272+G293+G285+G35+G58</f>
        <v>252073866.6797648</v>
      </c>
      <c r="H24" s="140">
        <f>SUM(H49)+H77+(H92*H95)+H99+H142+H168+H222+H246+H272+H293+H285</f>
        <v>111314536.948962</v>
      </c>
      <c r="I24" s="140">
        <f>I49+I77+I86+I99+I142+I168+I222+I246+I272+I285+I293</f>
        <v>0</v>
      </c>
      <c r="J24" s="140">
        <f>G24+H24</f>
        <v>363388403.62872684</v>
      </c>
      <c r="K24" s="140" t="e">
        <f>K49+K77+K86+K99+K142+K168+K222+K246+K272+K285+K293</f>
        <v>#REF!</v>
      </c>
      <c r="L24" s="140" t="e">
        <f>L49+L77+L86+L99+L142+L168+L222+L246+L272+L285+L293</f>
        <v>#REF!</v>
      </c>
      <c r="M24" s="140" t="e">
        <f>M49+M77+M86+M99+M142+M168+M222+M246+M272+M285+M293</f>
        <v>#REF!</v>
      </c>
      <c r="N24" s="140">
        <f>SUM(N49)+N77+(N92*N95)+N99+N142+N168+N222+N246+N272+N293+N285+N35</f>
        <v>277300333.335695</v>
      </c>
      <c r="O24" s="140">
        <f>SUM(O49)+O77+(O92*O95)+O99+O142+O168+O222+O246+O272+O293+O215+O285-O215+O44</f>
        <v>252779784.008365</v>
      </c>
      <c r="P24" s="140">
        <f>N24+O24</f>
        <v>530080117.34406006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</row>
    <row r="25" spans="1:149" s="137" customFormat="1" ht="28.5" customHeight="1">
      <c r="A25" s="142" t="s">
        <v>60</v>
      </c>
      <c r="B25" s="142"/>
      <c r="C25" s="142"/>
      <c r="D25" s="140">
        <f>SUM(D26)+D35+D58+D113-2000000</f>
        <v>124999999.9999491</v>
      </c>
      <c r="E25" s="140">
        <f>SUM(E26)+E35+E58+E113+(E91*E94)+E44</f>
        <v>191899944.43989998</v>
      </c>
      <c r="F25" s="140">
        <f>SUM(D25)+E25</f>
        <v>316899944.4398491</v>
      </c>
      <c r="G25" s="140">
        <f>SUM(G26)+G113</f>
        <v>9041700.003999999</v>
      </c>
      <c r="H25" s="140">
        <f>SUM(H26)+H35+H44+H58+H113+(H91*H94)+H106</f>
        <v>208302479.99964452</v>
      </c>
      <c r="I25" s="140">
        <f>I26+I35+I58+I106+I113-2000000</f>
        <v>-2000000</v>
      </c>
      <c r="J25" s="140">
        <f>G25+H25</f>
        <v>217344180.00364453</v>
      </c>
      <c r="K25" s="140">
        <f>K26+K35+K58+K106+K113-2000000</f>
        <v>-2000000</v>
      </c>
      <c r="L25" s="140">
        <f>L26+L35+L58+L106+L113-2000000</f>
        <v>-2000000</v>
      </c>
      <c r="M25" s="140">
        <f>M26+M35+M58+M106+M113-2000000</f>
        <v>-2000000</v>
      </c>
      <c r="N25" s="140">
        <f>SUM(N26)+N58+N113</f>
        <v>55217799.99995345</v>
      </c>
      <c r="O25" s="140">
        <f>SUM(O26)+O35+O58+O113+(O91*O94)</f>
        <v>164363001.15679845</v>
      </c>
      <c r="P25" s="140">
        <f>N25+O25</f>
        <v>219580801.1567519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</row>
    <row r="26" spans="1:149" s="38" customFormat="1" ht="33.75">
      <c r="A26" s="33" t="s">
        <v>29</v>
      </c>
      <c r="B26" s="34"/>
      <c r="C26" s="34"/>
      <c r="D26" s="35"/>
      <c r="E26" s="35">
        <f>E32*E30+73455.56-73455.56</f>
        <v>49999944.44</v>
      </c>
      <c r="F26" s="35">
        <f>SUM(D26)+E26</f>
        <v>49999944.44</v>
      </c>
      <c r="G26" s="35"/>
      <c r="H26" s="35">
        <f>H30*H32</f>
        <v>55743999.9999828</v>
      </c>
      <c r="I26" s="35"/>
      <c r="J26" s="35">
        <f>H26</f>
        <v>55743999.9999828</v>
      </c>
      <c r="K26" s="35"/>
      <c r="L26" s="35"/>
      <c r="M26" s="35"/>
      <c r="N26" s="35"/>
      <c r="O26" s="35">
        <f>(O32*O30)</f>
        <v>58620999.99996351</v>
      </c>
      <c r="P26" s="35">
        <f>(P32*P30)</f>
        <v>58620999.99996351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</row>
    <row r="27" spans="1:16" ht="11.25">
      <c r="A27" s="5" t="s">
        <v>4</v>
      </c>
      <c r="B27" s="36"/>
      <c r="C27" s="36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35"/>
      <c r="O27" s="35"/>
      <c r="P27" s="35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6"/>
      <c r="C29" s="36"/>
      <c r="D29" s="7"/>
      <c r="E29" s="35"/>
      <c r="F29" s="35"/>
      <c r="G29" s="7"/>
      <c r="H29" s="35"/>
      <c r="I29" s="35"/>
      <c r="J29" s="35"/>
      <c r="K29" s="7"/>
      <c r="L29" s="7"/>
      <c r="M29" s="7"/>
      <c r="N29" s="7"/>
      <c r="O29" s="35"/>
      <c r="P29" s="35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6"/>
      <c r="C31" s="36"/>
      <c r="D31" s="7"/>
      <c r="E31" s="35"/>
      <c r="F31" s="35"/>
      <c r="G31" s="7"/>
      <c r="H31" s="35"/>
      <c r="I31" s="35"/>
      <c r="J31" s="35"/>
      <c r="K31" s="7"/>
      <c r="L31" s="7"/>
      <c r="M31" s="7"/>
      <c r="N31" s="7"/>
      <c r="O31" s="35"/>
      <c r="P31" s="35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6"/>
      <c r="C33" s="36"/>
      <c r="D33" s="7"/>
      <c r="E33" s="35"/>
      <c r="F33" s="35"/>
      <c r="G33" s="7"/>
      <c r="H33" s="35"/>
      <c r="I33" s="35"/>
      <c r="J33" s="35"/>
      <c r="K33" s="7"/>
      <c r="L33" s="7"/>
      <c r="M33" s="7"/>
      <c r="N33" s="7"/>
      <c r="O33" s="35"/>
      <c r="P33" s="35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149" s="132" customFormat="1" ht="35.25" customHeight="1">
      <c r="A35" s="128" t="s">
        <v>55</v>
      </c>
      <c r="B35" s="129"/>
      <c r="C35" s="129"/>
      <c r="D35" s="130">
        <f>D41*D39</f>
        <v>77889999.99998794</v>
      </c>
      <c r="E35" s="130"/>
      <c r="F35" s="130">
        <f>F41*F39</f>
        <v>77889999.99998794</v>
      </c>
      <c r="G35" s="130">
        <f>G39*G41</f>
        <v>86837999.99996285</v>
      </c>
      <c r="H35" s="130"/>
      <c r="I35" s="130"/>
      <c r="J35" s="130">
        <f>G35</f>
        <v>86837999.99996285</v>
      </c>
      <c r="K35" s="130"/>
      <c r="L35" s="130"/>
      <c r="M35" s="130"/>
      <c r="N35" s="130">
        <f>N39*N41</f>
        <v>138420000.00356</v>
      </c>
      <c r="O35" s="130"/>
      <c r="P35" s="130">
        <f>N35</f>
        <v>138420000.00356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</row>
    <row r="36" spans="1:16" ht="11.25">
      <c r="A36" s="5" t="s">
        <v>4</v>
      </c>
      <c r="B36" s="36"/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6"/>
      <c r="C38" s="3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6"/>
      <c r="C40" s="3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6"/>
      <c r="C42" s="3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3" t="s">
        <v>365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149" s="51" customFormat="1" ht="21.75" customHeight="1">
      <c r="A45" s="5" t="s">
        <v>5</v>
      </c>
      <c r="B45" s="36"/>
      <c r="C45" s="36"/>
      <c r="D45" s="29"/>
      <c r="E45" s="29"/>
      <c r="F45" s="29"/>
      <c r="G45" s="29"/>
      <c r="H45" s="29"/>
      <c r="I45" s="29"/>
      <c r="J45" s="7"/>
      <c r="K45" s="29"/>
      <c r="L45" s="29"/>
      <c r="M45" s="29"/>
      <c r="N45" s="29"/>
      <c r="O45" s="29"/>
      <c r="P45" s="7">
        <f>N45+O45</f>
        <v>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149" s="51" customFormat="1" ht="21.75" customHeight="1">
      <c r="A47" s="5" t="s">
        <v>7</v>
      </c>
      <c r="B47" s="36"/>
      <c r="C47" s="36"/>
      <c r="D47" s="29"/>
      <c r="E47" s="29"/>
      <c r="F47" s="29"/>
      <c r="G47" s="29"/>
      <c r="H47" s="29"/>
      <c r="I47" s="29"/>
      <c r="J47" s="7"/>
      <c r="K47" s="29"/>
      <c r="L47" s="29"/>
      <c r="M47" s="29"/>
      <c r="N47" s="29"/>
      <c r="O47" s="29"/>
      <c r="P47" s="7">
        <f>N47+O47</f>
        <v>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149" s="38" customFormat="1" ht="27" customHeight="1">
      <c r="A49" s="33" t="s">
        <v>366</v>
      </c>
      <c r="B49" s="34"/>
      <c r="C49" s="34"/>
      <c r="D49" s="35">
        <f>D55*D53</f>
        <v>800000.001</v>
      </c>
      <c r="E49" s="35">
        <v>17300000</v>
      </c>
      <c r="F49" s="35">
        <f>E49+D49</f>
        <v>18100000.001</v>
      </c>
      <c r="G49" s="35">
        <f>G53*G55</f>
        <v>2000000</v>
      </c>
      <c r="H49" s="35">
        <f>H53*H55</f>
        <v>16100000.199000001</v>
      </c>
      <c r="I49" s="35"/>
      <c r="J49" s="35">
        <f>G49+H49</f>
        <v>18100000.199</v>
      </c>
      <c r="K49" s="35"/>
      <c r="L49" s="35"/>
      <c r="M49" s="35"/>
      <c r="N49" s="35">
        <f>N53*N55</f>
        <v>450000</v>
      </c>
      <c r="O49" s="35">
        <f>O53*O55</f>
        <v>14550000</v>
      </c>
      <c r="P49" s="35">
        <f>O49+N49</f>
        <v>15000000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</row>
    <row r="50" spans="1:16" ht="11.25">
      <c r="A50" s="5" t="s">
        <v>4</v>
      </c>
      <c r="B50" s="36"/>
      <c r="C50" s="36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6"/>
      <c r="C52" s="36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6"/>
      <c r="C54" s="36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6"/>
      <c r="C56" s="36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5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149" s="38" customFormat="1" ht="29.25" customHeight="1">
      <c r="A58" s="33" t="s">
        <v>367</v>
      </c>
      <c r="B58" s="34"/>
      <c r="C58" s="34"/>
      <c r="D58" s="35">
        <f>(D62*D64)+2000000</f>
        <v>40999999.999961145</v>
      </c>
      <c r="E58" s="35"/>
      <c r="F58" s="35">
        <f>(F62*F64)+(F68*F72)-544</f>
        <v>40999999.999961145</v>
      </c>
      <c r="G58" s="35">
        <f>G62*G64+G70*G72</f>
        <v>45680299.99663542</v>
      </c>
      <c r="H58" s="35"/>
      <c r="I58" s="35"/>
      <c r="J58" s="35">
        <f>G58</f>
        <v>45680299.99663542</v>
      </c>
      <c r="K58" s="35"/>
      <c r="L58" s="35"/>
      <c r="M58" s="35"/>
      <c r="N58" s="35">
        <f>N62*N64</f>
        <v>45724399.99995345</v>
      </c>
      <c r="O58" s="35"/>
      <c r="P58" s="35">
        <f>N58</f>
        <v>45724399.99995345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</row>
    <row r="59" spans="1:16" ht="11.25">
      <c r="A59" s="5" t="s">
        <v>4</v>
      </c>
      <c r="B59" s="36"/>
      <c r="C59" s="3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6"/>
      <c r="C61" s="3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6"/>
      <c r="C63" s="3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6"/>
      <c r="C65" s="3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274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273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49" s="38" customFormat="1" ht="46.5" customHeight="1">
      <c r="A77" s="33" t="s">
        <v>368</v>
      </c>
      <c r="B77" s="34"/>
      <c r="C77" s="34"/>
      <c r="D77" s="35">
        <f>(D81*D83)</f>
        <v>5999999.99998</v>
      </c>
      <c r="E77" s="35"/>
      <c r="F77" s="35">
        <f>(F83*F81)</f>
        <v>5999999.99998</v>
      </c>
      <c r="G77" s="35">
        <f>(G83*G81)-0.01</f>
        <v>5799999.99875</v>
      </c>
      <c r="H77" s="35"/>
      <c r="I77" s="35"/>
      <c r="J77" s="35">
        <f>G77+H77</f>
        <v>5799999.99875</v>
      </c>
      <c r="K77" s="35"/>
      <c r="L77" s="35"/>
      <c r="M77" s="35"/>
      <c r="N77" s="35">
        <f>(N81*N83)</f>
        <v>9999999.99975</v>
      </c>
      <c r="O77" s="35"/>
      <c r="P77" s="35">
        <f>N77</f>
        <v>9999999.99975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</row>
    <row r="78" spans="1:16" ht="11.25">
      <c r="A78" s="5" t="s">
        <v>4</v>
      </c>
      <c r="B78" s="36"/>
      <c r="C78" s="3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6"/>
      <c r="C80" s="3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6"/>
      <c r="C82" s="3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6"/>
      <c r="C84" s="3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149" s="38" customFormat="1" ht="49.5" customHeight="1">
      <c r="A86" s="33" t="s">
        <v>440</v>
      </c>
      <c r="B86" s="34"/>
      <c r="C86" s="34"/>
      <c r="D86" s="35"/>
      <c r="E86" s="35">
        <f>(E91*E94)+(E92*E95)</f>
        <v>124999999.9999</v>
      </c>
      <c r="F86" s="35">
        <f>E86</f>
        <v>124999999.9999</v>
      </c>
      <c r="G86" s="35"/>
      <c r="H86" s="35">
        <f>(H91*H94)+(H92*H95)</f>
        <v>142488000.34962872</v>
      </c>
      <c r="I86" s="35"/>
      <c r="J86" s="35">
        <f>H86</f>
        <v>142488000.34962872</v>
      </c>
      <c r="K86" s="35">
        <f aca="true" t="shared" si="6" ref="K86:P86">(K91*K94)+(K92*K95)</f>
        <v>0</v>
      </c>
      <c r="L86" s="35">
        <f t="shared" si="6"/>
        <v>0</v>
      </c>
      <c r="M86" s="35">
        <f t="shared" si="6"/>
        <v>0</v>
      </c>
      <c r="N86" s="35"/>
      <c r="O86" s="35">
        <f>(O91*O94)+(O92*O95)</f>
        <v>149417001.40680495</v>
      </c>
      <c r="P86" s="35">
        <f t="shared" si="6"/>
        <v>149417001.40680495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5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f>66037.735849+16367.925</f>
        <v>82405.660849</v>
      </c>
      <c r="P92" s="7">
        <f>O92</f>
        <v>82405.660849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5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108.42850111710527</v>
      </c>
      <c r="P98" s="7">
        <f t="shared" si="9"/>
        <v>108.42850111710527</v>
      </c>
    </row>
    <row r="99" spans="1:149" s="38" customFormat="1" ht="33.75">
      <c r="A99" s="33" t="s">
        <v>369</v>
      </c>
      <c r="B99" s="34"/>
      <c r="C99" s="34"/>
      <c r="D99" s="35">
        <f>D101</f>
        <v>400000</v>
      </c>
      <c r="E99" s="35"/>
      <c r="F99" s="35">
        <f>D99</f>
        <v>400000</v>
      </c>
      <c r="G99" s="35">
        <f>G101</f>
        <v>950000</v>
      </c>
      <c r="H99" s="35"/>
      <c r="I99" s="35"/>
      <c r="J99" s="35">
        <f>G99</f>
        <v>950000</v>
      </c>
      <c r="K99" s="35"/>
      <c r="L99" s="35"/>
      <c r="M99" s="35"/>
      <c r="N99" s="35">
        <f>N105*N103</f>
        <v>500000</v>
      </c>
      <c r="O99" s="35"/>
      <c r="P99" s="35">
        <f>N99+O99</f>
        <v>500000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149" s="38" customFormat="1" ht="31.5" customHeight="1">
      <c r="A106" s="33" t="s">
        <v>370</v>
      </c>
      <c r="B106" s="34"/>
      <c r="C106" s="34"/>
      <c r="D106" s="35"/>
      <c r="E106" s="35">
        <f>E110*E112</f>
        <v>0</v>
      </c>
      <c r="F106" s="35">
        <f>E106</f>
        <v>0</v>
      </c>
      <c r="G106" s="35"/>
      <c r="H106" s="35">
        <f>H110*H112</f>
        <v>70480</v>
      </c>
      <c r="I106" s="35"/>
      <c r="J106" s="35">
        <f>H106</f>
        <v>70480</v>
      </c>
      <c r="K106" s="35"/>
      <c r="L106" s="35"/>
      <c r="M106" s="35"/>
      <c r="N106" s="35"/>
      <c r="O106" s="35">
        <f>O110*O112</f>
        <v>0</v>
      </c>
      <c r="P106" s="35">
        <f>O106</f>
        <v>0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5"/>
      <c r="K107" s="7"/>
      <c r="L107" s="7"/>
      <c r="M107" s="7"/>
      <c r="N107" s="7"/>
      <c r="O107" s="7"/>
      <c r="P107" s="7"/>
    </row>
    <row r="108" spans="1:16" ht="20.25" customHeight="1">
      <c r="A108" s="8" t="s">
        <v>318</v>
      </c>
      <c r="B108" s="6"/>
      <c r="C108" s="6"/>
      <c r="D108" s="7"/>
      <c r="E108" s="7">
        <f>73400-73400</f>
        <v>0</v>
      </c>
      <c r="F108" s="35">
        <f>E108</f>
        <v>0</v>
      </c>
      <c r="G108" s="7"/>
      <c r="H108" s="7">
        <f>0+70480</f>
        <v>70480</v>
      </c>
      <c r="I108" s="7"/>
      <c r="J108" s="35">
        <f>H108</f>
        <v>70480</v>
      </c>
      <c r="K108" s="7"/>
      <c r="L108" s="7"/>
      <c r="M108" s="7"/>
      <c r="N108" s="7"/>
      <c r="O108" s="7">
        <v>0</v>
      </c>
      <c r="P108" s="35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5"/>
      <c r="G109" s="7"/>
      <c r="H109" s="7"/>
      <c r="I109" s="7"/>
      <c r="J109" s="35"/>
      <c r="K109" s="7"/>
      <c r="L109" s="7"/>
      <c r="M109" s="7"/>
      <c r="N109" s="7"/>
      <c r="O109" s="7"/>
      <c r="P109" s="35"/>
    </row>
    <row r="110" spans="1:16" ht="21" customHeight="1">
      <c r="A110" s="8" t="s">
        <v>319</v>
      </c>
      <c r="B110" s="6"/>
      <c r="C110" s="6"/>
      <c r="D110" s="7"/>
      <c r="E110" s="7">
        <f>1-1</f>
        <v>0</v>
      </c>
      <c r="F110" s="35">
        <f>E110</f>
        <v>0</v>
      </c>
      <c r="G110" s="7"/>
      <c r="H110" s="7">
        <f>0+1</f>
        <v>1</v>
      </c>
      <c r="I110" s="7"/>
      <c r="J110" s="35">
        <f>H110</f>
        <v>1</v>
      </c>
      <c r="K110" s="7"/>
      <c r="L110" s="7"/>
      <c r="M110" s="7"/>
      <c r="N110" s="7"/>
      <c r="O110" s="7">
        <v>0</v>
      </c>
      <c r="P110" s="35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5"/>
      <c r="G111" s="7"/>
      <c r="H111" s="7"/>
      <c r="I111" s="7"/>
      <c r="J111" s="35"/>
      <c r="K111" s="7"/>
      <c r="L111" s="7"/>
      <c r="M111" s="7"/>
      <c r="N111" s="7"/>
      <c r="O111" s="7"/>
      <c r="P111" s="35"/>
    </row>
    <row r="112" spans="1:16" ht="27" customHeight="1">
      <c r="A112" s="8" t="s">
        <v>320</v>
      </c>
      <c r="B112" s="6"/>
      <c r="C112" s="6"/>
      <c r="D112" s="7"/>
      <c r="E112" s="7">
        <f>73400-73400</f>
        <v>0</v>
      </c>
      <c r="F112" s="35">
        <f>E112</f>
        <v>0</v>
      </c>
      <c r="G112" s="7"/>
      <c r="H112" s="7">
        <f>0+70480</f>
        <v>70480</v>
      </c>
      <c r="I112" s="7"/>
      <c r="J112" s="35">
        <f>H112</f>
        <v>70480</v>
      </c>
      <c r="K112" s="35">
        <f aca="true" t="shared" si="10" ref="K112:P112">I112</f>
        <v>0</v>
      </c>
      <c r="L112" s="35">
        <f t="shared" si="10"/>
        <v>70480</v>
      </c>
      <c r="M112" s="35">
        <f t="shared" si="10"/>
        <v>0</v>
      </c>
      <c r="N112" s="35"/>
      <c r="O112" s="35">
        <f>M112</f>
        <v>0</v>
      </c>
      <c r="P112" s="35">
        <f t="shared" si="10"/>
        <v>0</v>
      </c>
    </row>
    <row r="113" spans="1:149" s="38" customFormat="1" ht="48" customHeight="1">
      <c r="A113" s="33" t="s">
        <v>371</v>
      </c>
      <c r="B113" s="34"/>
      <c r="C113" s="34"/>
      <c r="D113" s="35">
        <f>(D121*D129)+(D122*D130)+(D123*D131)+(D124*D132)+(D125*D133)+(D134*D122*D135)-10</f>
        <v>8110000</v>
      </c>
      <c r="E113" s="35">
        <f aca="true" t="shared" si="11" ref="E113:M113">(E121*E129)+(E122*E130)+(E123*E131)+(E124*E132)+(E125*E133)+(E134*E122*E135)</f>
        <v>0</v>
      </c>
      <c r="F113" s="35">
        <f>D113+E113</f>
        <v>8110000</v>
      </c>
      <c r="G113" s="35">
        <f>(G121*G129)+(G122*G130)+(G123*G131)+(G124*G132)+(G125*G133)+(G134*G122*G135)+G126-0.22</f>
        <v>9041700.003999999</v>
      </c>
      <c r="H113" s="35">
        <f t="shared" si="11"/>
        <v>0</v>
      </c>
      <c r="I113" s="35"/>
      <c r="J113" s="35">
        <f>G113+H113</f>
        <v>9041700.003999999</v>
      </c>
      <c r="K113" s="35">
        <f t="shared" si="11"/>
        <v>0</v>
      </c>
      <c r="L113" s="35">
        <f t="shared" si="11"/>
        <v>0</v>
      </c>
      <c r="M113" s="35">
        <f t="shared" si="11"/>
        <v>0</v>
      </c>
      <c r="N113" s="35">
        <f>(N121*N129)+(N122*N130)+(N123*N131)+(N124*N132)+(N125*N133)+(N134*N122*N135)-15.8-14900</f>
        <v>9493400</v>
      </c>
      <c r="O113" s="35">
        <f>(O121*O129)+(O122*O130)+(O123*O131)+(O124*O132)+(O125*O133)+(O134*O122*O135)</f>
        <v>0</v>
      </c>
      <c r="P113" s="35">
        <f>N113+O113</f>
        <v>9493400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</row>
    <row r="114" spans="1:16" ht="11.25">
      <c r="A114" s="5" t="s">
        <v>4</v>
      </c>
      <c r="B114" s="36"/>
      <c r="C114" s="3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155" s="25" customFormat="1" ht="12" customHeight="1">
      <c r="A119" s="5" t="s">
        <v>5</v>
      </c>
      <c r="B119" s="36"/>
      <c r="C119" s="3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ET119" s="52"/>
      <c r="EU119" s="52"/>
      <c r="EV119" s="52"/>
      <c r="EW119" s="52"/>
      <c r="EX119" s="52"/>
      <c r="EY119" s="52"/>
    </row>
    <row r="120" spans="1:155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ET120" s="52"/>
      <c r="EU120" s="52"/>
      <c r="EV120" s="52"/>
      <c r="EW120" s="52"/>
      <c r="EX120" s="52"/>
      <c r="EY120" s="52"/>
    </row>
    <row r="121" spans="1:155" s="25" customFormat="1" ht="27.75" customHeight="1">
      <c r="A121" s="8" t="s">
        <v>62</v>
      </c>
      <c r="B121" s="6"/>
      <c r="C121" s="36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ET121" s="52"/>
      <c r="EU121" s="52"/>
      <c r="EV121" s="52"/>
      <c r="EW121" s="52"/>
      <c r="EX121" s="52"/>
      <c r="EY121" s="52"/>
    </row>
    <row r="122" spans="1:155" s="25" customFormat="1" ht="27" customHeight="1">
      <c r="A122" s="8" t="s">
        <v>63</v>
      </c>
      <c r="B122" s="6"/>
      <c r="C122" s="36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ET122" s="52"/>
      <c r="EU122" s="52"/>
      <c r="EV122" s="52"/>
      <c r="EW122" s="52"/>
      <c r="EX122" s="52"/>
      <c r="EY122" s="52"/>
    </row>
    <row r="123" spans="1:155" s="25" customFormat="1" ht="22.5">
      <c r="A123" s="8" t="s">
        <v>27</v>
      </c>
      <c r="B123" s="6"/>
      <c r="C123" s="36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ET123" s="52"/>
      <c r="EU123" s="52"/>
      <c r="EV123" s="52"/>
      <c r="EW123" s="52"/>
      <c r="EX123" s="52"/>
      <c r="EY123" s="52"/>
    </row>
    <row r="124" spans="1:155" s="25" customFormat="1" ht="22.5">
      <c r="A124" s="8" t="s">
        <v>31</v>
      </c>
      <c r="B124" s="6"/>
      <c r="C124" s="36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ET124" s="52"/>
      <c r="EU124" s="52"/>
      <c r="EV124" s="52"/>
      <c r="EW124" s="52"/>
      <c r="EX124" s="52"/>
      <c r="EY124" s="52"/>
    </row>
    <row r="125" spans="1:155" s="25" customFormat="1" ht="22.5">
      <c r="A125" s="8" t="s">
        <v>13</v>
      </c>
      <c r="B125" s="6"/>
      <c r="C125" s="36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ET125" s="52"/>
      <c r="EU125" s="52"/>
      <c r="EV125" s="52"/>
      <c r="EW125" s="52"/>
      <c r="EX125" s="52"/>
      <c r="EY125" s="52"/>
    </row>
    <row r="126" spans="1:155" s="25" customFormat="1" ht="22.5">
      <c r="A126" s="8" t="s">
        <v>400</v>
      </c>
      <c r="B126" s="6"/>
      <c r="C126" s="36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ET126" s="52"/>
      <c r="EU126" s="52"/>
      <c r="EV126" s="52"/>
      <c r="EW126" s="52"/>
      <c r="EX126" s="52"/>
      <c r="EY126" s="52"/>
    </row>
    <row r="127" spans="1:155" s="25" customFormat="1" ht="11.25">
      <c r="A127" s="5" t="s">
        <v>7</v>
      </c>
      <c r="B127" s="36"/>
      <c r="C127" s="36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ET127" s="52"/>
      <c r="EU127" s="52"/>
      <c r="EV127" s="52"/>
      <c r="EW127" s="52"/>
      <c r="EX127" s="52"/>
      <c r="EY127" s="52"/>
    </row>
    <row r="128" spans="1:155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ET128" s="52"/>
      <c r="EU128" s="52"/>
      <c r="EV128" s="52"/>
      <c r="EW128" s="52"/>
      <c r="EX128" s="52"/>
      <c r="EY128" s="52"/>
    </row>
    <row r="129" spans="1:155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ET129" s="52"/>
      <c r="EU129" s="52"/>
      <c r="EV129" s="52"/>
      <c r="EW129" s="52"/>
      <c r="EX129" s="52"/>
      <c r="EY129" s="52"/>
    </row>
    <row r="130" spans="1:155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ET130" s="52"/>
      <c r="EU130" s="52"/>
      <c r="EV130" s="52"/>
      <c r="EW130" s="52"/>
      <c r="EX130" s="52"/>
      <c r="EY130" s="52"/>
    </row>
    <row r="131" spans="1:155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ET131" s="52"/>
      <c r="EU131" s="52"/>
      <c r="EV131" s="52"/>
      <c r="EW131" s="52"/>
      <c r="EX131" s="52"/>
      <c r="EY131" s="52"/>
    </row>
    <row r="132" spans="1:155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ET132" s="52"/>
      <c r="EU132" s="52"/>
      <c r="EV132" s="52"/>
      <c r="EW132" s="52"/>
      <c r="EX132" s="52"/>
      <c r="EY132" s="52"/>
    </row>
    <row r="133" spans="1:155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ET133" s="52"/>
      <c r="EU133" s="52"/>
      <c r="EV133" s="52"/>
      <c r="EW133" s="52"/>
      <c r="EX133" s="52"/>
      <c r="EY133" s="52"/>
    </row>
    <row r="134" spans="1:155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ET134" s="52"/>
      <c r="EU134" s="52"/>
      <c r="EV134" s="52"/>
      <c r="EW134" s="52"/>
      <c r="EX134" s="52"/>
      <c r="EY134" s="52"/>
    </row>
    <row r="135" spans="1:155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ET135" s="52"/>
      <c r="EU135" s="52"/>
      <c r="EV135" s="52"/>
      <c r="EW135" s="52"/>
      <c r="EX135" s="52"/>
      <c r="EY135" s="52"/>
    </row>
    <row r="136" spans="1:155" s="25" customFormat="1" ht="11.25">
      <c r="A136" s="5" t="s">
        <v>6</v>
      </c>
      <c r="B136" s="36"/>
      <c r="C136" s="3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ET136" s="52"/>
      <c r="EU136" s="52"/>
      <c r="EV136" s="52"/>
      <c r="EW136" s="52"/>
      <c r="EX136" s="52"/>
      <c r="EY136" s="52"/>
    </row>
    <row r="137" spans="1:155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ET137" s="52"/>
      <c r="EU137" s="52"/>
      <c r="EV137" s="52"/>
      <c r="EW137" s="52"/>
      <c r="EX137" s="52"/>
      <c r="EY137" s="52"/>
    </row>
    <row r="138" spans="1:155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ET138" s="52"/>
      <c r="EU138" s="52"/>
      <c r="EV138" s="52"/>
      <c r="EW138" s="52"/>
      <c r="EX138" s="52"/>
      <c r="EY138" s="52"/>
    </row>
    <row r="139" spans="1:155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ET139" s="52"/>
      <c r="EU139" s="52"/>
      <c r="EV139" s="52"/>
      <c r="EW139" s="52"/>
      <c r="EX139" s="52"/>
      <c r="EY139" s="52"/>
    </row>
    <row r="140" spans="1:155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ET140" s="52"/>
      <c r="EU140" s="52"/>
      <c r="EV140" s="52"/>
      <c r="EW140" s="52"/>
      <c r="EX140" s="52"/>
      <c r="EY140" s="52"/>
    </row>
    <row r="141" spans="1:155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ET141" s="52"/>
      <c r="EU141" s="52"/>
      <c r="EV141" s="52"/>
      <c r="EW141" s="52"/>
      <c r="EX141" s="52"/>
      <c r="EY141" s="52"/>
    </row>
    <row r="142" spans="1:155" s="37" customFormat="1" ht="25.5" customHeight="1">
      <c r="A142" s="33" t="s">
        <v>372</v>
      </c>
      <c r="B142" s="34"/>
      <c r="C142" s="34"/>
      <c r="D142" s="35">
        <f>(D153*D159)+(D154*D160)+(D156*D162)+(D155*D161)+(D157*D163)+0.01+750000+190000</f>
        <v>40940000.002</v>
      </c>
      <c r="E142" s="35">
        <f>(E153*E159)+(E154*E160)+(E156*E162)+(E155*E161)+(E157*E163)</f>
        <v>14999999.99976</v>
      </c>
      <c r="F142" s="35">
        <f>D142+E142</f>
        <v>55940000.00176</v>
      </c>
      <c r="G142" s="35">
        <f>(G153*G159)+(G154*G160)+(G156*G162)+(G155*G161)+(G157*G163)-0.24-1500-84000-96000</f>
        <v>38935366.67961999</v>
      </c>
      <c r="H142" s="35">
        <f>(H153*H159)+(H154*H160)+(H156*H162)+(H155*H161)+(H157*H163)+5006</f>
        <v>10845506</v>
      </c>
      <c r="I142" s="35"/>
      <c r="J142" s="35">
        <f>G142+H142</f>
        <v>49780872.67961999</v>
      </c>
      <c r="K142" s="35">
        <f>(K153*K159)+(K154*K160)+(K156*K162)+(K155*K161)+(K157*K163)+100</f>
        <v>100</v>
      </c>
      <c r="L142" s="35">
        <f>(L153*L159)+(L154*L160)+(L156*L162)+(L155*L161)+(L157*L163)+100</f>
        <v>100</v>
      </c>
      <c r="M142" s="35">
        <f>(M153*M159)+(M154*M160)+(M156*M162)+(M155*M161)+(M157*M163)+100</f>
        <v>100</v>
      </c>
      <c r="N142" s="35">
        <f>(N153*N159)+(N154*N160)+(N156*N162)+(N155*N161)+(N157*N163)-0.24-799.99</f>
        <v>50377333.332282394</v>
      </c>
      <c r="O142" s="35">
        <f>(O153*O159)+(O154*O160)+(O156*O162)+(O155*O161)+(O157*O163)</f>
        <v>24999999.9984</v>
      </c>
      <c r="P142" s="35">
        <f>N142+O142</f>
        <v>75377333.3306824</v>
      </c>
      <c r="ET142" s="38"/>
      <c r="EU142" s="38"/>
      <c r="EV142" s="38"/>
      <c r="EW142" s="38"/>
      <c r="EX142" s="38"/>
      <c r="EY142" s="38"/>
    </row>
    <row r="143" spans="1:155" s="25" customFormat="1" ht="0.75" customHeight="1">
      <c r="A143" s="39" t="s">
        <v>33</v>
      </c>
      <c r="B143" s="40"/>
      <c r="C143" s="40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ET143" s="52"/>
      <c r="EU143" s="52"/>
      <c r="EV143" s="52"/>
      <c r="EW143" s="52"/>
      <c r="EX143" s="52"/>
      <c r="EY143" s="52"/>
    </row>
    <row r="144" spans="1:155" s="25" customFormat="1" ht="11.25">
      <c r="A144" s="5" t="s">
        <v>4</v>
      </c>
      <c r="B144" s="36"/>
      <c r="C144" s="36"/>
      <c r="D144" s="29"/>
      <c r="E144" s="29"/>
      <c r="F144" s="29"/>
      <c r="G144" s="29"/>
      <c r="H144" s="29"/>
      <c r="I144" s="29"/>
      <c r="J144" s="29"/>
      <c r="K144" s="7"/>
      <c r="L144" s="7"/>
      <c r="M144" s="7"/>
      <c r="N144" s="29"/>
      <c r="O144" s="29"/>
      <c r="P144" s="29"/>
      <c r="ET144" s="52"/>
      <c r="EU144" s="52"/>
      <c r="EV144" s="52"/>
      <c r="EW144" s="52"/>
      <c r="EX144" s="52"/>
      <c r="EY144" s="52"/>
    </row>
    <row r="145" spans="1:155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ET145" s="52"/>
      <c r="EU145" s="52"/>
      <c r="EV145" s="52"/>
      <c r="EW145" s="52"/>
      <c r="EX145" s="52"/>
      <c r="EY145" s="52"/>
    </row>
    <row r="146" spans="1:155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ET146" s="52"/>
      <c r="EU146" s="52"/>
      <c r="EV146" s="52"/>
      <c r="EW146" s="52"/>
      <c r="EX146" s="52"/>
      <c r="EY146" s="52"/>
    </row>
    <row r="147" spans="1:155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ET147" s="52"/>
      <c r="EU147" s="52"/>
      <c r="EV147" s="52"/>
      <c r="EW147" s="52"/>
      <c r="EX147" s="52"/>
      <c r="EY147" s="52"/>
    </row>
    <row r="148" spans="1:155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ET148" s="52"/>
      <c r="EU148" s="52"/>
      <c r="EV148" s="52"/>
      <c r="EW148" s="52"/>
      <c r="EX148" s="52"/>
      <c r="EY148" s="52"/>
    </row>
    <row r="149" spans="1:155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ET149" s="52"/>
      <c r="EU149" s="52"/>
      <c r="EV149" s="52"/>
      <c r="EW149" s="52"/>
      <c r="EX149" s="52"/>
      <c r="EY149" s="52"/>
    </row>
    <row r="150" spans="1:155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ET150" s="52"/>
      <c r="EU150" s="52"/>
      <c r="EV150" s="52"/>
      <c r="EW150" s="52"/>
      <c r="EX150" s="52"/>
      <c r="EY150" s="52"/>
    </row>
    <row r="151" spans="1:155" s="25" customFormat="1" ht="11.25">
      <c r="A151" s="5" t="s">
        <v>5</v>
      </c>
      <c r="B151" s="36"/>
      <c r="C151" s="36"/>
      <c r="D151" s="29"/>
      <c r="E151" s="29"/>
      <c r="F151" s="7"/>
      <c r="G151" s="29"/>
      <c r="H151" s="29"/>
      <c r="I151" s="29"/>
      <c r="J151" s="7">
        <f t="shared" si="15"/>
        <v>0</v>
      </c>
      <c r="K151" s="7"/>
      <c r="L151" s="7"/>
      <c r="M151" s="7"/>
      <c r="N151" s="29"/>
      <c r="O151" s="29"/>
      <c r="P151" s="7">
        <f t="shared" si="16"/>
        <v>0</v>
      </c>
      <c r="ET151" s="52"/>
      <c r="EU151" s="52"/>
      <c r="EV151" s="52"/>
      <c r="EW151" s="52"/>
      <c r="EX151" s="52"/>
      <c r="EY151" s="52"/>
    </row>
    <row r="152" spans="1:155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ET152" s="52"/>
      <c r="EU152" s="52"/>
      <c r="EV152" s="52"/>
      <c r="EW152" s="52"/>
      <c r="EX152" s="52"/>
      <c r="EY152" s="52"/>
    </row>
    <row r="153" spans="1:155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ET153" s="52"/>
      <c r="EU153" s="52"/>
      <c r="EV153" s="52"/>
      <c r="EW153" s="52"/>
      <c r="EX153" s="52"/>
      <c r="EY153" s="52"/>
    </row>
    <row r="154" spans="1:155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7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ET154" s="52"/>
      <c r="EU154" s="52"/>
      <c r="EV154" s="52"/>
      <c r="EW154" s="52"/>
      <c r="EX154" s="52"/>
      <c r="EY154" s="52"/>
    </row>
    <row r="155" spans="1:155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ET155" s="52"/>
      <c r="EU155" s="52"/>
      <c r="EV155" s="52"/>
      <c r="EW155" s="52"/>
      <c r="EX155" s="52"/>
      <c r="EY155" s="52"/>
    </row>
    <row r="156" spans="1:155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ET156" s="52"/>
      <c r="EU156" s="52"/>
      <c r="EV156" s="52"/>
      <c r="EW156" s="52"/>
      <c r="EX156" s="52"/>
      <c r="EY156" s="52"/>
    </row>
    <row r="157" spans="1:155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ET157" s="52"/>
      <c r="EU157" s="52"/>
      <c r="EV157" s="52"/>
      <c r="EW157" s="52"/>
      <c r="EX157" s="52"/>
      <c r="EY157" s="52"/>
    </row>
    <row r="158" spans="1:155" s="25" customFormat="1" ht="11.25">
      <c r="A158" s="5" t="s">
        <v>7</v>
      </c>
      <c r="B158" s="36"/>
      <c r="C158" s="36"/>
      <c r="D158" s="29"/>
      <c r="E158" s="29"/>
      <c r="F158" s="7">
        <f t="shared" si="17"/>
        <v>0</v>
      </c>
      <c r="G158" s="29"/>
      <c r="H158" s="29"/>
      <c r="I158" s="29"/>
      <c r="J158" s="7">
        <f t="shared" si="15"/>
        <v>0</v>
      </c>
      <c r="K158" s="7"/>
      <c r="L158" s="7"/>
      <c r="M158" s="7"/>
      <c r="N158" s="29"/>
      <c r="O158" s="29"/>
      <c r="P158" s="7">
        <f t="shared" si="16"/>
        <v>0</v>
      </c>
      <c r="ET158" s="52"/>
      <c r="EU158" s="52"/>
      <c r="EV158" s="52"/>
      <c r="EW158" s="52"/>
      <c r="EX158" s="52"/>
      <c r="EY158" s="52"/>
    </row>
    <row r="159" spans="1:155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ET159" s="52"/>
      <c r="EU159" s="52"/>
      <c r="EV159" s="52"/>
      <c r="EW159" s="52"/>
      <c r="EX159" s="52"/>
      <c r="EY159" s="52"/>
    </row>
    <row r="160" spans="1:155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ET160" s="52"/>
      <c r="EU160" s="52"/>
      <c r="EV160" s="52"/>
      <c r="EW160" s="52"/>
      <c r="EX160" s="52"/>
      <c r="EY160" s="52"/>
    </row>
    <row r="161" spans="1:155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ET161" s="52"/>
      <c r="EU161" s="52"/>
      <c r="EV161" s="52"/>
      <c r="EW161" s="52"/>
      <c r="EX161" s="52"/>
      <c r="EY161" s="52"/>
    </row>
    <row r="162" spans="1:155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ET162" s="52"/>
      <c r="EU162" s="52"/>
      <c r="EV162" s="52"/>
      <c r="EW162" s="52"/>
      <c r="EX162" s="52"/>
      <c r="EY162" s="52"/>
    </row>
    <row r="163" spans="1:155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ET163" s="52"/>
      <c r="EU163" s="52"/>
      <c r="EV163" s="52"/>
      <c r="EW163" s="52"/>
      <c r="EX163" s="52"/>
      <c r="EY163" s="52"/>
    </row>
    <row r="164" spans="1:155" s="25" customFormat="1" ht="11.25">
      <c r="A164" s="5" t="s">
        <v>6</v>
      </c>
      <c r="B164" s="36"/>
      <c r="C164" s="36"/>
      <c r="D164" s="29"/>
      <c r="E164" s="29"/>
      <c r="F164" s="7">
        <f t="shared" si="17"/>
        <v>0</v>
      </c>
      <c r="G164" s="29"/>
      <c r="H164" s="29"/>
      <c r="I164" s="29"/>
      <c r="J164" s="7">
        <f t="shared" si="15"/>
        <v>0</v>
      </c>
      <c r="K164" s="7"/>
      <c r="L164" s="7"/>
      <c r="M164" s="7"/>
      <c r="N164" s="29"/>
      <c r="O164" s="29"/>
      <c r="P164" s="7">
        <f t="shared" si="16"/>
        <v>0</v>
      </c>
      <c r="ET164" s="52"/>
      <c r="EU164" s="52"/>
      <c r="EV164" s="52"/>
      <c r="EW164" s="52"/>
      <c r="EX164" s="52"/>
      <c r="EY164" s="52"/>
    </row>
    <row r="165" spans="1:155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ET165" s="52"/>
      <c r="EU165" s="52"/>
      <c r="EV165" s="52"/>
      <c r="EW165" s="52"/>
      <c r="EX165" s="52"/>
      <c r="EY165" s="52"/>
    </row>
    <row r="166" spans="1:155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ET166" s="52"/>
      <c r="EU166" s="52"/>
      <c r="EV166" s="52"/>
      <c r="EW166" s="52"/>
      <c r="EX166" s="52"/>
      <c r="EY166" s="52"/>
    </row>
    <row r="167" spans="1:155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ET167" s="52"/>
      <c r="EU167" s="52"/>
      <c r="EV167" s="52"/>
      <c r="EW167" s="52"/>
      <c r="EX167" s="52"/>
      <c r="EY167" s="52"/>
    </row>
    <row r="168" spans="1:155" s="37" customFormat="1" ht="31.5" customHeight="1">
      <c r="A168" s="33" t="s">
        <v>373</v>
      </c>
      <c r="B168" s="34"/>
      <c r="C168" s="34"/>
      <c r="D168" s="35">
        <f>SUM(D183)*D197+D184*D198+D185*D199+D187*D202+D188*D203+D189*D204+D190*D205+D191*D206+D192*D207+D193*D208+0.65+532023</f>
        <v>19686999.999978114</v>
      </c>
      <c r="E168" s="35">
        <f>SUM(E186)*E200+E194*E209+E195*E210+E215</f>
        <v>23278332.999995</v>
      </c>
      <c r="F168" s="35">
        <f>D168+E168</f>
        <v>42965332.99997312</v>
      </c>
      <c r="G168" s="35">
        <f>SUM(G183)*G197+G184*G198+G185*G199+G187*G202+G188*G203+G189*G204+G190*G205+G191*G206+G192*G207+G193*G208-0.02+552000+58000+350000</f>
        <v>20664000.004896514</v>
      </c>
      <c r="H168" s="35">
        <f>SUM(H186)*H200+H194*H209+H195*H210+H215+H180*H201+H181*H202+600000</f>
        <v>25360030.399995</v>
      </c>
      <c r="I168" s="35"/>
      <c r="J168" s="35">
        <f>G168+H168</f>
        <v>46024030.40489151</v>
      </c>
      <c r="K168" s="35" t="e">
        <f>(K183*K197)+(K184*K198)+(K185*K199)+(K188*K203)+(K189*K204)+(K205*K190)+(#REF!*#REF!)-1036.73</f>
        <v>#REF!</v>
      </c>
      <c r="L168" s="35" t="e">
        <f>(L183*L197)+(L184*L198)+(L185*L199)+(L188*L203)+(L189*L204)+(L205*L190)+(#REF!*#REF!)-1036.73</f>
        <v>#REF!</v>
      </c>
      <c r="M168" s="35" t="e">
        <f>(M183*M197)+(M184*M198)+(M185*M199)+(M188*M203)+(M189*M204)+(M205*M190)+(#REF!*#REF!)-1036.73</f>
        <v>#REF!</v>
      </c>
      <c r="N168" s="35">
        <f>SUM(N183)*N197+N184*N198+N185*N199+N187*N202+N188*N203+N189*N204+N190*N205+N191*N206+N192*N207+N193*N208+0.2+591794</f>
        <v>21544999.99979262</v>
      </c>
      <c r="O168" s="35">
        <f>SUM(O186)*O200+O194*O209+O195*O210</f>
        <v>23169999.999995</v>
      </c>
      <c r="P168" s="35">
        <f>N168+O168</f>
        <v>44714999.99978762</v>
      </c>
      <c r="ET168" s="38"/>
      <c r="EU168" s="38"/>
      <c r="EV168" s="38"/>
      <c r="EW168" s="38"/>
      <c r="EX168" s="38"/>
      <c r="EY168" s="38"/>
    </row>
    <row r="169" spans="1:155" s="25" customFormat="1" ht="11.25">
      <c r="A169" s="5" t="s">
        <v>4</v>
      </c>
      <c r="B169" s="36"/>
      <c r="C169" s="36"/>
      <c r="D169" s="29"/>
      <c r="E169" s="29"/>
      <c r="F169" s="29"/>
      <c r="G169" s="29"/>
      <c r="H169" s="29"/>
      <c r="I169" s="29"/>
      <c r="J169" s="29"/>
      <c r="K169" s="7"/>
      <c r="L169" s="7"/>
      <c r="M169" s="7"/>
      <c r="N169" s="29"/>
      <c r="O169" s="29"/>
      <c r="P169" s="29"/>
      <c r="ET169" s="52"/>
      <c r="EU169" s="52"/>
      <c r="EV169" s="52"/>
      <c r="EW169" s="52"/>
      <c r="EX169" s="52"/>
      <c r="EY169" s="52"/>
    </row>
    <row r="170" spans="1:155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ET170" s="52"/>
      <c r="EU170" s="52"/>
      <c r="EV170" s="52"/>
      <c r="EW170" s="52"/>
      <c r="EX170" s="52"/>
      <c r="EY170" s="52"/>
    </row>
    <row r="171" spans="1:155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ET171" s="52"/>
      <c r="EU171" s="52"/>
      <c r="EV171" s="52"/>
      <c r="EW171" s="52"/>
      <c r="EX171" s="52"/>
      <c r="EY171" s="52"/>
    </row>
    <row r="172" spans="1:155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ET172" s="52"/>
      <c r="EU172" s="52"/>
      <c r="EV172" s="52"/>
      <c r="EW172" s="52"/>
      <c r="EX172" s="52"/>
      <c r="EY172" s="52"/>
    </row>
    <row r="173" spans="1:155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ET173" s="52"/>
      <c r="EU173" s="52"/>
      <c r="EV173" s="52"/>
      <c r="EW173" s="52"/>
      <c r="EX173" s="52"/>
      <c r="EY173" s="52"/>
    </row>
    <row r="174" spans="1:155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ET174" s="52"/>
      <c r="EU174" s="52"/>
      <c r="EV174" s="52"/>
      <c r="EW174" s="52"/>
      <c r="EX174" s="52"/>
      <c r="EY174" s="52"/>
    </row>
    <row r="175" spans="1:155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ET175" s="52"/>
      <c r="EU175" s="52"/>
      <c r="EV175" s="52"/>
      <c r="EW175" s="52"/>
      <c r="EX175" s="52"/>
      <c r="EY175" s="52"/>
    </row>
    <row r="176" spans="1:155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ET176" s="52"/>
      <c r="EU176" s="52"/>
      <c r="EV176" s="52"/>
      <c r="EW176" s="52"/>
      <c r="EX176" s="52"/>
      <c r="EY176" s="52"/>
    </row>
    <row r="177" spans="1:155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ET177" s="52"/>
      <c r="EU177" s="52"/>
      <c r="EV177" s="52"/>
      <c r="EW177" s="52"/>
      <c r="EX177" s="52"/>
      <c r="EY177" s="52"/>
    </row>
    <row r="178" spans="1:155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ET178" s="52"/>
      <c r="EU178" s="52"/>
      <c r="EV178" s="52"/>
      <c r="EW178" s="52"/>
      <c r="EX178" s="52"/>
      <c r="EY178" s="52"/>
    </row>
    <row r="179" spans="1:155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ET179" s="52"/>
      <c r="EU179" s="52"/>
      <c r="EV179" s="52"/>
      <c r="EW179" s="52"/>
      <c r="EX179" s="52"/>
      <c r="EY179" s="52"/>
    </row>
    <row r="180" spans="1:155" s="25" customFormat="1" ht="26.25" customHeight="1">
      <c r="A180" s="8" t="s">
        <v>386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ET180" s="52"/>
      <c r="EU180" s="52"/>
      <c r="EV180" s="52"/>
      <c r="EW180" s="52"/>
      <c r="EX180" s="52"/>
      <c r="EY180" s="52"/>
    </row>
    <row r="181" spans="1:155" s="25" customFormat="1" ht="26.25" customHeight="1">
      <c r="A181" s="8" t="s">
        <v>388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ET181" s="52"/>
      <c r="EU181" s="52"/>
      <c r="EV181" s="52"/>
      <c r="EW181" s="52"/>
      <c r="EX181" s="52"/>
      <c r="EY181" s="52"/>
    </row>
    <row r="182" spans="1:155" s="25" customFormat="1" ht="11.25">
      <c r="A182" s="5" t="s">
        <v>5</v>
      </c>
      <c r="B182" s="36"/>
      <c r="C182" s="36"/>
      <c r="D182" s="29"/>
      <c r="E182" s="29"/>
      <c r="F182" s="29"/>
      <c r="G182" s="29"/>
      <c r="H182" s="29"/>
      <c r="I182" s="29"/>
      <c r="J182" s="7"/>
      <c r="K182" s="7"/>
      <c r="L182" s="7"/>
      <c r="M182" s="7"/>
      <c r="N182" s="29"/>
      <c r="O182" s="29"/>
      <c r="P182" s="7"/>
      <c r="ET182" s="52"/>
      <c r="EU182" s="52"/>
      <c r="EV182" s="52"/>
      <c r="EW182" s="52"/>
      <c r="EX182" s="52"/>
      <c r="EY182" s="52"/>
    </row>
    <row r="183" spans="1:155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ET183" s="52"/>
      <c r="EU183" s="52"/>
      <c r="EV183" s="52"/>
      <c r="EW183" s="52"/>
      <c r="EX183" s="52"/>
      <c r="EY183" s="52"/>
    </row>
    <row r="184" spans="1:155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ET184" s="52"/>
      <c r="EU184" s="52"/>
      <c r="EV184" s="52"/>
      <c r="EW184" s="52"/>
      <c r="EX184" s="52"/>
      <c r="EY184" s="52"/>
    </row>
    <row r="185" spans="1:155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ET185" s="52"/>
      <c r="EU185" s="52"/>
      <c r="EV185" s="52"/>
      <c r="EW185" s="52"/>
      <c r="EX185" s="52"/>
      <c r="EY185" s="52"/>
    </row>
    <row r="186" spans="1:155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ET186" s="52"/>
      <c r="EU186" s="52"/>
      <c r="EV186" s="52"/>
      <c r="EW186" s="52"/>
      <c r="EX186" s="52"/>
      <c r="EY186" s="52"/>
    </row>
    <row r="187" spans="1:155" s="25" customFormat="1" ht="26.25" customHeight="1">
      <c r="A187" s="8" t="s">
        <v>333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ET187" s="52"/>
      <c r="EU187" s="52"/>
      <c r="EV187" s="52"/>
      <c r="EW187" s="52"/>
      <c r="EX187" s="52"/>
      <c r="EY187" s="52"/>
    </row>
    <row r="188" spans="1:155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ET188" s="52"/>
      <c r="EU188" s="52"/>
      <c r="EV188" s="52"/>
      <c r="EW188" s="52"/>
      <c r="EX188" s="52"/>
      <c r="EY188" s="52"/>
    </row>
    <row r="189" spans="1:155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ET189" s="52"/>
      <c r="EU189" s="52"/>
      <c r="EV189" s="52"/>
      <c r="EW189" s="52"/>
      <c r="EX189" s="52"/>
      <c r="EY189" s="52"/>
    </row>
    <row r="190" spans="1:155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ET190" s="52"/>
      <c r="EU190" s="52"/>
      <c r="EV190" s="52"/>
      <c r="EW190" s="52"/>
      <c r="EX190" s="52"/>
      <c r="EY190" s="52"/>
    </row>
    <row r="191" spans="1:155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ET191" s="52"/>
      <c r="EU191" s="52"/>
      <c r="EV191" s="52"/>
      <c r="EW191" s="52"/>
      <c r="EX191" s="52"/>
      <c r="EY191" s="52"/>
    </row>
    <row r="192" spans="1:155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ET192" s="52"/>
      <c r="EU192" s="52"/>
      <c r="EV192" s="52"/>
      <c r="EW192" s="52"/>
      <c r="EX192" s="52"/>
      <c r="EY192" s="52"/>
    </row>
    <row r="193" spans="1:155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ET193" s="52"/>
      <c r="EU193" s="52"/>
      <c r="EV193" s="52"/>
      <c r="EW193" s="52"/>
      <c r="EX193" s="52"/>
      <c r="EY193" s="52"/>
    </row>
    <row r="194" spans="1:155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ET194" s="52"/>
      <c r="EU194" s="52"/>
      <c r="EV194" s="52"/>
      <c r="EW194" s="52"/>
      <c r="EX194" s="52"/>
      <c r="EY194" s="52"/>
    </row>
    <row r="195" spans="1:155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ET195" s="52"/>
      <c r="EU195" s="52"/>
      <c r="EV195" s="52"/>
      <c r="EW195" s="52"/>
      <c r="EX195" s="52"/>
      <c r="EY195" s="52"/>
    </row>
    <row r="196" spans="1:155" s="25" customFormat="1" ht="11.25">
      <c r="A196" s="5" t="s">
        <v>7</v>
      </c>
      <c r="B196" s="36"/>
      <c r="C196" s="36"/>
      <c r="D196" s="29"/>
      <c r="E196" s="29"/>
      <c r="F196" s="7"/>
      <c r="G196" s="29"/>
      <c r="H196" s="29"/>
      <c r="I196" s="29"/>
      <c r="J196" s="7"/>
      <c r="K196" s="7"/>
      <c r="L196" s="7"/>
      <c r="M196" s="7"/>
      <c r="N196" s="29"/>
      <c r="O196" s="29"/>
      <c r="P196" s="7"/>
      <c r="ET196" s="52"/>
      <c r="EU196" s="52"/>
      <c r="EV196" s="52"/>
      <c r="EW196" s="52"/>
      <c r="EX196" s="52"/>
      <c r="EY196" s="52"/>
    </row>
    <row r="197" spans="1:155" s="25" customFormat="1" ht="33.75">
      <c r="A197" s="8" t="s">
        <v>93</v>
      </c>
      <c r="B197" s="36"/>
      <c r="C197" s="36"/>
      <c r="D197" s="7">
        <v>46611.41</v>
      </c>
      <c r="E197" s="29"/>
      <c r="F197" s="7">
        <f>D197</f>
        <v>46611.41</v>
      </c>
      <c r="G197" s="7">
        <v>48277.615</v>
      </c>
      <c r="H197" s="29"/>
      <c r="I197" s="29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29"/>
      <c r="P197" s="7">
        <f aca="true" t="shared" si="23" ref="P197:P208">N197</f>
        <v>50079.48</v>
      </c>
      <c r="ET197" s="52"/>
      <c r="EU197" s="52"/>
      <c r="EV197" s="52"/>
      <c r="EW197" s="52"/>
      <c r="EX197" s="52"/>
      <c r="EY197" s="52"/>
    </row>
    <row r="198" spans="1:155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ET198" s="52"/>
      <c r="EU198" s="52"/>
      <c r="EV198" s="52"/>
      <c r="EW198" s="52"/>
      <c r="EX198" s="52"/>
      <c r="EY198" s="52"/>
    </row>
    <row r="199" spans="1:155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ET199" s="52"/>
      <c r="EU199" s="52"/>
      <c r="EV199" s="52"/>
      <c r="EW199" s="52"/>
      <c r="EX199" s="52"/>
      <c r="EY199" s="52"/>
    </row>
    <row r="200" spans="1:155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ET200" s="52"/>
      <c r="EU200" s="52"/>
      <c r="EV200" s="52"/>
      <c r="EW200" s="52"/>
      <c r="EX200" s="52"/>
      <c r="EY200" s="52"/>
    </row>
    <row r="201" spans="1:155" s="25" customFormat="1" ht="22.5" customHeight="1">
      <c r="A201" s="8" t="s">
        <v>387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ET201" s="52"/>
      <c r="EU201" s="52"/>
      <c r="EV201" s="52"/>
      <c r="EW201" s="52"/>
      <c r="EX201" s="52"/>
      <c r="EY201" s="52"/>
    </row>
    <row r="202" spans="1:155" s="25" customFormat="1" ht="27" customHeight="1">
      <c r="A202" s="8" t="s">
        <v>334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ET202" s="52"/>
      <c r="EU202" s="52"/>
      <c r="EV202" s="52"/>
      <c r="EW202" s="52"/>
      <c r="EX202" s="52"/>
      <c r="EY202" s="52"/>
    </row>
    <row r="203" spans="1:155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ET203" s="52"/>
      <c r="EU203" s="52"/>
      <c r="EV203" s="52"/>
      <c r="EW203" s="52"/>
      <c r="EX203" s="52"/>
      <c r="EY203" s="52"/>
    </row>
    <row r="204" spans="1:155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ET204" s="52"/>
      <c r="EU204" s="52"/>
      <c r="EV204" s="52"/>
      <c r="EW204" s="52"/>
      <c r="EX204" s="52"/>
      <c r="EY204" s="52"/>
    </row>
    <row r="205" spans="1:155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ET205" s="52"/>
      <c r="EU205" s="52"/>
      <c r="EV205" s="52"/>
      <c r="EW205" s="52"/>
      <c r="EX205" s="52"/>
      <c r="EY205" s="52"/>
    </row>
    <row r="206" spans="1:155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ET206" s="52"/>
      <c r="EU206" s="52"/>
      <c r="EV206" s="52"/>
      <c r="EW206" s="52"/>
      <c r="EX206" s="52"/>
      <c r="EY206" s="52"/>
    </row>
    <row r="207" spans="1:155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ET207" s="52"/>
      <c r="EU207" s="52"/>
      <c r="EV207" s="52"/>
      <c r="EW207" s="52"/>
      <c r="EX207" s="52"/>
      <c r="EY207" s="52"/>
    </row>
    <row r="208" spans="1:155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ET208" s="52"/>
      <c r="EU208" s="52"/>
      <c r="EV208" s="52"/>
      <c r="EW208" s="52"/>
      <c r="EX208" s="52"/>
      <c r="EY208" s="52"/>
    </row>
    <row r="209" spans="1:155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ET209" s="52"/>
      <c r="EU209" s="52"/>
      <c r="EV209" s="52"/>
      <c r="EW209" s="52"/>
      <c r="EX209" s="52"/>
      <c r="EY209" s="52"/>
    </row>
    <row r="210" spans="1:155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ET210" s="52"/>
      <c r="EU210" s="52"/>
      <c r="EV210" s="52"/>
      <c r="EW210" s="52"/>
      <c r="EX210" s="52"/>
      <c r="EY210" s="52"/>
    </row>
    <row r="211" spans="1:155" s="25" customFormat="1" ht="11.25">
      <c r="A211" s="5" t="s">
        <v>6</v>
      </c>
      <c r="B211" s="36"/>
      <c r="C211" s="36"/>
      <c r="D211" s="29"/>
      <c r="E211" s="29"/>
      <c r="F211" s="7"/>
      <c r="G211" s="29"/>
      <c r="H211" s="29"/>
      <c r="I211" s="29"/>
      <c r="J211" s="7"/>
      <c r="K211" s="7"/>
      <c r="L211" s="7"/>
      <c r="M211" s="7"/>
      <c r="N211" s="29"/>
      <c r="O211" s="29"/>
      <c r="P211" s="7"/>
      <c r="ET211" s="52"/>
      <c r="EU211" s="52"/>
      <c r="EV211" s="52"/>
      <c r="EW211" s="52"/>
      <c r="EX211" s="52"/>
      <c r="EY211" s="52"/>
    </row>
    <row r="212" spans="1:155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ET212" s="52"/>
      <c r="EU212" s="52"/>
      <c r="EV212" s="52"/>
      <c r="EW212" s="52"/>
      <c r="EX212" s="52"/>
      <c r="EY212" s="52"/>
    </row>
    <row r="213" spans="1:155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ET213" s="52"/>
      <c r="EU213" s="52"/>
      <c r="EV213" s="52"/>
      <c r="EW213" s="52"/>
      <c r="EX213" s="52"/>
      <c r="EY213" s="52"/>
    </row>
    <row r="214" spans="1:155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ET214" s="52"/>
      <c r="EU214" s="52"/>
      <c r="EV214" s="52"/>
      <c r="EW214" s="52"/>
      <c r="EX214" s="52"/>
      <c r="EY214" s="52"/>
    </row>
    <row r="215" spans="1:155" s="25" customFormat="1" ht="27.75" customHeight="1">
      <c r="A215" s="33" t="s">
        <v>374</v>
      </c>
      <c r="B215" s="20"/>
      <c r="C215" s="20"/>
      <c r="D215" s="42"/>
      <c r="E215" s="56">
        <f>SUM(E217)</f>
        <v>138333</v>
      </c>
      <c r="F215" s="56">
        <f>SUM(E215)</f>
        <v>138333</v>
      </c>
      <c r="G215" s="44"/>
      <c r="H215" s="44">
        <f>H217</f>
        <v>700000</v>
      </c>
      <c r="I215" s="44"/>
      <c r="J215" s="44">
        <f>H215</f>
        <v>700000</v>
      </c>
      <c r="K215" s="44">
        <f>I215</f>
        <v>0</v>
      </c>
      <c r="L215" s="44">
        <f>J215</f>
        <v>700000</v>
      </c>
      <c r="M215" s="44">
        <f>K215</f>
        <v>0</v>
      </c>
      <c r="N215" s="44"/>
      <c r="O215" s="44">
        <f>O217</f>
        <v>40999.99999999999</v>
      </c>
      <c r="P215" s="44">
        <f>P217</f>
        <v>40999.99999999999</v>
      </c>
      <c r="ET215" s="52"/>
      <c r="EU215" s="52"/>
      <c r="EV215" s="52"/>
      <c r="EW215" s="52"/>
      <c r="EX215" s="52"/>
      <c r="EY215" s="52"/>
    </row>
    <row r="216" spans="1:155" s="25" customFormat="1" ht="9.75" customHeight="1">
      <c r="A216" s="13" t="s">
        <v>4</v>
      </c>
      <c r="B216" s="20"/>
      <c r="C216" s="20"/>
      <c r="D216" s="42"/>
      <c r="E216" s="43"/>
      <c r="F216" s="43"/>
      <c r="G216" s="43"/>
      <c r="H216" s="43"/>
      <c r="I216" s="43"/>
      <c r="J216" s="43">
        <f aca="true" t="shared" si="27" ref="J216:J221">H216</f>
        <v>0</v>
      </c>
      <c r="K216" s="43"/>
      <c r="L216" s="43"/>
      <c r="M216" s="43"/>
      <c r="N216" s="43"/>
      <c r="O216" s="43"/>
      <c r="P216" s="43"/>
      <c r="ET216" s="52"/>
      <c r="EU216" s="52"/>
      <c r="EV216" s="52"/>
      <c r="EW216" s="52"/>
      <c r="EX216" s="52"/>
      <c r="EY216" s="52"/>
    </row>
    <row r="217" spans="1:155" s="25" customFormat="1" ht="18.75" customHeight="1">
      <c r="A217" s="16" t="s">
        <v>196</v>
      </c>
      <c r="B217" s="45"/>
      <c r="C217" s="45"/>
      <c r="D217" s="46"/>
      <c r="E217" s="47">
        <v>138333</v>
      </c>
      <c r="F217" s="47">
        <f>SUM(E217)</f>
        <v>138333</v>
      </c>
      <c r="G217" s="26"/>
      <c r="H217" s="47">
        <v>700000</v>
      </c>
      <c r="I217" s="26"/>
      <c r="J217" s="43">
        <f t="shared" si="27"/>
        <v>700000</v>
      </c>
      <c r="K217" s="47"/>
      <c r="L217" s="47"/>
      <c r="M217" s="47"/>
      <c r="N217" s="47"/>
      <c r="O217" s="47">
        <f>O219*O221+0.2</f>
        <v>40999.99999999999</v>
      </c>
      <c r="P217" s="47">
        <f>O217</f>
        <v>40999.99999999999</v>
      </c>
      <c r="ET217" s="52"/>
      <c r="EU217" s="52"/>
      <c r="EV217" s="52"/>
      <c r="EW217" s="52"/>
      <c r="EX217" s="52"/>
      <c r="EY217" s="52"/>
    </row>
    <row r="218" spans="1:155" s="25" customFormat="1" ht="15" customHeight="1">
      <c r="A218" s="5" t="s">
        <v>5</v>
      </c>
      <c r="B218" s="20"/>
      <c r="C218" s="20"/>
      <c r="D218" s="48"/>
      <c r="E218" s="43"/>
      <c r="F218" s="47">
        <f>SUM(E218)</f>
        <v>0</v>
      </c>
      <c r="G218" s="49"/>
      <c r="H218" s="43"/>
      <c r="I218" s="49"/>
      <c r="J218" s="43">
        <f t="shared" si="27"/>
        <v>0</v>
      </c>
      <c r="K218" s="43"/>
      <c r="L218" s="43"/>
      <c r="M218" s="43"/>
      <c r="N218" s="43"/>
      <c r="O218" s="43"/>
      <c r="P218" s="43"/>
      <c r="ET218" s="52"/>
      <c r="EU218" s="52"/>
      <c r="EV218" s="52"/>
      <c r="EW218" s="52"/>
      <c r="EX218" s="52"/>
      <c r="EY218" s="52"/>
    </row>
    <row r="219" spans="1:155" s="25" customFormat="1" ht="27.75" customHeight="1">
      <c r="A219" s="8" t="s">
        <v>339</v>
      </c>
      <c r="B219" s="20"/>
      <c r="C219" s="20"/>
      <c r="D219" s="48"/>
      <c r="E219" s="43">
        <v>260</v>
      </c>
      <c r="F219" s="47">
        <f>SUM(E219)</f>
        <v>260</v>
      </c>
      <c r="G219" s="49"/>
      <c r="H219" s="43">
        <v>780</v>
      </c>
      <c r="I219" s="49"/>
      <c r="J219" s="43">
        <f t="shared" si="27"/>
        <v>780</v>
      </c>
      <c r="K219" s="43"/>
      <c r="L219" s="43"/>
      <c r="M219" s="43"/>
      <c r="N219" s="43"/>
      <c r="O219" s="43">
        <v>115</v>
      </c>
      <c r="P219" s="43">
        <v>115</v>
      </c>
      <c r="ET219" s="52"/>
      <c r="EU219" s="52"/>
      <c r="EV219" s="52"/>
      <c r="EW219" s="52"/>
      <c r="EX219" s="52"/>
      <c r="EY219" s="52"/>
    </row>
    <row r="220" spans="1:155" s="25" customFormat="1" ht="12.75" customHeight="1">
      <c r="A220" s="19" t="s">
        <v>7</v>
      </c>
      <c r="B220" s="20"/>
      <c r="C220" s="20"/>
      <c r="D220" s="48"/>
      <c r="E220" s="43"/>
      <c r="F220" s="47">
        <f>SUM(E220)</f>
        <v>0</v>
      </c>
      <c r="G220" s="49"/>
      <c r="H220" s="43"/>
      <c r="I220" s="49"/>
      <c r="J220" s="43">
        <f t="shared" si="27"/>
        <v>0</v>
      </c>
      <c r="K220" s="43"/>
      <c r="L220" s="43"/>
      <c r="M220" s="43"/>
      <c r="N220" s="43"/>
      <c r="O220" s="43"/>
      <c r="P220" s="43"/>
      <c r="ET220" s="52"/>
      <c r="EU220" s="52"/>
      <c r="EV220" s="52"/>
      <c r="EW220" s="52"/>
      <c r="EX220" s="52"/>
      <c r="EY220" s="52"/>
    </row>
    <row r="221" spans="1:155" s="25" customFormat="1" ht="24.75" customHeight="1">
      <c r="A221" s="8" t="s">
        <v>340</v>
      </c>
      <c r="B221" s="6"/>
      <c r="C221" s="6"/>
      <c r="D221" s="7"/>
      <c r="E221" s="7">
        <f>SUM(E217)/E219</f>
        <v>532.05</v>
      </c>
      <c r="F221" s="47">
        <f>SUM(E221)</f>
        <v>532.05</v>
      </c>
      <c r="G221" s="7"/>
      <c r="H221" s="7">
        <f>H217/H219</f>
        <v>897.4358974358975</v>
      </c>
      <c r="I221" s="7"/>
      <c r="J221" s="43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ET221" s="52"/>
      <c r="EU221" s="52"/>
      <c r="EV221" s="52"/>
      <c r="EW221" s="52"/>
      <c r="EX221" s="52"/>
      <c r="EY221" s="52"/>
    </row>
    <row r="222" spans="1:155" s="37" customFormat="1" ht="45">
      <c r="A222" s="33" t="s">
        <v>375</v>
      </c>
      <c r="B222" s="34"/>
      <c r="C222" s="34"/>
      <c r="D222" s="35">
        <f>D224+D225+D226+D228</f>
        <v>20696700</v>
      </c>
      <c r="E222" s="35">
        <f>E229</f>
        <v>1000000</v>
      </c>
      <c r="F222" s="35">
        <f>D222+E222</f>
        <v>21696700</v>
      </c>
      <c r="G222" s="35">
        <f>G224+G225+G226+G228+120000</f>
        <v>21211500</v>
      </c>
      <c r="H222" s="35">
        <f>H229</f>
        <v>1500000</v>
      </c>
      <c r="I222" s="35"/>
      <c r="J222" s="35">
        <f>G222+H222</f>
        <v>22711500</v>
      </c>
      <c r="K222" s="35" t="e">
        <f>(K224*K237)+(K232*K238)+(K233*K239)+(#REF!*#REF!)+11.5</f>
        <v>#REF!</v>
      </c>
      <c r="L222" s="35" t="e">
        <f>(L224*L237)+(L232*L238)+(L233*L239)+(#REF!*#REF!)+11.5</f>
        <v>#REF!</v>
      </c>
      <c r="M222" s="35" t="e">
        <f>(M224*M237)+(M232*M238)+(M233*M239)+(#REF!*#REF!)+11.5</f>
        <v>#REF!</v>
      </c>
      <c r="N222" s="143">
        <f>N224+N225+N226+N228+125000</f>
        <v>22838000</v>
      </c>
      <c r="O222" s="35">
        <f>O229</f>
        <v>2000000</v>
      </c>
      <c r="P222" s="35">
        <f>N222+O222</f>
        <v>24838000</v>
      </c>
      <c r="ET222" s="38"/>
      <c r="EU222" s="38"/>
      <c r="EV222" s="38"/>
      <c r="EW222" s="38"/>
      <c r="EX222" s="38"/>
      <c r="EY222" s="38"/>
    </row>
    <row r="223" spans="1:155" s="25" customFormat="1" ht="11.25">
      <c r="A223" s="5" t="s">
        <v>4</v>
      </c>
      <c r="B223" s="36"/>
      <c r="C223" s="36"/>
      <c r="D223" s="29"/>
      <c r="E223" s="29"/>
      <c r="F223" s="29"/>
      <c r="G223" s="29"/>
      <c r="H223" s="29"/>
      <c r="I223" s="29"/>
      <c r="J223" s="7"/>
      <c r="K223" s="7"/>
      <c r="L223" s="7"/>
      <c r="M223" s="7"/>
      <c r="N223" s="29"/>
      <c r="O223" s="29"/>
      <c r="P223" s="7"/>
      <c r="ET223" s="52"/>
      <c r="EU223" s="52"/>
      <c r="EV223" s="52"/>
      <c r="EW223" s="52"/>
      <c r="EX223" s="52"/>
      <c r="EY223" s="52"/>
    </row>
    <row r="224" spans="1:155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15404000+1506000+3000</f>
        <v>16913000</v>
      </c>
      <c r="O224" s="7"/>
      <c r="P224" s="7">
        <f>N224+O224</f>
        <v>16913000</v>
      </c>
      <c r="ET224" s="52"/>
      <c r="EU224" s="52"/>
      <c r="EV224" s="52"/>
      <c r="EW224" s="52"/>
      <c r="EX224" s="52"/>
      <c r="EY224" s="52"/>
    </row>
    <row r="225" spans="1:155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ET225" s="52"/>
      <c r="EU225" s="52"/>
      <c r="EV225" s="52"/>
      <c r="EW225" s="52"/>
      <c r="EX225" s="52"/>
      <c r="EY225" s="52"/>
    </row>
    <row r="226" spans="1:155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ET226" s="52"/>
      <c r="EU226" s="52"/>
      <c r="EV226" s="52"/>
      <c r="EW226" s="52"/>
      <c r="EX226" s="52"/>
      <c r="EY226" s="52"/>
    </row>
    <row r="227" spans="1:155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ET227" s="52"/>
      <c r="EU227" s="52"/>
      <c r="EV227" s="52"/>
      <c r="EW227" s="52"/>
      <c r="EX227" s="52"/>
      <c r="EY227" s="52"/>
    </row>
    <row r="228" spans="1:155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ET228" s="52"/>
      <c r="EU228" s="52"/>
      <c r="EV228" s="52"/>
      <c r="EW228" s="52"/>
      <c r="EX228" s="52"/>
      <c r="EY228" s="52"/>
    </row>
    <row r="229" spans="1:155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ET229" s="52"/>
      <c r="EU229" s="52"/>
      <c r="EV229" s="52"/>
      <c r="EW229" s="52"/>
      <c r="EX229" s="52"/>
      <c r="EY229" s="52"/>
    </row>
    <row r="230" spans="1:155" s="25" customFormat="1" ht="11.25">
      <c r="A230" s="5" t="s">
        <v>5</v>
      </c>
      <c r="B230" s="36"/>
      <c r="C230" s="36"/>
      <c r="D230" s="29"/>
      <c r="E230" s="29"/>
      <c r="F230" s="7">
        <f t="shared" si="28"/>
        <v>0</v>
      </c>
      <c r="G230" s="29"/>
      <c r="H230" s="29"/>
      <c r="I230" s="29"/>
      <c r="J230" s="7">
        <f t="shared" si="29"/>
        <v>0</v>
      </c>
      <c r="K230" s="7"/>
      <c r="L230" s="7"/>
      <c r="M230" s="7"/>
      <c r="N230" s="29"/>
      <c r="O230" s="29"/>
      <c r="P230" s="7">
        <f t="shared" si="30"/>
        <v>0</v>
      </c>
      <c r="ET230" s="52"/>
      <c r="EU230" s="52"/>
      <c r="EV230" s="52"/>
      <c r="EW230" s="52"/>
      <c r="EX230" s="52"/>
      <c r="EY230" s="52"/>
    </row>
    <row r="231" spans="1:155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ET231" s="52"/>
      <c r="EU231" s="52"/>
      <c r="EV231" s="52"/>
      <c r="EW231" s="52"/>
      <c r="EX231" s="52"/>
      <c r="EY231" s="52"/>
    </row>
    <row r="232" spans="1:155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ET232" s="52"/>
      <c r="EU232" s="52"/>
      <c r="EV232" s="52"/>
      <c r="EW232" s="52"/>
      <c r="EX232" s="52"/>
      <c r="EY232" s="52"/>
    </row>
    <row r="233" spans="1:155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ET233" s="52"/>
      <c r="EU233" s="52"/>
      <c r="EV233" s="52"/>
      <c r="EW233" s="52"/>
      <c r="EX233" s="52"/>
      <c r="EY233" s="52"/>
    </row>
    <row r="234" spans="1:155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ET234" s="52"/>
      <c r="EU234" s="52"/>
      <c r="EV234" s="52"/>
      <c r="EW234" s="52"/>
      <c r="EX234" s="52"/>
      <c r="EY234" s="52"/>
    </row>
    <row r="235" spans="1:155" s="25" customFormat="1" ht="19.5" customHeight="1">
      <c r="A235" s="8" t="s">
        <v>341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ET235" s="52"/>
      <c r="EU235" s="52"/>
      <c r="EV235" s="52"/>
      <c r="EW235" s="52"/>
      <c r="EX235" s="52"/>
      <c r="EY235" s="52"/>
    </row>
    <row r="236" spans="1:155" s="25" customFormat="1" ht="11.25">
      <c r="A236" s="5" t="s">
        <v>7</v>
      </c>
      <c r="B236" s="36"/>
      <c r="C236" s="36"/>
      <c r="D236" s="29"/>
      <c r="E236" s="29"/>
      <c r="F236" s="7">
        <f t="shared" si="28"/>
        <v>0</v>
      </c>
      <c r="G236" s="29"/>
      <c r="H236" s="29"/>
      <c r="I236" s="29"/>
      <c r="J236" s="7">
        <f t="shared" si="29"/>
        <v>0</v>
      </c>
      <c r="K236" s="7"/>
      <c r="L236" s="7"/>
      <c r="M236" s="7"/>
      <c r="N236" s="29"/>
      <c r="O236" s="29"/>
      <c r="P236" s="7">
        <f t="shared" si="30"/>
        <v>0</v>
      </c>
      <c r="ET236" s="52"/>
      <c r="EU236" s="52"/>
      <c r="EV236" s="52"/>
      <c r="EW236" s="52"/>
      <c r="EX236" s="52"/>
      <c r="EY236" s="52"/>
    </row>
    <row r="237" spans="1:155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ET237" s="52"/>
      <c r="EU237" s="52"/>
      <c r="EV237" s="52"/>
      <c r="EW237" s="52"/>
      <c r="EX237" s="52"/>
      <c r="EY237" s="52"/>
    </row>
    <row r="238" spans="1:155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ET238" s="52"/>
      <c r="EU238" s="52"/>
      <c r="EV238" s="52"/>
      <c r="EW238" s="52"/>
      <c r="EX238" s="52"/>
      <c r="EY238" s="52"/>
    </row>
    <row r="239" spans="1:155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ET239" s="52"/>
      <c r="EU239" s="52"/>
      <c r="EV239" s="52"/>
      <c r="EW239" s="52"/>
      <c r="EX239" s="52"/>
      <c r="EY239" s="52"/>
    </row>
    <row r="240" spans="1:155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ET240" s="52"/>
      <c r="EU240" s="52"/>
      <c r="EV240" s="52"/>
      <c r="EW240" s="52"/>
      <c r="EX240" s="52"/>
      <c r="EY240" s="52"/>
    </row>
    <row r="241" spans="1:155" s="136" customFormat="1" ht="22.5">
      <c r="A241" s="133" t="s">
        <v>173</v>
      </c>
      <c r="B241" s="134"/>
      <c r="C241" s="134"/>
      <c r="D241" s="135"/>
      <c r="E241" s="135">
        <v>1000000</v>
      </c>
      <c r="F241" s="135">
        <f t="shared" si="28"/>
        <v>1000000</v>
      </c>
      <c r="G241" s="135"/>
      <c r="H241" s="135">
        <v>1500000</v>
      </c>
      <c r="I241" s="135"/>
      <c r="J241" s="135">
        <f t="shared" si="29"/>
        <v>1500000</v>
      </c>
      <c r="K241" s="135"/>
      <c r="L241" s="135"/>
      <c r="M241" s="135"/>
      <c r="N241" s="135"/>
      <c r="O241" s="135">
        <v>2000000</v>
      </c>
      <c r="P241" s="135">
        <f t="shared" si="30"/>
        <v>2000000</v>
      </c>
      <c r="ET241" s="137"/>
      <c r="EU241" s="137"/>
      <c r="EV241" s="137"/>
      <c r="EW241" s="137"/>
      <c r="EX241" s="137"/>
      <c r="EY241" s="137"/>
    </row>
    <row r="242" spans="1:155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ET242" s="52"/>
      <c r="EU242" s="52"/>
      <c r="EV242" s="52"/>
      <c r="EW242" s="52"/>
      <c r="EX242" s="52"/>
      <c r="EY242" s="52"/>
    </row>
    <row r="243" spans="1:155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7.686395080707149E-05</v>
      </c>
      <c r="O243" s="7"/>
      <c r="P243" s="7">
        <f t="shared" si="30"/>
        <v>7.686395080707149E-05</v>
      </c>
      <c r="ET243" s="52"/>
      <c r="EU243" s="52"/>
      <c r="EV243" s="52"/>
      <c r="EW243" s="52"/>
      <c r="EX243" s="52"/>
      <c r="EY243" s="52"/>
    </row>
    <row r="244" spans="1:155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ET244" s="52"/>
      <c r="EU244" s="52"/>
      <c r="EV244" s="52"/>
      <c r="EW244" s="52"/>
      <c r="EX244" s="52"/>
      <c r="EY244" s="52"/>
    </row>
    <row r="245" spans="1:155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ET245" s="52"/>
      <c r="EU245" s="52"/>
      <c r="EV245" s="52"/>
      <c r="EW245" s="52"/>
      <c r="EX245" s="52"/>
      <c r="EY245" s="52"/>
    </row>
    <row r="246" spans="1:155" s="37" customFormat="1" ht="22.5">
      <c r="A246" s="33" t="s">
        <v>376</v>
      </c>
      <c r="B246" s="34"/>
      <c r="C246" s="34"/>
      <c r="D246" s="35">
        <f>D248+D250+D251+D252</f>
        <v>5421400</v>
      </c>
      <c r="E246" s="35">
        <f>(E256*E262)+(E257*E263)+(E259*E265)</f>
        <v>0</v>
      </c>
      <c r="F246" s="35">
        <f aca="true" t="shared" si="31" ref="F246:F254">D246+E246</f>
        <v>5421400</v>
      </c>
      <c r="G246" s="35">
        <f>G248+G249+G250+G251+G252+G253+96000</f>
        <v>8611000</v>
      </c>
      <c r="H246" s="35">
        <f>(H256*H262)+(H257*H263)+(H259*H265)</f>
        <v>0</v>
      </c>
      <c r="I246" s="35">
        <f>(I256*I262)+(I257*I263)+(I259*I265)</f>
        <v>0</v>
      </c>
      <c r="J246" s="35">
        <f>G246+H246</f>
        <v>8611000</v>
      </c>
      <c r="K246" s="35">
        <f>(K256*K262)+(K257*K263)+(K259*K265)</f>
        <v>0</v>
      </c>
      <c r="L246" s="35">
        <f>(L256*L262)+(L257*L263)+(L259*L265)</f>
        <v>0</v>
      </c>
      <c r="M246" s="35">
        <f>(M256*M262)+(M257*M263)+(M259*M265)</f>
        <v>0</v>
      </c>
      <c r="N246" s="35">
        <f>N248+N250+N251+N252+N249+N253+N254</f>
        <v>9950000</v>
      </c>
      <c r="O246" s="35">
        <f>(O256*O262)+(O257*O263)+(O259*O265)</f>
        <v>0</v>
      </c>
      <c r="P246" s="35">
        <f aca="true" t="shared" si="32" ref="P246:P254">N246+O246</f>
        <v>9950000</v>
      </c>
      <c r="Q246" s="35">
        <f>(Q256*Q262)+(Q257*Q263)+(Q259*Q265)</f>
        <v>0</v>
      </c>
      <c r="ET246" s="38"/>
      <c r="EU246" s="38"/>
      <c r="EV246" s="38"/>
      <c r="EW246" s="38"/>
      <c r="EX246" s="38"/>
      <c r="EY246" s="38"/>
    </row>
    <row r="247" spans="1:155" s="37" customFormat="1" ht="11.25">
      <c r="A247" s="5" t="s">
        <v>4</v>
      </c>
      <c r="B247" s="34"/>
      <c r="C247" s="34"/>
      <c r="D247" s="35"/>
      <c r="E247" s="35"/>
      <c r="F247" s="7">
        <f t="shared" si="31"/>
        <v>0</v>
      </c>
      <c r="G247" s="7"/>
      <c r="H247" s="7"/>
      <c r="I247" s="7"/>
      <c r="J247" s="7">
        <f aca="true" t="shared" si="33" ref="J247:J254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1"/>
      <c r="ET247" s="38"/>
      <c r="EU247" s="38"/>
      <c r="EV247" s="38"/>
      <c r="EW247" s="38"/>
      <c r="EX247" s="38"/>
      <c r="EY247" s="38"/>
    </row>
    <row r="248" spans="1:155" s="37" customFormat="1" ht="33.75">
      <c r="A248" s="8" t="s">
        <v>233</v>
      </c>
      <c r="B248" s="34"/>
      <c r="C248" s="34"/>
      <c r="D248" s="7">
        <v>2971400</v>
      </c>
      <c r="E248" s="35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1"/>
      <c r="ET248" s="38"/>
      <c r="EU248" s="38"/>
      <c r="EV248" s="38"/>
      <c r="EW248" s="38"/>
      <c r="EX248" s="38"/>
      <c r="EY248" s="38"/>
    </row>
    <row r="249" spans="1:155" s="37" customFormat="1" ht="33.75">
      <c r="A249" s="8" t="s">
        <v>399</v>
      </c>
      <c r="B249" s="34"/>
      <c r="C249" s="34"/>
      <c r="D249" s="7">
        <v>0</v>
      </c>
      <c r="E249" s="35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1"/>
      <c r="ET249" s="38"/>
      <c r="EU249" s="38"/>
      <c r="EV249" s="38"/>
      <c r="EW249" s="38"/>
      <c r="EX249" s="38"/>
      <c r="EY249" s="38"/>
    </row>
    <row r="250" spans="1:155" s="37" customFormat="1" ht="11.25">
      <c r="A250" s="8" t="s">
        <v>234</v>
      </c>
      <c r="B250" s="34"/>
      <c r="C250" s="34"/>
      <c r="D250" s="7">
        <v>200000</v>
      </c>
      <c r="E250" s="35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1"/>
      <c r="ET250" s="38"/>
      <c r="EU250" s="38"/>
      <c r="EV250" s="38"/>
      <c r="EW250" s="38"/>
      <c r="EX250" s="38"/>
      <c r="EY250" s="38"/>
    </row>
    <row r="251" spans="1:155" s="37" customFormat="1" ht="33.75">
      <c r="A251" s="8" t="s">
        <v>235</v>
      </c>
      <c r="B251" s="34"/>
      <c r="C251" s="34"/>
      <c r="D251" s="7">
        <v>350000</v>
      </c>
      <c r="E251" s="35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1"/>
      <c r="ET251" s="38"/>
      <c r="EU251" s="38"/>
      <c r="EV251" s="38"/>
      <c r="EW251" s="38"/>
      <c r="EX251" s="38"/>
      <c r="EY251" s="38"/>
    </row>
    <row r="252" spans="1:155" s="37" customFormat="1" ht="33.75">
      <c r="A252" s="8" t="s">
        <v>236</v>
      </c>
      <c r="B252" s="34"/>
      <c r="C252" s="34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1"/>
      <c r="ET252" s="38"/>
      <c r="EU252" s="38"/>
      <c r="EV252" s="38"/>
      <c r="EW252" s="38"/>
      <c r="EX252" s="38"/>
      <c r="EY252" s="38"/>
    </row>
    <row r="253" spans="1:155" s="37" customFormat="1" ht="33.75">
      <c r="A253" s="8" t="s">
        <v>431</v>
      </c>
      <c r="B253" s="34"/>
      <c r="C253" s="34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>
        <f t="shared" si="32"/>
        <v>0</v>
      </c>
      <c r="Q253" s="41"/>
      <c r="ET253" s="38"/>
      <c r="EU253" s="38"/>
      <c r="EV253" s="38"/>
      <c r="EW253" s="38"/>
      <c r="EX253" s="38"/>
      <c r="EY253" s="38"/>
    </row>
    <row r="254" spans="1:155" s="37" customFormat="1" ht="45">
      <c r="A254" s="8" t="s">
        <v>479</v>
      </c>
      <c r="B254" s="34"/>
      <c r="C254" s="34"/>
      <c r="D254" s="7">
        <v>0</v>
      </c>
      <c r="E254" s="7">
        <v>0</v>
      </c>
      <c r="F254" s="7">
        <f t="shared" si="31"/>
        <v>0</v>
      </c>
      <c r="G254" s="7">
        <v>0</v>
      </c>
      <c r="H254" s="7">
        <v>0</v>
      </c>
      <c r="I254" s="7"/>
      <c r="J254" s="7">
        <f t="shared" si="33"/>
        <v>0</v>
      </c>
      <c r="K254" s="7"/>
      <c r="L254" s="7"/>
      <c r="M254" s="7"/>
      <c r="N254" s="7">
        <v>540000</v>
      </c>
      <c r="O254" s="7"/>
      <c r="P254" s="7">
        <f t="shared" si="32"/>
        <v>540000</v>
      </c>
      <c r="Q254" s="41"/>
      <c r="ET254" s="38"/>
      <c r="EU254" s="38"/>
      <c r="EV254" s="38"/>
      <c r="EW254" s="38"/>
      <c r="EX254" s="38"/>
      <c r="EY254" s="38"/>
    </row>
    <row r="255" spans="1:155" s="25" customFormat="1" ht="11.25">
      <c r="A255" s="5" t="s">
        <v>5</v>
      </c>
      <c r="B255" s="36"/>
      <c r="C255" s="36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ET255" s="52"/>
      <c r="EU255" s="52"/>
      <c r="EV255" s="52"/>
      <c r="EW255" s="52"/>
      <c r="EX255" s="52"/>
      <c r="EY255" s="52"/>
    </row>
    <row r="256" spans="1:155" s="25" customFormat="1" ht="35.25" customHeight="1">
      <c r="A256" s="8" t="s">
        <v>237</v>
      </c>
      <c r="B256" s="6"/>
      <c r="C256" s="6"/>
      <c r="D256" s="7">
        <v>155760</v>
      </c>
      <c r="E256" s="7"/>
      <c r="F256" s="7">
        <f>D256+E256</f>
        <v>155760</v>
      </c>
      <c r="G256" s="7">
        <f>F256</f>
        <v>155760</v>
      </c>
      <c r="H256" s="7"/>
      <c r="I256" s="7"/>
      <c r="J256" s="7">
        <f>G256+H256</f>
        <v>155760</v>
      </c>
      <c r="K256" s="7"/>
      <c r="L256" s="7"/>
      <c r="M256" s="7"/>
      <c r="N256" s="7">
        <f>G256</f>
        <v>155760</v>
      </c>
      <c r="O256" s="7"/>
      <c r="P256" s="7">
        <f>N256+O256</f>
        <v>155760</v>
      </c>
      <c r="ET256" s="52"/>
      <c r="EU256" s="52"/>
      <c r="EV256" s="52"/>
      <c r="EW256" s="52"/>
      <c r="EX256" s="52"/>
      <c r="EY256" s="52"/>
    </row>
    <row r="257" spans="1:155" s="25" customFormat="1" ht="22.5">
      <c r="A257" s="8" t="s">
        <v>110</v>
      </c>
      <c r="B257" s="6"/>
      <c r="C257" s="6"/>
      <c r="D257" s="7">
        <v>243</v>
      </c>
      <c r="E257" s="7"/>
      <c r="F257" s="7">
        <f aca="true" t="shared" si="34" ref="F257:F271">D257+E257</f>
        <v>243</v>
      </c>
      <c r="G257" s="7">
        <v>250</v>
      </c>
      <c r="H257" s="7"/>
      <c r="I257" s="7"/>
      <c r="J257" s="7">
        <f aca="true" t="shared" si="35" ref="J257:J271">G257+H257</f>
        <v>250</v>
      </c>
      <c r="K257" s="7"/>
      <c r="L257" s="7"/>
      <c r="M257" s="7"/>
      <c r="N257" s="7">
        <v>260</v>
      </c>
      <c r="O257" s="7"/>
      <c r="P257" s="7">
        <f aca="true" t="shared" si="36" ref="P257:P271">N257+O257</f>
        <v>260</v>
      </c>
      <c r="ET257" s="52"/>
      <c r="EU257" s="52"/>
      <c r="EV257" s="52"/>
      <c r="EW257" s="52"/>
      <c r="EX257" s="52"/>
      <c r="EY257" s="52"/>
    </row>
    <row r="258" spans="1:155" s="25" customFormat="1" ht="33.75">
      <c r="A258" s="8" t="s">
        <v>242</v>
      </c>
      <c r="B258" s="6"/>
      <c r="C258" s="6"/>
      <c r="D258" s="7">
        <v>11036.4</v>
      </c>
      <c r="E258" s="7"/>
      <c r="F258" s="7">
        <f t="shared" si="34"/>
        <v>11036.4</v>
      </c>
      <c r="G258" s="7">
        <f>E258+F258</f>
        <v>11036.4</v>
      </c>
      <c r="H258" s="7"/>
      <c r="I258" s="7">
        <f>G258+H258</f>
        <v>11036.4</v>
      </c>
      <c r="J258" s="7">
        <f>H258+I258</f>
        <v>11036.4</v>
      </c>
      <c r="K258" s="7">
        <f>I258+J258</f>
        <v>22072.8</v>
      </c>
      <c r="L258" s="7">
        <f>J258+K258</f>
        <v>33109.2</v>
      </c>
      <c r="M258" s="7">
        <f>K258+L258</f>
        <v>55182</v>
      </c>
      <c r="N258" s="7">
        <v>11036.4</v>
      </c>
      <c r="O258" s="7"/>
      <c r="P258" s="7">
        <f t="shared" si="36"/>
        <v>11036.4</v>
      </c>
      <c r="ET258" s="52"/>
      <c r="EU258" s="52"/>
      <c r="EV258" s="52"/>
      <c r="EW258" s="52"/>
      <c r="EX258" s="52"/>
      <c r="EY258" s="52"/>
    </row>
    <row r="259" spans="1:155" s="25" customFormat="1" ht="33" customHeight="1">
      <c r="A259" s="8" t="s">
        <v>239</v>
      </c>
      <c r="B259" s="6"/>
      <c r="C259" s="6"/>
      <c r="D259" s="7">
        <v>51.4</v>
      </c>
      <c r="E259" s="7"/>
      <c r="F259" s="7">
        <f t="shared" si="34"/>
        <v>51.4</v>
      </c>
      <c r="G259" s="7">
        <v>48</v>
      </c>
      <c r="H259" s="7"/>
      <c r="I259" s="7"/>
      <c r="J259" s="7">
        <f t="shared" si="35"/>
        <v>48</v>
      </c>
      <c r="K259" s="7"/>
      <c r="L259" s="7"/>
      <c r="M259" s="7"/>
      <c r="N259" s="7">
        <v>45</v>
      </c>
      <c r="O259" s="7"/>
      <c r="P259" s="7">
        <f t="shared" si="36"/>
        <v>45</v>
      </c>
      <c r="ET259" s="52"/>
      <c r="EU259" s="52"/>
      <c r="EV259" s="52"/>
      <c r="EW259" s="52"/>
      <c r="EX259" s="52"/>
      <c r="EY259" s="52"/>
    </row>
    <row r="260" spans="1:155" s="25" customFormat="1" ht="43.5" customHeight="1">
      <c r="A260" s="8" t="s">
        <v>480</v>
      </c>
      <c r="B260" s="6"/>
      <c r="C260" s="6"/>
      <c r="D260" s="7">
        <v>0</v>
      </c>
      <c r="E260" s="7"/>
      <c r="F260" s="7">
        <f t="shared" si="34"/>
        <v>0</v>
      </c>
      <c r="G260" s="7">
        <v>0</v>
      </c>
      <c r="H260" s="7"/>
      <c r="I260" s="7"/>
      <c r="J260" s="7">
        <v>0</v>
      </c>
      <c r="K260" s="7"/>
      <c r="L260" s="7"/>
      <c r="M260" s="7"/>
      <c r="N260" s="7">
        <v>1</v>
      </c>
      <c r="O260" s="7"/>
      <c r="P260" s="7">
        <f t="shared" si="36"/>
        <v>1</v>
      </c>
      <c r="ET260" s="52"/>
      <c r="EU260" s="52"/>
      <c r="EV260" s="52"/>
      <c r="EW260" s="52"/>
      <c r="EX260" s="52"/>
      <c r="EY260" s="52"/>
    </row>
    <row r="261" spans="1:155" s="25" customFormat="1" ht="11.25">
      <c r="A261" s="5" t="s">
        <v>7</v>
      </c>
      <c r="B261" s="36"/>
      <c r="C261" s="36"/>
      <c r="D261" s="29"/>
      <c r="E261" s="29"/>
      <c r="F261" s="7">
        <f t="shared" si="34"/>
        <v>0</v>
      </c>
      <c r="G261" s="29"/>
      <c r="H261" s="29"/>
      <c r="I261" s="29"/>
      <c r="J261" s="7">
        <f t="shared" si="35"/>
        <v>0</v>
      </c>
      <c r="K261" s="7"/>
      <c r="L261" s="7"/>
      <c r="M261" s="7"/>
      <c r="N261" s="29"/>
      <c r="O261" s="29"/>
      <c r="P261" s="7">
        <f t="shared" si="36"/>
        <v>0</v>
      </c>
      <c r="ET261" s="52"/>
      <c r="EU261" s="52"/>
      <c r="EV261" s="52"/>
      <c r="EW261" s="52"/>
      <c r="EX261" s="52"/>
      <c r="EY261" s="52"/>
    </row>
    <row r="262" spans="1:155" s="25" customFormat="1" ht="48.75" customHeight="1">
      <c r="A262" s="8" t="s">
        <v>238</v>
      </c>
      <c r="B262" s="6"/>
      <c r="C262" s="6"/>
      <c r="D262" s="7">
        <f>D248/D256</f>
        <v>19.07678479712378</v>
      </c>
      <c r="E262" s="7"/>
      <c r="F262" s="7">
        <f t="shared" si="34"/>
        <v>19.07678479712378</v>
      </c>
      <c r="G262" s="7">
        <f>G248/G256</f>
        <v>12.840267077555213</v>
      </c>
      <c r="H262" s="7"/>
      <c r="I262" s="7"/>
      <c r="J262" s="7">
        <f t="shared" si="35"/>
        <v>12.840267077555213</v>
      </c>
      <c r="K262" s="7"/>
      <c r="L262" s="7"/>
      <c r="M262" s="7"/>
      <c r="N262" s="7">
        <f>N248/N256</f>
        <v>19.90241397021058</v>
      </c>
      <c r="O262" s="7"/>
      <c r="P262" s="7">
        <f t="shared" si="36"/>
        <v>19.90241397021058</v>
      </c>
      <c r="ET262" s="52"/>
      <c r="EU262" s="52"/>
      <c r="EV262" s="52"/>
      <c r="EW262" s="52"/>
      <c r="EX262" s="52"/>
      <c r="EY262" s="52"/>
    </row>
    <row r="263" spans="1:155" s="25" customFormat="1" ht="19.5" customHeight="1">
      <c r="A263" s="8" t="s">
        <v>111</v>
      </c>
      <c r="B263" s="6"/>
      <c r="C263" s="6"/>
      <c r="D263" s="7">
        <f>D250/D257</f>
        <v>823.0452674897119</v>
      </c>
      <c r="E263" s="7"/>
      <c r="F263" s="7">
        <f t="shared" si="34"/>
        <v>823.0452674897119</v>
      </c>
      <c r="G263" s="7">
        <f>G250/G257</f>
        <v>800</v>
      </c>
      <c r="H263" s="7"/>
      <c r="I263" s="7"/>
      <c r="J263" s="7">
        <f t="shared" si="35"/>
        <v>800</v>
      </c>
      <c r="K263" s="7"/>
      <c r="L263" s="7"/>
      <c r="M263" s="7"/>
      <c r="N263" s="7">
        <f>N250/N257</f>
        <v>769.2307692307693</v>
      </c>
      <c r="O263" s="7"/>
      <c r="P263" s="7">
        <f t="shared" si="36"/>
        <v>769.2307692307693</v>
      </c>
      <c r="ET263" s="52"/>
      <c r="EU263" s="52"/>
      <c r="EV263" s="52"/>
      <c r="EW263" s="52"/>
      <c r="EX263" s="52"/>
      <c r="EY263" s="52"/>
    </row>
    <row r="264" spans="1:155" s="25" customFormat="1" ht="28.5" customHeight="1">
      <c r="A264" s="8" t="s">
        <v>241</v>
      </c>
      <c r="B264" s="6"/>
      <c r="C264" s="6"/>
      <c r="D264" s="7">
        <f>D251/D258</f>
        <v>31.71323982458048</v>
      </c>
      <c r="E264" s="7"/>
      <c r="F264" s="7">
        <f t="shared" si="34"/>
        <v>31.71323982458048</v>
      </c>
      <c r="G264" s="7">
        <f>G251/G258</f>
        <v>36.24370265666341</v>
      </c>
      <c r="H264" s="7"/>
      <c r="I264" s="7"/>
      <c r="J264" s="7">
        <f t="shared" si="35"/>
        <v>36.24370265666341</v>
      </c>
      <c r="K264" s="7"/>
      <c r="L264" s="7"/>
      <c r="M264" s="7"/>
      <c r="N264" s="7">
        <f>N251/N258</f>
        <v>41.680258055162916</v>
      </c>
      <c r="O264" s="7"/>
      <c r="P264" s="7">
        <f t="shared" si="36"/>
        <v>41.680258055162916</v>
      </c>
      <c r="ET264" s="52"/>
      <c r="EU264" s="52"/>
      <c r="EV264" s="52"/>
      <c r="EW264" s="52"/>
      <c r="EX264" s="52"/>
      <c r="EY264" s="52"/>
    </row>
    <row r="265" spans="1:155" s="25" customFormat="1" ht="28.5" customHeight="1">
      <c r="A265" s="8" t="s">
        <v>240</v>
      </c>
      <c r="B265" s="6"/>
      <c r="C265" s="6"/>
      <c r="D265" s="7">
        <f>D252/D259</f>
        <v>36964.980544747086</v>
      </c>
      <c r="E265" s="7"/>
      <c r="F265" s="7">
        <f t="shared" si="34"/>
        <v>36964.980544747086</v>
      </c>
      <c r="G265" s="7">
        <f>G252/G259</f>
        <v>39583.333333333336</v>
      </c>
      <c r="H265" s="7"/>
      <c r="I265" s="7"/>
      <c r="J265" s="7">
        <f t="shared" si="35"/>
        <v>39583.333333333336</v>
      </c>
      <c r="K265" s="7"/>
      <c r="L265" s="7"/>
      <c r="M265" s="7"/>
      <c r="N265" s="7">
        <f>N252/N259</f>
        <v>42222.22222222222</v>
      </c>
      <c r="O265" s="7"/>
      <c r="P265" s="7">
        <f t="shared" si="36"/>
        <v>42222.22222222222</v>
      </c>
      <c r="ET265" s="52"/>
      <c r="EU265" s="52"/>
      <c r="EV265" s="52"/>
      <c r="EW265" s="52"/>
      <c r="EX265" s="52"/>
      <c r="EY265" s="52"/>
    </row>
    <row r="266" spans="1:155" s="25" customFormat="1" ht="45">
      <c r="A266" s="8" t="s">
        <v>220</v>
      </c>
      <c r="B266" s="6"/>
      <c r="C266" s="6"/>
      <c r="D266" s="7"/>
      <c r="E266" s="7"/>
      <c r="F266" s="7">
        <f t="shared" si="34"/>
        <v>0</v>
      </c>
      <c r="G266" s="7">
        <v>145.4502</v>
      </c>
      <c r="H266" s="7"/>
      <c r="I266" s="7"/>
      <c r="J266" s="7">
        <f t="shared" si="35"/>
        <v>145.4502</v>
      </c>
      <c r="K266" s="7"/>
      <c r="L266" s="7"/>
      <c r="M266" s="7"/>
      <c r="N266" s="7">
        <v>145.461241023</v>
      </c>
      <c r="O266" s="7"/>
      <c r="P266" s="7">
        <f t="shared" si="36"/>
        <v>145.461241023</v>
      </c>
      <c r="ET266" s="52"/>
      <c r="EU266" s="52"/>
      <c r="EV266" s="52"/>
      <c r="EW266" s="52"/>
      <c r="EX266" s="52"/>
      <c r="EY266" s="52"/>
    </row>
    <row r="267" spans="1:155" s="25" customFormat="1" ht="11.25">
      <c r="A267" s="5" t="s">
        <v>6</v>
      </c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ET267" s="52"/>
      <c r="EU267" s="52"/>
      <c r="EV267" s="52"/>
      <c r="EW267" s="52"/>
      <c r="EX267" s="52"/>
      <c r="EY267" s="52"/>
    </row>
    <row r="268" spans="1:155" s="25" customFormat="1" ht="36" customHeight="1">
      <c r="A268" s="8" t="s">
        <v>112</v>
      </c>
      <c r="B268" s="6"/>
      <c r="C268" s="6"/>
      <c r="D268" s="7"/>
      <c r="E268" s="7"/>
      <c r="F268" s="7">
        <f t="shared" si="34"/>
        <v>0</v>
      </c>
      <c r="G268" s="7">
        <f>G262/D262*100</f>
        <v>67.30833950326446</v>
      </c>
      <c r="H268" s="7"/>
      <c r="I268" s="7"/>
      <c r="J268" s="7">
        <f t="shared" si="35"/>
        <v>67.30833950326446</v>
      </c>
      <c r="K268" s="7"/>
      <c r="L268" s="7"/>
      <c r="M268" s="7"/>
      <c r="N268" s="7">
        <f>N262/G262*100</f>
        <v>155</v>
      </c>
      <c r="O268" s="7"/>
      <c r="P268" s="7">
        <f t="shared" si="36"/>
        <v>155</v>
      </c>
      <c r="ET268" s="52"/>
      <c r="EU268" s="52"/>
      <c r="EV268" s="52"/>
      <c r="EW268" s="52"/>
      <c r="EX268" s="52"/>
      <c r="EY268" s="52"/>
    </row>
    <row r="269" spans="1:155" s="25" customFormat="1" ht="36" customHeight="1">
      <c r="A269" s="8" t="s">
        <v>221</v>
      </c>
      <c r="B269" s="6"/>
      <c r="C269" s="6"/>
      <c r="D269" s="7"/>
      <c r="E269" s="7"/>
      <c r="F269" s="7">
        <f t="shared" si="34"/>
        <v>0</v>
      </c>
      <c r="G269" s="7">
        <f>G264/D264*100</f>
        <v>114.2857142857143</v>
      </c>
      <c r="H269" s="7"/>
      <c r="I269" s="7"/>
      <c r="J269" s="7">
        <f t="shared" si="35"/>
        <v>114.2857142857143</v>
      </c>
      <c r="K269" s="7"/>
      <c r="L269" s="7"/>
      <c r="M269" s="7"/>
      <c r="N269" s="7">
        <f>N263/G263*100</f>
        <v>96.15384615384616</v>
      </c>
      <c r="O269" s="7"/>
      <c r="P269" s="7">
        <f t="shared" si="36"/>
        <v>96.15384615384616</v>
      </c>
      <c r="ET269" s="52"/>
      <c r="EU269" s="52"/>
      <c r="EV269" s="52"/>
      <c r="EW269" s="52"/>
      <c r="EX269" s="52"/>
      <c r="EY269" s="52"/>
    </row>
    <row r="270" spans="1:155" s="25" customFormat="1" ht="36" customHeight="1">
      <c r="A270" s="8" t="s">
        <v>243</v>
      </c>
      <c r="B270" s="6"/>
      <c r="C270" s="6"/>
      <c r="D270" s="7"/>
      <c r="E270" s="7"/>
      <c r="F270" s="7">
        <f t="shared" si="34"/>
        <v>0</v>
      </c>
      <c r="G270" s="7">
        <f>G265/D265*100</f>
        <v>107.08333333333333</v>
      </c>
      <c r="H270" s="7"/>
      <c r="I270" s="7"/>
      <c r="J270" s="7">
        <f t="shared" si="35"/>
        <v>107.08333333333333</v>
      </c>
      <c r="K270" s="7"/>
      <c r="L270" s="7"/>
      <c r="M270" s="7"/>
      <c r="N270" s="7">
        <f>N264/G264*100</f>
        <v>114.99999999999999</v>
      </c>
      <c r="O270" s="7"/>
      <c r="P270" s="7">
        <f t="shared" si="36"/>
        <v>114.99999999999999</v>
      </c>
      <c r="ET270" s="52"/>
      <c r="EU270" s="52"/>
      <c r="EV270" s="52"/>
      <c r="EW270" s="52"/>
      <c r="EX270" s="52"/>
      <c r="EY270" s="52"/>
    </row>
    <row r="271" spans="1:155" s="25" customFormat="1" ht="33.75">
      <c r="A271" s="8" t="s">
        <v>244</v>
      </c>
      <c r="B271" s="6"/>
      <c r="C271" s="6"/>
      <c r="D271" s="7"/>
      <c r="E271" s="7"/>
      <c r="F271" s="7">
        <f t="shared" si="34"/>
        <v>0</v>
      </c>
      <c r="G271" s="7">
        <f>G265/D265*100</f>
        <v>107.08333333333333</v>
      </c>
      <c r="H271" s="7"/>
      <c r="I271" s="7"/>
      <c r="J271" s="7">
        <f t="shared" si="35"/>
        <v>107.08333333333333</v>
      </c>
      <c r="K271" s="7"/>
      <c r="L271" s="7"/>
      <c r="M271" s="7"/>
      <c r="N271" s="7">
        <f>N265/G265*100</f>
        <v>106.66666666666664</v>
      </c>
      <c r="O271" s="7"/>
      <c r="P271" s="7">
        <f t="shared" si="36"/>
        <v>106.66666666666664</v>
      </c>
      <c r="ET271" s="52"/>
      <c r="EU271" s="52"/>
      <c r="EV271" s="52"/>
      <c r="EW271" s="52"/>
      <c r="EX271" s="52"/>
      <c r="EY271" s="52"/>
    </row>
    <row r="272" spans="1:155" s="37" customFormat="1" ht="22.5">
      <c r="A272" s="33" t="s">
        <v>377</v>
      </c>
      <c r="B272" s="34"/>
      <c r="C272" s="34"/>
      <c r="D272" s="35">
        <f>(D273*D277)+(D274*D278)+(D275*D280)-1.78+25000</f>
        <v>20099999.999959998</v>
      </c>
      <c r="E272" s="35">
        <f>(E273*E277)+(E274*E278)+(E275*E280)</f>
        <v>0</v>
      </c>
      <c r="F272" s="35">
        <f>D272</f>
        <v>20099999.999959998</v>
      </c>
      <c r="G272" s="35">
        <f>(G273*G277)+(G274*G278)+(G275*G280)+2928700-3000000</f>
        <v>20183699.999900002</v>
      </c>
      <c r="H272" s="35">
        <f>(H273*H277)+(H274*H278)+(H275*H280)</f>
        <v>0</v>
      </c>
      <c r="I272" s="35">
        <v>0</v>
      </c>
      <c r="J272" s="35">
        <f>G272+H272</f>
        <v>20183699.999900002</v>
      </c>
      <c r="K272" s="35">
        <f>(K273*K277)+(K274*K278)+(K275*K280)</f>
        <v>0</v>
      </c>
      <c r="L272" s="35">
        <f>(L273*L277)+(L274*L278)+(L275*L280)</f>
        <v>0</v>
      </c>
      <c r="M272" s="35">
        <f>(M273*M277)+(M274*M278)+(M275*M280)</f>
        <v>0</v>
      </c>
      <c r="N272" s="35">
        <f>(N273*N277)+(N274*N278)+(N275*N280)</f>
        <v>21820000.00031</v>
      </c>
      <c r="O272" s="35">
        <f>(O273*O277)+(O274*O278)+(O275*O280)</f>
        <v>0</v>
      </c>
      <c r="P272" s="35">
        <f>N272+O272</f>
        <v>21820000.00031</v>
      </c>
      <c r="Q272" s="35">
        <f>(Q273*Q277)+(Q274*Q278)+(Q275*Q280)</f>
        <v>0</v>
      </c>
      <c r="ET272" s="38"/>
      <c r="EU272" s="38"/>
      <c r="EV272" s="38"/>
      <c r="EW272" s="38"/>
      <c r="EX272" s="38"/>
      <c r="EY272" s="38"/>
    </row>
    <row r="273" spans="1:155" s="25" customFormat="1" ht="22.5">
      <c r="A273" s="8" t="s">
        <v>113</v>
      </c>
      <c r="B273" s="6"/>
      <c r="C273" s="6"/>
      <c r="D273" s="7">
        <v>33</v>
      </c>
      <c r="E273" s="7"/>
      <c r="F273" s="7">
        <f>D273+E273</f>
        <v>33</v>
      </c>
      <c r="G273" s="7">
        <v>30</v>
      </c>
      <c r="H273" s="7"/>
      <c r="I273" s="7"/>
      <c r="J273" s="7">
        <f>G273+H273</f>
        <v>30</v>
      </c>
      <c r="K273" s="7"/>
      <c r="L273" s="7"/>
      <c r="M273" s="7"/>
      <c r="N273" s="7">
        <v>28</v>
      </c>
      <c r="O273" s="7"/>
      <c r="P273" s="7">
        <f>N273+O273</f>
        <v>28</v>
      </c>
      <c r="ET273" s="52"/>
      <c r="EU273" s="52"/>
      <c r="EV273" s="52"/>
      <c r="EW273" s="52"/>
      <c r="EX273" s="52"/>
      <c r="EY273" s="52"/>
    </row>
    <row r="274" spans="1:155" s="25" customFormat="1" ht="22.5" customHeight="1">
      <c r="A274" s="8" t="s">
        <v>114</v>
      </c>
      <c r="B274" s="6"/>
      <c r="C274" s="6"/>
      <c r="D274" s="7">
        <v>6</v>
      </c>
      <c r="E274" s="7"/>
      <c r="F274" s="7">
        <f aca="true" t="shared" si="37" ref="F274:F284">D274+E274</f>
        <v>6</v>
      </c>
      <c r="G274" s="7">
        <f>D274</f>
        <v>6</v>
      </c>
      <c r="H274" s="7"/>
      <c r="I274" s="7"/>
      <c r="J274" s="7">
        <f aca="true" t="shared" si="38" ref="J274:J284">G274+H274</f>
        <v>6</v>
      </c>
      <c r="K274" s="7"/>
      <c r="L274" s="7"/>
      <c r="M274" s="7"/>
      <c r="N274" s="7">
        <v>7</v>
      </c>
      <c r="O274" s="7"/>
      <c r="P274" s="7">
        <f aca="true" t="shared" si="39" ref="P274:P284">N274+O274</f>
        <v>7</v>
      </c>
      <c r="ET274" s="52"/>
      <c r="EU274" s="52"/>
      <c r="EV274" s="52"/>
      <c r="EW274" s="52"/>
      <c r="EX274" s="52"/>
      <c r="EY274" s="52"/>
    </row>
    <row r="275" spans="1:155" s="25" customFormat="1" ht="22.5" customHeight="1">
      <c r="A275" s="8" t="s">
        <v>160</v>
      </c>
      <c r="B275" s="6"/>
      <c r="C275" s="6"/>
      <c r="D275" s="7">
        <v>77</v>
      </c>
      <c r="E275" s="7"/>
      <c r="F275" s="7">
        <f t="shared" si="37"/>
        <v>77</v>
      </c>
      <c r="G275" s="7">
        <v>80</v>
      </c>
      <c r="H275" s="7"/>
      <c r="I275" s="7"/>
      <c r="J275" s="7">
        <f t="shared" si="38"/>
        <v>80</v>
      </c>
      <c r="K275" s="7"/>
      <c r="L275" s="7"/>
      <c r="M275" s="7"/>
      <c r="N275" s="7">
        <v>90</v>
      </c>
      <c r="O275" s="7"/>
      <c r="P275" s="7">
        <f t="shared" si="39"/>
        <v>90</v>
      </c>
      <c r="ET275" s="52"/>
      <c r="EU275" s="52"/>
      <c r="EV275" s="52"/>
      <c r="EW275" s="52"/>
      <c r="EX275" s="52"/>
      <c r="EY275" s="52"/>
    </row>
    <row r="276" spans="1:155" s="25" customFormat="1" ht="12" customHeight="1">
      <c r="A276" s="5" t="s">
        <v>7</v>
      </c>
      <c r="B276" s="36"/>
      <c r="C276" s="36"/>
      <c r="D276" s="29"/>
      <c r="E276" s="29"/>
      <c r="F276" s="7"/>
      <c r="G276" s="29"/>
      <c r="H276" s="29"/>
      <c r="I276" s="7"/>
      <c r="J276" s="7"/>
      <c r="K276" s="7"/>
      <c r="L276" s="7"/>
      <c r="M276" s="7"/>
      <c r="N276" s="29"/>
      <c r="O276" s="29"/>
      <c r="P276" s="7"/>
      <c r="ET276" s="52"/>
      <c r="EU276" s="52"/>
      <c r="EV276" s="52"/>
      <c r="EW276" s="52"/>
      <c r="EX276" s="52"/>
      <c r="EY276" s="52"/>
    </row>
    <row r="277" spans="1:155" s="25" customFormat="1" ht="22.5" customHeight="1">
      <c r="A277" s="8" t="s">
        <v>115</v>
      </c>
      <c r="B277" s="6"/>
      <c r="C277" s="6"/>
      <c r="D277" s="7">
        <v>506060.66</v>
      </c>
      <c r="E277" s="7"/>
      <c r="F277" s="7">
        <f t="shared" si="37"/>
        <v>506060.66</v>
      </c>
      <c r="G277" s="7">
        <v>593333.33333</v>
      </c>
      <c r="H277" s="7"/>
      <c r="I277" s="7"/>
      <c r="J277" s="7">
        <f t="shared" si="38"/>
        <v>593333.33333</v>
      </c>
      <c r="K277" s="7"/>
      <c r="L277" s="7"/>
      <c r="M277" s="7"/>
      <c r="N277" s="7">
        <v>675000</v>
      </c>
      <c r="O277" s="7"/>
      <c r="P277" s="7">
        <f t="shared" si="39"/>
        <v>675000</v>
      </c>
      <c r="ET277" s="52"/>
      <c r="EU277" s="52"/>
      <c r="EV277" s="52"/>
      <c r="EW277" s="52"/>
      <c r="EX277" s="52"/>
      <c r="EY277" s="52"/>
    </row>
    <row r="278" spans="1:155" s="25" customFormat="1" ht="22.5" customHeight="1">
      <c r="A278" s="8" t="s">
        <v>116</v>
      </c>
      <c r="B278" s="6"/>
      <c r="C278" s="6"/>
      <c r="D278" s="7">
        <v>529166.66666</v>
      </c>
      <c r="E278" s="7"/>
      <c r="F278" s="7">
        <f t="shared" si="37"/>
        <v>529166.66666</v>
      </c>
      <c r="G278" s="7">
        <v>367500</v>
      </c>
      <c r="H278" s="7"/>
      <c r="I278" s="7"/>
      <c r="J278" s="7">
        <f t="shared" si="38"/>
        <v>367500</v>
      </c>
      <c r="K278" s="7"/>
      <c r="L278" s="7"/>
      <c r="M278" s="7"/>
      <c r="N278" s="7">
        <f>395833.33333-21547.619</f>
        <v>374285.71433</v>
      </c>
      <c r="O278" s="7"/>
      <c r="P278" s="7">
        <f t="shared" si="39"/>
        <v>374285.71433</v>
      </c>
      <c r="ET278" s="52"/>
      <c r="EU278" s="52"/>
      <c r="EV278" s="52"/>
      <c r="EW278" s="52"/>
      <c r="EX278" s="52"/>
      <c r="EY278" s="52"/>
    </row>
    <row r="279" spans="1:155" s="25" customFormat="1" ht="12" customHeight="1">
      <c r="A279" s="5" t="s">
        <v>6</v>
      </c>
      <c r="B279" s="36"/>
      <c r="C279" s="36"/>
      <c r="D279" s="29"/>
      <c r="E279" s="29"/>
      <c r="F279" s="7"/>
      <c r="G279" s="29"/>
      <c r="H279" s="29"/>
      <c r="I279" s="7"/>
      <c r="J279" s="7"/>
      <c r="K279" s="7"/>
      <c r="L279" s="7"/>
      <c r="M279" s="7"/>
      <c r="N279" s="29"/>
      <c r="O279" s="29"/>
      <c r="P279" s="7"/>
      <c r="ET279" s="52"/>
      <c r="EU279" s="52"/>
      <c r="EV279" s="52"/>
      <c r="EW279" s="52"/>
      <c r="EX279" s="52"/>
      <c r="EY279" s="52"/>
    </row>
    <row r="280" spans="1:155" s="25" customFormat="1" ht="32.25" customHeight="1">
      <c r="A280" s="8" t="s">
        <v>184</v>
      </c>
      <c r="B280" s="6"/>
      <c r="C280" s="6"/>
      <c r="D280" s="7">
        <f>200000/77</f>
        <v>2597.4025974025976</v>
      </c>
      <c r="E280" s="7"/>
      <c r="F280" s="7">
        <f t="shared" si="37"/>
        <v>2597.4025974025976</v>
      </c>
      <c r="G280" s="7">
        <v>3125</v>
      </c>
      <c r="H280" s="7"/>
      <c r="I280" s="7"/>
      <c r="J280" s="7">
        <f t="shared" si="38"/>
        <v>3125</v>
      </c>
      <c r="K280" s="7"/>
      <c r="L280" s="7"/>
      <c r="M280" s="7"/>
      <c r="N280" s="7">
        <f>300000/90</f>
        <v>3333.3333333333335</v>
      </c>
      <c r="O280" s="7"/>
      <c r="P280" s="7">
        <f t="shared" si="39"/>
        <v>3333.3333333333335</v>
      </c>
      <c r="ET280" s="52"/>
      <c r="EU280" s="52"/>
      <c r="EV280" s="52"/>
      <c r="EW280" s="52"/>
      <c r="EX280" s="52"/>
      <c r="EY280" s="52"/>
    </row>
    <row r="281" spans="1:155" s="25" customFormat="1" ht="11.25">
      <c r="A281" s="5" t="s">
        <v>6</v>
      </c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ET281" s="52"/>
      <c r="EU281" s="52"/>
      <c r="EV281" s="52"/>
      <c r="EW281" s="52"/>
      <c r="EX281" s="52"/>
      <c r="EY281" s="52"/>
    </row>
    <row r="282" spans="1:155" s="25" customFormat="1" ht="33.75">
      <c r="A282" s="8" t="s">
        <v>117</v>
      </c>
      <c r="B282" s="6"/>
      <c r="C282" s="6"/>
      <c r="D282" s="7"/>
      <c r="E282" s="7"/>
      <c r="F282" s="7">
        <f t="shared" si="37"/>
        <v>0</v>
      </c>
      <c r="G282" s="7">
        <f>G277/F277*100</f>
        <v>117.2454964845519</v>
      </c>
      <c r="H282" s="7"/>
      <c r="I282" s="7"/>
      <c r="J282" s="7">
        <f t="shared" si="38"/>
        <v>117.2454964845519</v>
      </c>
      <c r="K282" s="7"/>
      <c r="L282" s="7"/>
      <c r="M282" s="7"/>
      <c r="N282" s="7">
        <f>N277/J277*100</f>
        <v>113.76404494445933</v>
      </c>
      <c r="O282" s="7"/>
      <c r="P282" s="7">
        <f t="shared" si="39"/>
        <v>113.76404494445933</v>
      </c>
      <c r="ET282" s="52"/>
      <c r="EU282" s="52"/>
      <c r="EV282" s="52"/>
      <c r="EW282" s="52"/>
      <c r="EX282" s="52"/>
      <c r="EY282" s="52"/>
    </row>
    <row r="283" spans="1:155" s="25" customFormat="1" ht="33.75">
      <c r="A283" s="8" t="s">
        <v>118</v>
      </c>
      <c r="B283" s="6"/>
      <c r="C283" s="6"/>
      <c r="D283" s="7"/>
      <c r="E283" s="7"/>
      <c r="F283" s="7">
        <f t="shared" si="37"/>
        <v>0</v>
      </c>
      <c r="G283" s="7">
        <f>G278/D278*100</f>
        <v>69.44881889851274</v>
      </c>
      <c r="H283" s="7"/>
      <c r="I283" s="7"/>
      <c r="J283" s="7">
        <f t="shared" si="38"/>
        <v>69.44881889851274</v>
      </c>
      <c r="K283" s="7"/>
      <c r="L283" s="7"/>
      <c r="M283" s="7"/>
      <c r="N283" s="7">
        <f>N278/G278*100</f>
        <v>101.84645287891156</v>
      </c>
      <c r="O283" s="7"/>
      <c r="P283" s="7">
        <f t="shared" si="39"/>
        <v>101.84645287891156</v>
      </c>
      <c r="ET283" s="52"/>
      <c r="EU283" s="52"/>
      <c r="EV283" s="52"/>
      <c r="EW283" s="52"/>
      <c r="EX283" s="52"/>
      <c r="EY283" s="52"/>
    </row>
    <row r="284" spans="1:155" s="25" customFormat="1" ht="27" customHeight="1">
      <c r="A284" s="8" t="s">
        <v>222</v>
      </c>
      <c r="B284" s="6"/>
      <c r="C284" s="6"/>
      <c r="D284" s="7"/>
      <c r="E284" s="7"/>
      <c r="F284" s="7">
        <f t="shared" si="37"/>
        <v>0</v>
      </c>
      <c r="G284" s="7">
        <f>G280/D280*100</f>
        <v>120.3125</v>
      </c>
      <c r="H284" s="7"/>
      <c r="I284" s="7"/>
      <c r="J284" s="7">
        <f t="shared" si="38"/>
        <v>120.3125</v>
      </c>
      <c r="K284" s="7"/>
      <c r="L284" s="7"/>
      <c r="M284" s="7"/>
      <c r="N284" s="7">
        <f>N280/G280*100</f>
        <v>106.66666666666667</v>
      </c>
      <c r="O284" s="7"/>
      <c r="P284" s="7">
        <f t="shared" si="39"/>
        <v>106.66666666666667</v>
      </c>
      <c r="ET284" s="52"/>
      <c r="EU284" s="52"/>
      <c r="EV284" s="52"/>
      <c r="EW284" s="52"/>
      <c r="EX284" s="52"/>
      <c r="EY284" s="52"/>
    </row>
    <row r="285" spans="1:155" s="37" customFormat="1" ht="24" customHeight="1">
      <c r="A285" s="33" t="s">
        <v>378</v>
      </c>
      <c r="B285" s="34"/>
      <c r="C285" s="34"/>
      <c r="D285" s="35">
        <v>1000000</v>
      </c>
      <c r="E285" s="35"/>
      <c r="F285" s="35">
        <f>D285</f>
        <v>1000000</v>
      </c>
      <c r="G285" s="35">
        <v>1200000</v>
      </c>
      <c r="H285" s="35"/>
      <c r="I285" s="35"/>
      <c r="J285" s="35">
        <f>G285</f>
        <v>1200000</v>
      </c>
      <c r="K285" s="35">
        <f>(K287*K289)</f>
        <v>0</v>
      </c>
      <c r="L285" s="35">
        <f>(L287*L289)</f>
        <v>0</v>
      </c>
      <c r="M285" s="35">
        <f>(M287*M289)</f>
        <v>0</v>
      </c>
      <c r="N285" s="35">
        <v>1400000</v>
      </c>
      <c r="O285" s="35">
        <f>(O287*O289)</f>
        <v>0</v>
      </c>
      <c r="P285" s="35">
        <f>N285</f>
        <v>1400000</v>
      </c>
      <c r="ET285" s="38"/>
      <c r="EU285" s="38"/>
      <c r="EV285" s="38"/>
      <c r="EW285" s="38"/>
      <c r="EX285" s="38"/>
      <c r="EY285" s="38"/>
    </row>
    <row r="286" spans="1:155" s="25" customFormat="1" ht="11.25">
      <c r="A286" s="5" t="s">
        <v>5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ET286" s="52"/>
      <c r="EU286" s="52"/>
      <c r="EV286" s="52"/>
      <c r="EW286" s="52"/>
      <c r="EX286" s="52"/>
      <c r="EY286" s="52"/>
    </row>
    <row r="287" spans="1:155" s="25" customFormat="1" ht="33.75">
      <c r="A287" s="8" t="s">
        <v>245</v>
      </c>
      <c r="B287" s="6"/>
      <c r="C287" s="6"/>
      <c r="D287" s="7">
        <v>750</v>
      </c>
      <c r="E287" s="7"/>
      <c r="F287" s="7">
        <f>D287</f>
        <v>750</v>
      </c>
      <c r="G287" s="7">
        <v>700</v>
      </c>
      <c r="H287" s="7"/>
      <c r="I287" s="7"/>
      <c r="J287" s="7">
        <f>G287</f>
        <v>700</v>
      </c>
      <c r="K287" s="7"/>
      <c r="L287" s="7"/>
      <c r="M287" s="7"/>
      <c r="N287" s="7">
        <v>650</v>
      </c>
      <c r="O287" s="7"/>
      <c r="P287" s="7">
        <f>N287</f>
        <v>650</v>
      </c>
      <c r="ET287" s="52"/>
      <c r="EU287" s="52"/>
      <c r="EV287" s="52"/>
      <c r="EW287" s="52"/>
      <c r="EX287" s="52"/>
      <c r="EY287" s="52"/>
    </row>
    <row r="288" spans="1:155" s="25" customFormat="1" ht="11.25">
      <c r="A288" s="5" t="s">
        <v>7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ET288" s="52"/>
      <c r="EU288" s="52"/>
      <c r="EV288" s="52"/>
      <c r="EW288" s="52"/>
      <c r="EX288" s="52"/>
      <c r="EY288" s="52"/>
    </row>
    <row r="289" spans="1:155" s="25" customFormat="1" ht="22.5" customHeight="1">
      <c r="A289" s="8" t="s">
        <v>246</v>
      </c>
      <c r="B289" s="6"/>
      <c r="C289" s="6"/>
      <c r="D289" s="7">
        <f>D285/D287</f>
        <v>1333.3333333333333</v>
      </c>
      <c r="E289" s="7"/>
      <c r="F289" s="7">
        <f>D289</f>
        <v>1333.3333333333333</v>
      </c>
      <c r="G289" s="7">
        <f>G285/G287</f>
        <v>1714.2857142857142</v>
      </c>
      <c r="H289" s="7"/>
      <c r="I289" s="7"/>
      <c r="J289" s="7">
        <f>G289</f>
        <v>1714.2857142857142</v>
      </c>
      <c r="K289" s="7"/>
      <c r="L289" s="7"/>
      <c r="M289" s="7"/>
      <c r="N289" s="7">
        <f>1400000/750</f>
        <v>1866.6666666666667</v>
      </c>
      <c r="O289" s="7"/>
      <c r="P289" s="7">
        <f>N289</f>
        <v>1866.6666666666667</v>
      </c>
      <c r="ET289" s="52"/>
      <c r="EU289" s="52"/>
      <c r="EV289" s="52"/>
      <c r="EW289" s="52"/>
      <c r="EX289" s="52"/>
      <c r="EY289" s="52"/>
    </row>
    <row r="290" spans="1:155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ET290" s="52"/>
      <c r="EU290" s="52"/>
      <c r="EV290" s="52"/>
      <c r="EW290" s="52"/>
      <c r="EX290" s="52"/>
      <c r="EY290" s="52"/>
    </row>
    <row r="291" spans="1:155" s="25" customFormat="1" ht="24" customHeight="1">
      <c r="A291" s="8" t="s">
        <v>178</v>
      </c>
      <c r="B291" s="6"/>
      <c r="C291" s="6"/>
      <c r="D291" s="7"/>
      <c r="E291" s="7"/>
      <c r="F291" s="7"/>
      <c r="G291" s="7">
        <f>G287/D287*100</f>
        <v>93.33333333333333</v>
      </c>
      <c r="H291" s="7"/>
      <c r="I291" s="7"/>
      <c r="J291" s="7">
        <f>G291</f>
        <v>93.33333333333333</v>
      </c>
      <c r="K291" s="7"/>
      <c r="L291" s="7"/>
      <c r="M291" s="7"/>
      <c r="N291" s="7">
        <f>N287/G287*100</f>
        <v>92.85714285714286</v>
      </c>
      <c r="O291" s="7"/>
      <c r="P291" s="7">
        <f>N291</f>
        <v>92.85714285714286</v>
      </c>
      <c r="ET291" s="52"/>
      <c r="EU291" s="52"/>
      <c r="EV291" s="52"/>
      <c r="EW291" s="52"/>
      <c r="EX291" s="52"/>
      <c r="EY291" s="52"/>
    </row>
    <row r="292" spans="1:155" s="25" customFormat="1" ht="31.5" customHeight="1">
      <c r="A292" s="8" t="s">
        <v>179</v>
      </c>
      <c r="B292" s="6"/>
      <c r="C292" s="6"/>
      <c r="D292" s="7"/>
      <c r="E292" s="7"/>
      <c r="F292" s="7"/>
      <c r="G292" s="7">
        <f>G289/D289*100</f>
        <v>128.57142857142858</v>
      </c>
      <c r="H292" s="7"/>
      <c r="I292" s="7"/>
      <c r="J292" s="7">
        <f>G292</f>
        <v>128.57142857142858</v>
      </c>
      <c r="K292" s="7"/>
      <c r="L292" s="7"/>
      <c r="M292" s="7"/>
      <c r="N292" s="7">
        <f>N289/G289*100</f>
        <v>108.8888888888889</v>
      </c>
      <c r="O292" s="7"/>
      <c r="P292" s="7">
        <f>N292</f>
        <v>108.8888888888889</v>
      </c>
      <c r="ET292" s="52"/>
      <c r="EU292" s="52"/>
      <c r="EV292" s="52"/>
      <c r="EW292" s="52"/>
      <c r="EX292" s="52"/>
      <c r="EY292" s="52"/>
    </row>
    <row r="293" spans="1:155" s="37" customFormat="1" ht="22.5" customHeight="1">
      <c r="A293" s="33" t="s">
        <v>379</v>
      </c>
      <c r="B293" s="34"/>
      <c r="C293" s="34"/>
      <c r="D293" s="35"/>
      <c r="E293" s="35">
        <f>11780000+5075000+152250</f>
        <v>17007250</v>
      </c>
      <c r="F293" s="35">
        <f>E293</f>
        <v>17007250</v>
      </c>
      <c r="G293" s="35">
        <f>G295*G297</f>
        <v>0</v>
      </c>
      <c r="H293" s="35">
        <f>12000000+6097000+185000+6401000+20000+500000+636000+670000</f>
        <v>26509000</v>
      </c>
      <c r="I293" s="35">
        <f>I295*I297</f>
        <v>0</v>
      </c>
      <c r="J293" s="35">
        <f>G293+H293</f>
        <v>26509000</v>
      </c>
      <c r="K293" s="35">
        <f>K295*K297</f>
        <v>0</v>
      </c>
      <c r="L293" s="35">
        <f>L295*L297</f>
        <v>0</v>
      </c>
      <c r="M293" s="35">
        <f>M295*M297</f>
        <v>0</v>
      </c>
      <c r="N293" s="35">
        <f>N295*N297</f>
        <v>0</v>
      </c>
      <c r="O293" s="35">
        <f>12100000-18000+O301+O302+O300</f>
        <v>24384783.759999998</v>
      </c>
      <c r="P293" s="35">
        <f>N293+O293</f>
        <v>24384783.759999998</v>
      </c>
      <c r="ET293" s="38"/>
      <c r="EU293" s="38"/>
      <c r="EV293" s="38"/>
      <c r="EW293" s="38"/>
      <c r="EX293" s="38"/>
      <c r="EY293" s="38"/>
    </row>
    <row r="294" spans="1:155" s="25" customFormat="1" ht="11.25">
      <c r="A294" s="5" t="s">
        <v>5</v>
      </c>
      <c r="B294" s="36"/>
      <c r="C294" s="36"/>
      <c r="D294" s="29"/>
      <c r="E294" s="29"/>
      <c r="F294" s="7"/>
      <c r="G294" s="29"/>
      <c r="H294" s="29"/>
      <c r="I294" s="29"/>
      <c r="J294" s="7"/>
      <c r="K294" s="7"/>
      <c r="L294" s="7"/>
      <c r="M294" s="7"/>
      <c r="N294" s="29"/>
      <c r="O294" s="29"/>
      <c r="P294" s="7"/>
      <c r="ET294" s="52"/>
      <c r="EU294" s="52"/>
      <c r="EV294" s="52"/>
      <c r="EW294" s="52"/>
      <c r="EX294" s="52"/>
      <c r="EY294" s="52"/>
    </row>
    <row r="295" spans="1:155" s="25" customFormat="1" ht="21.75" customHeight="1">
      <c r="A295" s="8" t="s">
        <v>119</v>
      </c>
      <c r="B295" s="6"/>
      <c r="C295" s="6"/>
      <c r="D295" s="7"/>
      <c r="E295" s="7">
        <f>20+6</f>
        <v>26</v>
      </c>
      <c r="F295" s="7">
        <f>E295</f>
        <v>26</v>
      </c>
      <c r="G295" s="7"/>
      <c r="H295" s="7">
        <v>18</v>
      </c>
      <c r="I295" s="7"/>
      <c r="J295" s="7">
        <f>G295+H295</f>
        <v>18</v>
      </c>
      <c r="K295" s="7"/>
      <c r="L295" s="7"/>
      <c r="M295" s="7"/>
      <c r="N295" s="7"/>
      <c r="O295" s="7">
        <v>15</v>
      </c>
      <c r="P295" s="7">
        <f>O295</f>
        <v>15</v>
      </c>
      <c r="ET295" s="52"/>
      <c r="EU295" s="52"/>
      <c r="EV295" s="52"/>
      <c r="EW295" s="52"/>
      <c r="EX295" s="52"/>
      <c r="EY295" s="52"/>
    </row>
    <row r="296" spans="1:155" s="25" customFormat="1" ht="11.25">
      <c r="A296" s="5" t="s">
        <v>7</v>
      </c>
      <c r="B296" s="36"/>
      <c r="C296" s="36"/>
      <c r="D296" s="29"/>
      <c r="E296" s="29"/>
      <c r="F296" s="7"/>
      <c r="G296" s="29"/>
      <c r="H296" s="29"/>
      <c r="I296" s="29"/>
      <c r="J296" s="7"/>
      <c r="K296" s="7"/>
      <c r="L296" s="7"/>
      <c r="M296" s="7"/>
      <c r="N296" s="29"/>
      <c r="O296" s="29"/>
      <c r="P296" s="7"/>
      <c r="ET296" s="52"/>
      <c r="EU296" s="52"/>
      <c r="EV296" s="52"/>
      <c r="EW296" s="52"/>
      <c r="EX296" s="52"/>
      <c r="EY296" s="52"/>
    </row>
    <row r="297" spans="1:155" s="25" customFormat="1" ht="23.25" customHeight="1">
      <c r="A297" s="8" t="s">
        <v>120</v>
      </c>
      <c r="B297" s="6"/>
      <c r="C297" s="6"/>
      <c r="D297" s="7"/>
      <c r="E297" s="7">
        <f>E293/E295</f>
        <v>654125</v>
      </c>
      <c r="F297" s="7">
        <f>E297</f>
        <v>654125</v>
      </c>
      <c r="G297" s="7"/>
      <c r="H297" s="7">
        <f>H293/H295</f>
        <v>1472722.2222222222</v>
      </c>
      <c r="I297" s="7"/>
      <c r="J297" s="7">
        <f>G297+H297</f>
        <v>1472722.2222222222</v>
      </c>
      <c r="K297" s="7"/>
      <c r="L297" s="7"/>
      <c r="M297" s="7"/>
      <c r="N297" s="7"/>
      <c r="O297" s="7">
        <f>O293/O295</f>
        <v>1625652.2506666665</v>
      </c>
      <c r="P297" s="7">
        <f>O297</f>
        <v>1625652.2506666665</v>
      </c>
      <c r="ET297" s="52"/>
      <c r="EU297" s="52"/>
      <c r="EV297" s="52"/>
      <c r="EW297" s="52"/>
      <c r="EX297" s="52"/>
      <c r="EY297" s="52"/>
    </row>
    <row r="298" spans="1:155" s="25" customFormat="1" ht="11.25">
      <c r="A298" s="5" t="s">
        <v>6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ET298" s="52"/>
      <c r="EU298" s="52"/>
      <c r="EV298" s="52"/>
      <c r="EW298" s="52"/>
      <c r="EX298" s="52"/>
      <c r="EY298" s="52"/>
    </row>
    <row r="299" spans="1:155" s="25" customFormat="1" ht="35.25" customHeight="1">
      <c r="A299" s="8" t="s">
        <v>121</v>
      </c>
      <c r="B299" s="6"/>
      <c r="C299" s="6"/>
      <c r="D299" s="7"/>
      <c r="E299" s="7">
        <v>0</v>
      </c>
      <c r="F299" s="7">
        <v>0</v>
      </c>
      <c r="G299" s="7"/>
      <c r="H299" s="7">
        <f>H297/E297*100</f>
        <v>225.1438520500244</v>
      </c>
      <c r="I299" s="7"/>
      <c r="J299" s="7">
        <f>G299+H299</f>
        <v>225.1438520500244</v>
      </c>
      <c r="K299" s="7"/>
      <c r="L299" s="7"/>
      <c r="M299" s="7"/>
      <c r="N299" s="7"/>
      <c r="O299" s="7">
        <f>O297/H297*100</f>
        <v>110.38417334490171</v>
      </c>
      <c r="P299" s="7">
        <f>O299</f>
        <v>110.38417334490171</v>
      </c>
      <c r="ET299" s="52"/>
      <c r="EU299" s="52"/>
      <c r="EV299" s="52"/>
      <c r="EW299" s="52"/>
      <c r="EX299" s="52"/>
      <c r="EY299" s="52"/>
    </row>
    <row r="300" spans="1:155" s="25" customFormat="1" ht="22.5" customHeight="1">
      <c r="A300" s="8" t="s">
        <v>441</v>
      </c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11500000</v>
      </c>
      <c r="P300" s="7">
        <v>11500000</v>
      </c>
      <c r="ET300" s="52"/>
      <c r="EU300" s="52"/>
      <c r="EV300" s="52"/>
      <c r="EW300" s="52"/>
      <c r="EX300" s="52"/>
      <c r="EY300" s="52"/>
    </row>
    <row r="301" spans="1:155" s="25" customFormat="1" ht="17.25" customHeight="1">
      <c r="A301" s="8" t="s">
        <v>392</v>
      </c>
      <c r="B301" s="6"/>
      <c r="C301" s="6"/>
      <c r="D301" s="7"/>
      <c r="E301" s="7">
        <v>5075000</v>
      </c>
      <c r="F301" s="7">
        <f>E301</f>
        <v>5075000</v>
      </c>
      <c r="G301" s="7"/>
      <c r="H301" s="7">
        <f>0+6097000+6401000+20000+500000+636000+670000</f>
        <v>14324000</v>
      </c>
      <c r="I301" s="7"/>
      <c r="J301" s="7">
        <f>H301</f>
        <v>14324000</v>
      </c>
      <c r="K301" s="7"/>
      <c r="L301" s="7"/>
      <c r="M301" s="7"/>
      <c r="N301" s="7"/>
      <c r="O301" s="7">
        <v>784783.76</v>
      </c>
      <c r="P301" s="7">
        <f>N301+O301</f>
        <v>784783.76</v>
      </c>
      <c r="ET301" s="52"/>
      <c r="EU301" s="52"/>
      <c r="EV301" s="52"/>
      <c r="EW301" s="52"/>
      <c r="EX301" s="52"/>
      <c r="EY301" s="52"/>
    </row>
    <row r="302" spans="1:155" s="25" customFormat="1" ht="20.25" customHeight="1">
      <c r="A302" s="8" t="s">
        <v>393</v>
      </c>
      <c r="B302" s="6"/>
      <c r="C302" s="6"/>
      <c r="D302" s="7"/>
      <c r="E302" s="7">
        <v>152250</v>
      </c>
      <c r="F302" s="7">
        <f>E302</f>
        <v>152250</v>
      </c>
      <c r="G302" s="7"/>
      <c r="H302" s="7">
        <f>0+185000+15000</f>
        <v>200000</v>
      </c>
      <c r="I302" s="7"/>
      <c r="J302" s="7">
        <f>H302</f>
        <v>200000</v>
      </c>
      <c r="K302" s="7"/>
      <c r="L302" s="7"/>
      <c r="M302" s="7"/>
      <c r="N302" s="7"/>
      <c r="O302" s="7">
        <v>18000</v>
      </c>
      <c r="P302" s="7">
        <f>N302+O302</f>
        <v>18000</v>
      </c>
      <c r="ET302" s="52"/>
      <c r="EU302" s="52"/>
      <c r="EV302" s="52"/>
      <c r="EW302" s="52"/>
      <c r="EX302" s="52"/>
      <c r="EY302" s="52"/>
    </row>
    <row r="303" spans="1:16" ht="15" customHeight="1">
      <c r="A303" s="36" t="s">
        <v>351</v>
      </c>
      <c r="B303" s="36"/>
      <c r="C303" s="36"/>
      <c r="D303" s="29"/>
      <c r="E303" s="29">
        <f aca="true" t="shared" si="40" ref="E303:M303">E305+E319+E334</f>
        <v>76757323</v>
      </c>
      <c r="F303" s="29">
        <f t="shared" si="40"/>
        <v>76757323</v>
      </c>
      <c r="G303" s="29">
        <f t="shared" si="40"/>
        <v>0</v>
      </c>
      <c r="H303" s="29">
        <f>H305+H319+H334</f>
        <v>83062199.9975</v>
      </c>
      <c r="I303" s="29">
        <f t="shared" si="40"/>
        <v>742600</v>
      </c>
      <c r="J303" s="29">
        <f t="shared" si="40"/>
        <v>83062199.9975</v>
      </c>
      <c r="K303" s="29">
        <f t="shared" si="40"/>
        <v>10668.66666388889</v>
      </c>
      <c r="L303" s="29">
        <f t="shared" si="40"/>
        <v>2</v>
      </c>
      <c r="M303" s="29">
        <f t="shared" si="40"/>
        <v>2</v>
      </c>
      <c r="N303" s="29">
        <f>N305+N319+N334</f>
        <v>0</v>
      </c>
      <c r="O303" s="29">
        <f>O305+O319+O334+O317+O318-O334</f>
        <v>70152636.62200001</v>
      </c>
      <c r="P303" s="29">
        <f>P305+P319+P334+P317+P318-P334</f>
        <v>70152636.62200001</v>
      </c>
    </row>
    <row r="304" spans="1:16" ht="56.25" customHeight="1">
      <c r="A304" s="33" t="s">
        <v>122</v>
      </c>
      <c r="B304" s="6"/>
      <c r="C304" s="6"/>
      <c r="D304" s="7"/>
      <c r="E304" s="35"/>
      <c r="F304" s="35"/>
      <c r="G304" s="7"/>
      <c r="H304" s="35"/>
      <c r="I304" s="35"/>
      <c r="J304" s="35"/>
      <c r="K304" s="7" t="e">
        <f>H304/E304*100</f>
        <v>#DIV/0!</v>
      </c>
      <c r="L304" s="35"/>
      <c r="M304" s="35"/>
      <c r="N304" s="7"/>
      <c r="O304" s="35"/>
      <c r="P304" s="35"/>
    </row>
    <row r="305" spans="1:16" ht="22.5" customHeight="1">
      <c r="A305" s="33" t="s">
        <v>127</v>
      </c>
      <c r="B305" s="6"/>
      <c r="C305" s="6"/>
      <c r="D305" s="7"/>
      <c r="E305" s="35">
        <f>E306</f>
        <v>55957320</v>
      </c>
      <c r="F305" s="35">
        <f>D305+E305</f>
        <v>55957320</v>
      </c>
      <c r="G305" s="35"/>
      <c r="H305" s="35">
        <f>H306</f>
        <v>62659599.997499995</v>
      </c>
      <c r="I305" s="35"/>
      <c r="J305" s="35">
        <f>G305+H305</f>
        <v>62659599.997499995</v>
      </c>
      <c r="K305" s="35">
        <f>K306+K320+K327</f>
        <v>10667.66666388889</v>
      </c>
      <c r="L305" s="35">
        <f>L306+L320+L327</f>
        <v>1</v>
      </c>
      <c r="M305" s="35">
        <f>M306+M320+M327</f>
        <v>1</v>
      </c>
      <c r="N305" s="35"/>
      <c r="O305" s="35">
        <f>O306</f>
        <v>49999233.691999994</v>
      </c>
      <c r="P305" s="35">
        <f>N305+O305</f>
        <v>49999233.691999994</v>
      </c>
    </row>
    <row r="306" spans="1:149" s="38" customFormat="1" ht="22.5">
      <c r="A306" s="33" t="s">
        <v>380</v>
      </c>
      <c r="B306" s="34"/>
      <c r="C306" s="34"/>
      <c r="D306" s="35"/>
      <c r="E306" s="143">
        <f>(E310*E312)+E316+E317+E318</f>
        <v>55957320</v>
      </c>
      <c r="F306" s="35">
        <f>E306</f>
        <v>55957320</v>
      </c>
      <c r="G306" s="35"/>
      <c r="H306" s="35">
        <f>H310*H312+0.01+5339300+4663300+4487000+990000+295000-1115000</f>
        <v>62659599.997499995</v>
      </c>
      <c r="I306" s="35"/>
      <c r="J306" s="35">
        <f>H306</f>
        <v>62659599.997499995</v>
      </c>
      <c r="K306" s="35">
        <f>K310*K312</f>
        <v>10666.66666388889</v>
      </c>
      <c r="L306" s="35">
        <f>L310*L312</f>
        <v>0</v>
      </c>
      <c r="M306" s="35">
        <f>M310*M312</f>
        <v>0</v>
      </c>
      <c r="N306" s="35"/>
      <c r="O306" s="35">
        <f>O310*O312+0.01-766.31</f>
        <v>49999233.691999994</v>
      </c>
      <c r="P306" s="35">
        <f>N306+O306</f>
        <v>49999233.691999994</v>
      </c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</row>
    <row r="307" spans="1:16" ht="11.25">
      <c r="A307" s="5" t="s">
        <v>4</v>
      </c>
      <c r="B307" s="36"/>
      <c r="C307" s="36"/>
      <c r="D307" s="7"/>
      <c r="E307" s="35"/>
      <c r="F307" s="35"/>
      <c r="G307" s="7"/>
      <c r="H307" s="35"/>
      <c r="I307" s="35"/>
      <c r="J307" s="35"/>
      <c r="K307" s="7"/>
      <c r="L307" s="35"/>
      <c r="M307" s="35"/>
      <c r="N307" s="7"/>
      <c r="O307" s="35"/>
      <c r="P307" s="35"/>
    </row>
    <row r="308" spans="1:16" ht="22.5">
      <c r="A308" s="8" t="s">
        <v>123</v>
      </c>
      <c r="B308" s="6"/>
      <c r="C308" s="6"/>
      <c r="D308" s="7"/>
      <c r="E308" s="7">
        <v>1072</v>
      </c>
      <c r="F308" s="7">
        <f>E308</f>
        <v>1072</v>
      </c>
      <c r="G308" s="7"/>
      <c r="H308" s="7">
        <v>892</v>
      </c>
      <c r="I308" s="7"/>
      <c r="J308" s="7">
        <f>H308</f>
        <v>892</v>
      </c>
      <c r="K308" s="7"/>
      <c r="L308" s="35"/>
      <c r="M308" s="35"/>
      <c r="N308" s="7"/>
      <c r="O308" s="7">
        <v>617</v>
      </c>
      <c r="P308" s="7">
        <f>O308</f>
        <v>617</v>
      </c>
    </row>
    <row r="309" spans="1:16" ht="11.25">
      <c r="A309" s="5" t="s">
        <v>5</v>
      </c>
      <c r="B309" s="36"/>
      <c r="C309" s="36"/>
      <c r="D309" s="7"/>
      <c r="E309" s="29"/>
      <c r="F309" s="29"/>
      <c r="G309" s="7"/>
      <c r="H309" s="29"/>
      <c r="I309" s="29"/>
      <c r="J309" s="29"/>
      <c r="K309" s="7" t="e">
        <f>H309/E309*100</f>
        <v>#DIV/0!</v>
      </c>
      <c r="L309" s="29"/>
      <c r="M309" s="29"/>
      <c r="N309" s="7"/>
      <c r="O309" s="29"/>
      <c r="P309" s="29"/>
    </row>
    <row r="310" spans="1:16" ht="22.5">
      <c r="A310" s="8" t="s">
        <v>124</v>
      </c>
      <c r="B310" s="6"/>
      <c r="C310" s="6"/>
      <c r="D310" s="7"/>
      <c r="E310" s="7">
        <v>180</v>
      </c>
      <c r="F310" s="7">
        <f>E310</f>
        <v>180</v>
      </c>
      <c r="G310" s="7"/>
      <c r="H310" s="7">
        <v>275</v>
      </c>
      <c r="I310" s="7"/>
      <c r="J310" s="7">
        <f>H310</f>
        <v>275</v>
      </c>
      <c r="K310" s="7">
        <f>H310/E310*100</f>
        <v>152.77777777777777</v>
      </c>
      <c r="L310" s="7"/>
      <c r="M310" s="7"/>
      <c r="N310" s="7"/>
      <c r="O310" s="7">
        <v>240</v>
      </c>
      <c r="P310" s="7">
        <f>O310</f>
        <v>240</v>
      </c>
    </row>
    <row r="311" spans="1:16" ht="11.25">
      <c r="A311" s="5" t="s">
        <v>7</v>
      </c>
      <c r="B311" s="36"/>
      <c r="C311" s="36"/>
      <c r="D311" s="7"/>
      <c r="E311" s="29"/>
      <c r="F311" s="29"/>
      <c r="G311" s="7"/>
      <c r="H311" s="29"/>
      <c r="I311" s="29"/>
      <c r="J311" s="29"/>
      <c r="K311" s="7" t="e">
        <f>H311/E311*100</f>
        <v>#DIV/0!</v>
      </c>
      <c r="L311" s="29"/>
      <c r="M311" s="29"/>
      <c r="N311" s="7"/>
      <c r="O311" s="29"/>
      <c r="P311" s="29"/>
    </row>
    <row r="312" spans="1:16" ht="24" customHeight="1">
      <c r="A312" s="8" t="s">
        <v>125</v>
      </c>
      <c r="B312" s="6"/>
      <c r="C312" s="6"/>
      <c r="D312" s="7"/>
      <c r="E312" s="7">
        <v>250000</v>
      </c>
      <c r="F312" s="7">
        <f>E312</f>
        <v>250000</v>
      </c>
      <c r="G312" s="7"/>
      <c r="H312" s="7">
        <v>174545.4545</v>
      </c>
      <c r="I312" s="7"/>
      <c r="J312" s="7">
        <f>H312</f>
        <v>174545.4545</v>
      </c>
      <c r="K312" s="7">
        <f>H312/E312*100</f>
        <v>69.8181818</v>
      </c>
      <c r="L312" s="7"/>
      <c r="M312" s="7"/>
      <c r="N312" s="7"/>
      <c r="O312" s="7">
        <v>208333.3333</v>
      </c>
      <c r="P312" s="7">
        <f>O312</f>
        <v>208333.3333</v>
      </c>
    </row>
    <row r="313" spans="1:16" ht="11.25">
      <c r="A313" s="5" t="s">
        <v>6</v>
      </c>
      <c r="B313" s="36"/>
      <c r="C313" s="3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50.25" customHeight="1">
      <c r="A314" s="8" t="s">
        <v>126</v>
      </c>
      <c r="B314" s="6"/>
      <c r="C314" s="6"/>
      <c r="D314" s="7"/>
      <c r="E314" s="7">
        <f>E310/E308*100</f>
        <v>16.791044776119403</v>
      </c>
      <c r="F314" s="7">
        <f>D314+E314</f>
        <v>16.791044776119403</v>
      </c>
      <c r="G314" s="7"/>
      <c r="H314" s="7">
        <f>H310/H308*100</f>
        <v>30.829596412556054</v>
      </c>
      <c r="I314" s="7"/>
      <c r="J314" s="7">
        <f>J310/J308*100</f>
        <v>30.829596412556054</v>
      </c>
      <c r="K314" s="7" t="e">
        <f>K310/K308*100</f>
        <v>#DIV/0!</v>
      </c>
      <c r="L314" s="7" t="e">
        <f>L310/L308*100</f>
        <v>#DIV/0!</v>
      </c>
      <c r="M314" s="7" t="e">
        <f>M310/M308*100</f>
        <v>#DIV/0!</v>
      </c>
      <c r="N314" s="7"/>
      <c r="O314" s="7">
        <f>O310/O308*100</f>
        <v>38.897893030794165</v>
      </c>
      <c r="P314" s="7">
        <f>P310/P308*100</f>
        <v>38.897893030794165</v>
      </c>
    </row>
    <row r="315" spans="1:16" ht="11.25">
      <c r="A315" s="5" t="s">
        <v>5</v>
      </c>
      <c r="B315" s="34"/>
      <c r="C315" s="34"/>
      <c r="D315" s="7"/>
      <c r="E315" s="35"/>
      <c r="F315" s="35"/>
      <c r="G315" s="7"/>
      <c r="H315" s="35"/>
      <c r="I315" s="35"/>
      <c r="J315" s="35"/>
      <c r="K315" s="35"/>
      <c r="L315" s="35"/>
      <c r="M315" s="35"/>
      <c r="N315" s="7"/>
      <c r="O315" s="35"/>
      <c r="P315" s="35"/>
    </row>
    <row r="316" spans="1:16" ht="33.75">
      <c r="A316" s="8" t="s">
        <v>275</v>
      </c>
      <c r="B316" s="36"/>
      <c r="C316" s="36"/>
      <c r="D316" s="29"/>
      <c r="E316" s="7">
        <v>160000</v>
      </c>
      <c r="F316" s="7">
        <v>160000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1.25">
      <c r="A317" s="8" t="s">
        <v>352</v>
      </c>
      <c r="B317" s="36"/>
      <c r="C317" s="36"/>
      <c r="D317" s="29"/>
      <c r="E317" s="7">
        <f>1522000+8354000</f>
        <v>9876000</v>
      </c>
      <c r="F317" s="7">
        <f>E317</f>
        <v>9876000</v>
      </c>
      <c r="G317" s="7"/>
      <c r="H317" s="7">
        <f>0+5339300+4663300+4487000+990000+295000</f>
        <v>15774600</v>
      </c>
      <c r="I317" s="7"/>
      <c r="J317" s="7">
        <f>G317+H317</f>
        <v>15774600</v>
      </c>
      <c r="K317" s="7"/>
      <c r="L317" s="7"/>
      <c r="M317" s="7"/>
      <c r="N317" s="7"/>
      <c r="O317" s="7">
        <v>152636.62</v>
      </c>
      <c r="P317" s="7">
        <f>N317+O317</f>
        <v>152636.62</v>
      </c>
    </row>
    <row r="318" spans="1:16" ht="22.5">
      <c r="A318" s="8" t="s">
        <v>363</v>
      </c>
      <c r="B318" s="36"/>
      <c r="C318" s="36"/>
      <c r="D318" s="29"/>
      <c r="E318" s="7">
        <f>245700+675620</f>
        <v>921320</v>
      </c>
      <c r="F318" s="7">
        <f>E318</f>
        <v>921320</v>
      </c>
      <c r="G318" s="7"/>
      <c r="H318" s="7">
        <f>0+192200</f>
        <v>192200</v>
      </c>
      <c r="I318" s="7"/>
      <c r="J318" s="7">
        <f>G318+H318</f>
        <v>192200</v>
      </c>
      <c r="K318" s="7"/>
      <c r="L318" s="7"/>
      <c r="M318" s="7"/>
      <c r="N318" s="7"/>
      <c r="O318" s="7">
        <v>766.31</v>
      </c>
      <c r="P318" s="7">
        <f>N318+O318</f>
        <v>766.31</v>
      </c>
    </row>
    <row r="319" spans="1:149" s="38" customFormat="1" ht="36" customHeight="1">
      <c r="A319" s="33" t="s">
        <v>337</v>
      </c>
      <c r="B319" s="34"/>
      <c r="C319" s="34"/>
      <c r="D319" s="35"/>
      <c r="E319" s="35">
        <f>SUM(E320)+E327</f>
        <v>20000000</v>
      </c>
      <c r="F319" s="35">
        <f aca="true" t="shared" si="41" ref="F319:P319">SUM(F320)+F327</f>
        <v>20000000</v>
      </c>
      <c r="G319" s="35">
        <f t="shared" si="41"/>
        <v>0</v>
      </c>
      <c r="H319" s="35">
        <f>SUM(H320)+H327</f>
        <v>19660000</v>
      </c>
      <c r="I319" s="35">
        <f t="shared" si="41"/>
        <v>0</v>
      </c>
      <c r="J319" s="35">
        <f t="shared" si="41"/>
        <v>19660000</v>
      </c>
      <c r="K319" s="35">
        <f t="shared" si="41"/>
        <v>1</v>
      </c>
      <c r="L319" s="35">
        <f t="shared" si="41"/>
        <v>1</v>
      </c>
      <c r="M319" s="35">
        <f t="shared" si="41"/>
        <v>1</v>
      </c>
      <c r="N319" s="35">
        <f t="shared" si="41"/>
        <v>0</v>
      </c>
      <c r="O319" s="35">
        <f t="shared" si="41"/>
        <v>20000000</v>
      </c>
      <c r="P319" s="35">
        <f t="shared" si="41"/>
        <v>20000000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</row>
    <row r="320" spans="1:149" s="38" customFormat="1" ht="41.25" customHeight="1">
      <c r="A320" s="33" t="s">
        <v>381</v>
      </c>
      <c r="B320" s="34"/>
      <c r="C320" s="34"/>
      <c r="D320" s="35"/>
      <c r="E320" s="35">
        <f>E324*E326</f>
        <v>14999999.999999998</v>
      </c>
      <c r="F320" s="35">
        <f>F324*F326</f>
        <v>14999999.999999998</v>
      </c>
      <c r="G320" s="35"/>
      <c r="H320" s="35">
        <f>H324*H326</f>
        <v>14000000</v>
      </c>
      <c r="I320" s="35"/>
      <c r="J320" s="35">
        <f>H320</f>
        <v>14000000</v>
      </c>
      <c r="K320" s="35">
        <f>K324*K326+1</f>
        <v>1</v>
      </c>
      <c r="L320" s="35">
        <f>L324*L326+1</f>
        <v>1</v>
      </c>
      <c r="M320" s="35">
        <f>M324*M326+1</f>
        <v>1</v>
      </c>
      <c r="N320" s="35"/>
      <c r="O320" s="35">
        <f>O322</f>
        <v>13000000</v>
      </c>
      <c r="P320" s="35">
        <f>O320</f>
        <v>13000000</v>
      </c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</row>
    <row r="321" spans="1:16" ht="11.25">
      <c r="A321" s="5" t="s">
        <v>4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f>E324*E326</f>
        <v>14999999.999999998</v>
      </c>
      <c r="F322" s="7">
        <f>E322</f>
        <v>14999999.999999998</v>
      </c>
      <c r="G322" s="7"/>
      <c r="H322" s="7">
        <f>H324*H326</f>
        <v>14000000</v>
      </c>
      <c r="I322" s="7"/>
      <c r="J322" s="7">
        <f>H322</f>
        <v>14000000</v>
      </c>
      <c r="K322" s="7"/>
      <c r="L322" s="7"/>
      <c r="M322" s="7"/>
      <c r="N322" s="7"/>
      <c r="O322" s="7">
        <f>O324*O326</f>
        <v>13000000</v>
      </c>
      <c r="P322" s="7">
        <f>O322</f>
        <v>13000000</v>
      </c>
    </row>
    <row r="323" spans="1:16" ht="11.25">
      <c r="A323" s="5" t="s">
        <v>5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191</v>
      </c>
      <c r="B324" s="6"/>
      <c r="C324" s="6"/>
      <c r="D324" s="7"/>
      <c r="E324" s="7">
        <v>43</v>
      </c>
      <c r="F324" s="7">
        <f>E324</f>
        <v>43</v>
      </c>
      <c r="G324" s="7"/>
      <c r="H324" s="7">
        <v>40</v>
      </c>
      <c r="I324" s="7"/>
      <c r="J324" s="7">
        <f>H324</f>
        <v>40</v>
      </c>
      <c r="K324" s="7"/>
      <c r="L324" s="7"/>
      <c r="M324" s="7"/>
      <c r="N324" s="7"/>
      <c r="O324" s="7">
        <v>36</v>
      </c>
      <c r="P324" s="7">
        <f>O324</f>
        <v>36</v>
      </c>
    </row>
    <row r="325" spans="1:16" ht="11.25">
      <c r="A325" s="5" t="s">
        <v>7</v>
      </c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2.5">
      <c r="A326" s="8" t="s">
        <v>125</v>
      </c>
      <c r="B326" s="6"/>
      <c r="C326" s="6"/>
      <c r="D326" s="7"/>
      <c r="E326" s="7">
        <f>15000000/43</f>
        <v>348837.20930232556</v>
      </c>
      <c r="F326" s="7">
        <f>E326</f>
        <v>348837.20930232556</v>
      </c>
      <c r="G326" s="7"/>
      <c r="H326" s="7">
        <f>14000000/40</f>
        <v>350000</v>
      </c>
      <c r="I326" s="7"/>
      <c r="J326" s="7">
        <f>H326</f>
        <v>350000</v>
      </c>
      <c r="K326" s="7"/>
      <c r="L326" s="7"/>
      <c r="M326" s="7"/>
      <c r="N326" s="7"/>
      <c r="O326" s="7">
        <f>13000000/36</f>
        <v>361111.1111111111</v>
      </c>
      <c r="P326" s="7">
        <f>O326</f>
        <v>361111.1111111111</v>
      </c>
    </row>
    <row r="327" spans="1:16" ht="40.5" customHeight="1">
      <c r="A327" s="33" t="s">
        <v>382</v>
      </c>
      <c r="B327" s="36"/>
      <c r="C327" s="36"/>
      <c r="D327" s="29">
        <f>D329</f>
        <v>0</v>
      </c>
      <c r="E327" s="29">
        <f>E329</f>
        <v>5000000</v>
      </c>
      <c r="F327" s="29">
        <f>D327+E327</f>
        <v>5000000</v>
      </c>
      <c r="G327" s="29"/>
      <c r="H327" s="29">
        <f>H329</f>
        <v>5660000</v>
      </c>
      <c r="I327" s="29">
        <f aca="true" t="shared" si="42" ref="I327:P327">I329</f>
        <v>0</v>
      </c>
      <c r="J327" s="29">
        <f t="shared" si="42"/>
        <v>5660000</v>
      </c>
      <c r="K327" s="29">
        <f t="shared" si="42"/>
        <v>0</v>
      </c>
      <c r="L327" s="29">
        <f t="shared" si="42"/>
        <v>0</v>
      </c>
      <c r="M327" s="29">
        <f t="shared" si="42"/>
        <v>0</v>
      </c>
      <c r="N327" s="29">
        <f t="shared" si="42"/>
        <v>0</v>
      </c>
      <c r="O327" s="29">
        <f>O329</f>
        <v>7000000</v>
      </c>
      <c r="P327" s="29">
        <f t="shared" si="42"/>
        <v>7000000</v>
      </c>
    </row>
    <row r="328" spans="1:16" ht="17.25" customHeight="1">
      <c r="A328" s="5" t="s">
        <v>4</v>
      </c>
      <c r="B328" s="36"/>
      <c r="C328" s="36"/>
      <c r="D328" s="2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0.75" customHeight="1">
      <c r="A329" s="8" t="s">
        <v>193</v>
      </c>
      <c r="B329" s="36"/>
      <c r="C329" s="36"/>
      <c r="D329" s="29"/>
      <c r="E329" s="7">
        <f>E331*E333</f>
        <v>5000000</v>
      </c>
      <c r="F329" s="7">
        <f>D329+E329</f>
        <v>5000000</v>
      </c>
      <c r="G329" s="7"/>
      <c r="H329" s="7">
        <f>H331*H333-170000</f>
        <v>5660000</v>
      </c>
      <c r="I329" s="7"/>
      <c r="J329" s="7">
        <f>H329</f>
        <v>5660000</v>
      </c>
      <c r="K329" s="7"/>
      <c r="L329" s="7"/>
      <c r="M329" s="7"/>
      <c r="N329" s="7"/>
      <c r="O329" s="7">
        <f>O331*O333</f>
        <v>7000000</v>
      </c>
      <c r="P329" s="7">
        <f>O329</f>
        <v>7000000</v>
      </c>
    </row>
    <row r="330" spans="1:16" ht="15.75" customHeight="1">
      <c r="A330" s="5" t="s">
        <v>5</v>
      </c>
      <c r="B330" s="36"/>
      <c r="C330" s="36"/>
      <c r="D330" s="2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25.5" customHeight="1">
      <c r="A331" s="8" t="s">
        <v>124</v>
      </c>
      <c r="B331" s="36"/>
      <c r="C331" s="36"/>
      <c r="D331" s="29"/>
      <c r="E331" s="7">
        <v>16</v>
      </c>
      <c r="F331" s="7">
        <f>D331+E331</f>
        <v>16</v>
      </c>
      <c r="G331" s="7"/>
      <c r="H331" s="7">
        <v>16</v>
      </c>
      <c r="I331" s="7"/>
      <c r="J331" s="7">
        <f>H331</f>
        <v>16</v>
      </c>
      <c r="K331" s="7"/>
      <c r="L331" s="7"/>
      <c r="M331" s="7"/>
      <c r="N331" s="7"/>
      <c r="O331" s="7">
        <v>16</v>
      </c>
      <c r="P331" s="7">
        <v>16</v>
      </c>
    </row>
    <row r="332" spans="1:16" ht="15.75" customHeight="1">
      <c r="A332" s="5" t="s">
        <v>7</v>
      </c>
      <c r="B332" s="36"/>
      <c r="C332" s="36"/>
      <c r="D332" s="2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37.5" customHeight="1">
      <c r="A333" s="8" t="s">
        <v>194</v>
      </c>
      <c r="B333" s="36"/>
      <c r="C333" s="36"/>
      <c r="D333" s="29"/>
      <c r="E333" s="7">
        <v>312500</v>
      </c>
      <c r="F333" s="7">
        <f>D333+E333</f>
        <v>312500</v>
      </c>
      <c r="G333" s="7"/>
      <c r="H333" s="7">
        <v>364375</v>
      </c>
      <c r="I333" s="7"/>
      <c r="J333" s="7">
        <f>H333</f>
        <v>364375</v>
      </c>
      <c r="K333" s="7"/>
      <c r="L333" s="7"/>
      <c r="M333" s="7"/>
      <c r="N333" s="7"/>
      <c r="O333" s="7">
        <v>437500</v>
      </c>
      <c r="P333" s="7">
        <f>O333</f>
        <v>437500</v>
      </c>
    </row>
    <row r="334" spans="1:149" s="51" customFormat="1" ht="37.5" customHeight="1">
      <c r="A334" s="5" t="s">
        <v>383</v>
      </c>
      <c r="B334" s="36"/>
      <c r="C334" s="36"/>
      <c r="D334" s="29"/>
      <c r="E334" s="29">
        <f aca="true" t="shared" si="43" ref="E334:P334">SUM(E336)</f>
        <v>800003</v>
      </c>
      <c r="F334" s="29">
        <f t="shared" si="43"/>
        <v>800003</v>
      </c>
      <c r="G334" s="29">
        <f t="shared" si="43"/>
        <v>0</v>
      </c>
      <c r="H334" s="29">
        <f t="shared" si="43"/>
        <v>742600</v>
      </c>
      <c r="I334" s="29">
        <f t="shared" si="43"/>
        <v>742600</v>
      </c>
      <c r="J334" s="29">
        <f t="shared" si="43"/>
        <v>742600</v>
      </c>
      <c r="K334" s="29">
        <f t="shared" si="43"/>
        <v>0</v>
      </c>
      <c r="L334" s="29">
        <f t="shared" si="43"/>
        <v>0</v>
      </c>
      <c r="M334" s="29">
        <f t="shared" si="43"/>
        <v>0</v>
      </c>
      <c r="N334" s="29">
        <f t="shared" si="43"/>
        <v>0</v>
      </c>
      <c r="O334" s="29">
        <f t="shared" si="43"/>
        <v>133200</v>
      </c>
      <c r="P334" s="29">
        <f t="shared" si="43"/>
        <v>133200</v>
      </c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</row>
    <row r="335" spans="1:16" ht="10.5" customHeight="1">
      <c r="A335" s="5" t="s">
        <v>4</v>
      </c>
      <c r="B335" s="36"/>
      <c r="C335" s="36"/>
      <c r="D335" s="2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32.25" customHeight="1">
      <c r="A336" s="8" t="s">
        <v>335</v>
      </c>
      <c r="B336" s="36"/>
      <c r="C336" s="36"/>
      <c r="D336" s="29"/>
      <c r="E336" s="7">
        <v>800003</v>
      </c>
      <c r="F336" s="7">
        <v>800003</v>
      </c>
      <c r="G336" s="7"/>
      <c r="H336" s="7">
        <v>742600</v>
      </c>
      <c r="I336" s="7">
        <v>742600</v>
      </c>
      <c r="J336" s="7">
        <v>742600</v>
      </c>
      <c r="K336" s="7"/>
      <c r="L336" s="7"/>
      <c r="M336" s="7"/>
      <c r="N336" s="7"/>
      <c r="O336" s="7">
        <f>O338*O340</f>
        <v>133200</v>
      </c>
      <c r="P336" s="7">
        <f>P338*P340</f>
        <v>133200</v>
      </c>
    </row>
    <row r="337" spans="1:16" ht="16.5" customHeight="1">
      <c r="A337" s="5" t="s">
        <v>5</v>
      </c>
      <c r="B337" s="36"/>
      <c r="C337" s="36"/>
      <c r="D337" s="2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26.25" customHeight="1">
      <c r="A338" s="8" t="s">
        <v>124</v>
      </c>
      <c r="B338" s="36"/>
      <c r="C338" s="36"/>
      <c r="D338" s="29"/>
      <c r="E338" s="7">
        <v>10</v>
      </c>
      <c r="F338" s="7">
        <v>10</v>
      </c>
      <c r="G338" s="7"/>
      <c r="H338" s="7">
        <v>10</v>
      </c>
      <c r="I338" s="7">
        <v>10</v>
      </c>
      <c r="J338" s="7">
        <v>10</v>
      </c>
      <c r="K338" s="7"/>
      <c r="L338" s="7"/>
      <c r="M338" s="7"/>
      <c r="N338" s="7"/>
      <c r="O338" s="7">
        <v>10</v>
      </c>
      <c r="P338" s="7">
        <v>10</v>
      </c>
    </row>
    <row r="339" spans="1:149" s="51" customFormat="1" ht="18" customHeight="1">
      <c r="A339" s="5" t="s">
        <v>7</v>
      </c>
      <c r="B339" s="36"/>
      <c r="C339" s="36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</row>
    <row r="340" spans="1:16" ht="37.5" customHeight="1">
      <c r="A340" s="8" t="s">
        <v>336</v>
      </c>
      <c r="B340" s="36"/>
      <c r="C340" s="36"/>
      <c r="D340" s="29"/>
      <c r="E340" s="7">
        <f>SUM(E336)/E338</f>
        <v>80000.3</v>
      </c>
      <c r="F340" s="7">
        <f>SUM(F336)/F338</f>
        <v>80000.3</v>
      </c>
      <c r="G340" s="7"/>
      <c r="H340" s="7">
        <f>H336/H338</f>
        <v>74260</v>
      </c>
      <c r="I340" s="7">
        <f>I336/I338</f>
        <v>74260</v>
      </c>
      <c r="J340" s="7">
        <f>J336/J338</f>
        <v>74260</v>
      </c>
      <c r="K340" s="7"/>
      <c r="L340" s="7"/>
      <c r="M340" s="7"/>
      <c r="N340" s="7"/>
      <c r="O340" s="7">
        <v>13320</v>
      </c>
      <c r="P340" s="7">
        <v>13320</v>
      </c>
    </row>
    <row r="341" spans="1:16" ht="16.5" customHeight="1">
      <c r="A341" s="36" t="s">
        <v>357</v>
      </c>
      <c r="B341" s="36"/>
      <c r="C341" s="36"/>
      <c r="D341" s="29">
        <f>D342+D343</f>
        <v>3794380.0029998</v>
      </c>
      <c r="E341" s="29">
        <f>E342+E343</f>
        <v>692840</v>
      </c>
      <c r="F341" s="29">
        <f>D341+E341</f>
        <v>4487220.002999799</v>
      </c>
      <c r="G341" s="29">
        <f>G342+G343</f>
        <v>4506475</v>
      </c>
      <c r="H341" s="29">
        <f>H342+H343</f>
        <v>763900</v>
      </c>
      <c r="I341" s="29">
        <f>I342+I343</f>
        <v>0</v>
      </c>
      <c r="J341" s="29">
        <f>G341+H341</f>
        <v>5270375</v>
      </c>
      <c r="K341" s="29" t="e">
        <f>K342+K343</f>
        <v>#REF!</v>
      </c>
      <c r="L341" s="29">
        <f>L342+L343</f>
        <v>0</v>
      </c>
      <c r="M341" s="29">
        <f>M342+M343</f>
        <v>0</v>
      </c>
      <c r="N341" s="29">
        <f>N342+N343</f>
        <v>5518061.99999968</v>
      </c>
      <c r="O341" s="29">
        <f>O342+O343</f>
        <v>787532</v>
      </c>
      <c r="P341" s="29">
        <f>N341+O341</f>
        <v>6305593.99999968</v>
      </c>
    </row>
    <row r="342" spans="1:16" ht="13.5" customHeight="1">
      <c r="A342" s="36" t="s">
        <v>54</v>
      </c>
      <c r="B342" s="36"/>
      <c r="C342" s="36"/>
      <c r="D342" s="29">
        <f>D345+D352+D430+D435</f>
        <v>3331999.9999997998</v>
      </c>
      <c r="E342" s="29">
        <f>E345+E352+E430+E435</f>
        <v>0</v>
      </c>
      <c r="F342" s="29">
        <f>D342+E342</f>
        <v>3331999.9999997998</v>
      </c>
      <c r="G342" s="29">
        <f>G345+G352+G430+G435+G362</f>
        <v>4062700</v>
      </c>
      <c r="H342" s="29">
        <f>H345+H352+H430+H435</f>
        <v>0</v>
      </c>
      <c r="I342" s="29">
        <f>I345+I352+I430+I435</f>
        <v>0</v>
      </c>
      <c r="J342" s="29">
        <f>G342+H342</f>
        <v>4062700</v>
      </c>
      <c r="K342" s="29" t="e">
        <f>K345+K352+K430+K435</f>
        <v>#REF!</v>
      </c>
      <c r="L342" s="29">
        <f>L345+L352+L430+L435</f>
        <v>0</v>
      </c>
      <c r="M342" s="29">
        <f>M345+M352+M430+M435</f>
        <v>0</v>
      </c>
      <c r="N342" s="29">
        <f>N345+N352+N430+N435</f>
        <v>5165541.99999968</v>
      </c>
      <c r="O342" s="29">
        <f>O345+O352+O430+O435</f>
        <v>0</v>
      </c>
      <c r="P342" s="29">
        <f>N342+O342</f>
        <v>5165541.99999968</v>
      </c>
    </row>
    <row r="343" spans="1:149" s="137" customFormat="1" ht="11.25">
      <c r="A343" s="150" t="s">
        <v>188</v>
      </c>
      <c r="B343" s="150"/>
      <c r="C343" s="150"/>
      <c r="D343" s="151">
        <f>D371+D474</f>
        <v>462380.003</v>
      </c>
      <c r="E343" s="151">
        <f>E405</f>
        <v>692840</v>
      </c>
      <c r="F343" s="151">
        <f>D343+E343</f>
        <v>1155220.003</v>
      </c>
      <c r="G343" s="151">
        <f>G371+G474</f>
        <v>443775</v>
      </c>
      <c r="H343" s="151">
        <f>H405</f>
        <v>763900</v>
      </c>
      <c r="I343" s="151">
        <f>I373+I383</f>
        <v>0</v>
      </c>
      <c r="J343" s="151">
        <f>G343+H343</f>
        <v>1207675</v>
      </c>
      <c r="K343" s="151">
        <f>K373+K383</f>
        <v>0</v>
      </c>
      <c r="L343" s="151">
        <f>L373+L383</f>
        <v>0</v>
      </c>
      <c r="M343" s="151">
        <f>M373+M383</f>
        <v>0</v>
      </c>
      <c r="N343" s="151">
        <f>N371</f>
        <v>352520</v>
      </c>
      <c r="O343" s="151">
        <f>O405</f>
        <v>787532</v>
      </c>
      <c r="P343" s="151">
        <f>N343+O343</f>
        <v>1140052</v>
      </c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</row>
    <row r="344" spans="1:16" ht="36" customHeight="1">
      <c r="A344" s="8" t="s">
        <v>128</v>
      </c>
      <c r="B344" s="6"/>
      <c r="C344" s="6"/>
      <c r="D344" s="35"/>
      <c r="E344" s="35"/>
      <c r="F344" s="35"/>
      <c r="G344" s="35"/>
      <c r="H344" s="35"/>
      <c r="I344" s="35"/>
      <c r="J344" s="35"/>
      <c r="K344" s="7"/>
      <c r="L344" s="35"/>
      <c r="M344" s="35"/>
      <c r="N344" s="35"/>
      <c r="O344" s="35"/>
      <c r="P344" s="35"/>
    </row>
    <row r="345" spans="1:149" s="38" customFormat="1" ht="22.5">
      <c r="A345" s="33" t="s">
        <v>384</v>
      </c>
      <c r="B345" s="34"/>
      <c r="C345" s="34"/>
      <c r="D345" s="35">
        <f>D347</f>
        <v>2700000</v>
      </c>
      <c r="E345" s="35"/>
      <c r="F345" s="35">
        <f>F347</f>
        <v>2700000</v>
      </c>
      <c r="G345" s="35">
        <f>G349*G351+800000-2000-220000-11090</f>
        <v>2566910</v>
      </c>
      <c r="H345" s="35"/>
      <c r="I345" s="35"/>
      <c r="J345" s="35">
        <f>J347</f>
        <v>2578000</v>
      </c>
      <c r="K345" s="35"/>
      <c r="L345" s="35"/>
      <c r="M345" s="35"/>
      <c r="N345" s="35">
        <f>N347</f>
        <v>2934892</v>
      </c>
      <c r="O345" s="35"/>
      <c r="P345" s="35">
        <f>N345</f>
        <v>2934892</v>
      </c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</row>
    <row r="346" spans="1:16" ht="11.25">
      <c r="A346" s="5" t="s">
        <v>38</v>
      </c>
      <c r="B346" s="36"/>
      <c r="C346" s="36"/>
      <c r="D346" s="29"/>
      <c r="E346" s="29"/>
      <c r="F346" s="29"/>
      <c r="G346" s="29"/>
      <c r="H346" s="29"/>
      <c r="I346" s="29"/>
      <c r="J346" s="29"/>
      <c r="K346" s="7"/>
      <c r="L346" s="29"/>
      <c r="M346" s="29"/>
      <c r="N346" s="29"/>
      <c r="O346" s="29"/>
      <c r="P346" s="29"/>
    </row>
    <row r="347" spans="1:16" ht="23.25" customHeight="1">
      <c r="A347" s="8" t="s">
        <v>267</v>
      </c>
      <c r="B347" s="6"/>
      <c r="C347" s="6"/>
      <c r="D347" s="7">
        <f>(D349*D351)+280000+700000</f>
        <v>2700000</v>
      </c>
      <c r="E347" s="7"/>
      <c r="F347" s="7">
        <f>D347</f>
        <v>2700000</v>
      </c>
      <c r="G347" s="7">
        <f>G349*G351+800000-2000-220000</f>
        <v>2578000</v>
      </c>
      <c r="H347" s="7"/>
      <c r="I347" s="7"/>
      <c r="J347" s="7">
        <f>G347</f>
        <v>2578000</v>
      </c>
      <c r="K347" s="7">
        <f>G347/D347*100</f>
        <v>95.48148148148148</v>
      </c>
      <c r="L347" s="7"/>
      <c r="M347" s="7"/>
      <c r="N347" s="7">
        <f>N349*N351+700000+34892</f>
        <v>2934892</v>
      </c>
      <c r="O347" s="7"/>
      <c r="P347" s="7">
        <f>N347</f>
        <v>2934892</v>
      </c>
    </row>
    <row r="348" spans="1:16" ht="11.25">
      <c r="A348" s="5" t="s">
        <v>5</v>
      </c>
      <c r="B348" s="36"/>
      <c r="C348" s="36"/>
      <c r="D348" s="29"/>
      <c r="E348" s="29"/>
      <c r="F348" s="7"/>
      <c r="G348" s="29"/>
      <c r="H348" s="29"/>
      <c r="I348" s="29"/>
      <c r="J348" s="7"/>
      <c r="K348" s="7"/>
      <c r="L348" s="29"/>
      <c r="M348" s="29"/>
      <c r="N348" s="29"/>
      <c r="O348" s="29"/>
      <c r="P348" s="7"/>
    </row>
    <row r="349" spans="1:16" ht="22.5">
      <c r="A349" s="8" t="s">
        <v>266</v>
      </c>
      <c r="B349" s="6"/>
      <c r="C349" s="6"/>
      <c r="D349" s="7">
        <v>8</v>
      </c>
      <c r="E349" s="7"/>
      <c r="F349" s="7">
        <f>D349</f>
        <v>8</v>
      </c>
      <c r="G349" s="7">
        <v>8</v>
      </c>
      <c r="H349" s="7"/>
      <c r="I349" s="7"/>
      <c r="J349" s="7">
        <f>G349</f>
        <v>8</v>
      </c>
      <c r="K349" s="7">
        <f>G349/D349*100</f>
        <v>100</v>
      </c>
      <c r="L349" s="7"/>
      <c r="M349" s="7"/>
      <c r="N349" s="7">
        <v>8</v>
      </c>
      <c r="O349" s="7"/>
      <c r="P349" s="7">
        <f>N349</f>
        <v>8</v>
      </c>
    </row>
    <row r="350" spans="1:16" ht="11.25">
      <c r="A350" s="5" t="s">
        <v>7</v>
      </c>
      <c r="B350" s="36"/>
      <c r="C350" s="36"/>
      <c r="D350" s="29"/>
      <c r="E350" s="29"/>
      <c r="F350" s="7"/>
      <c r="G350" s="29"/>
      <c r="H350" s="29"/>
      <c r="I350" s="29"/>
      <c r="J350" s="7"/>
      <c r="K350" s="7"/>
      <c r="L350" s="29"/>
      <c r="M350" s="29"/>
      <c r="N350" s="29"/>
      <c r="O350" s="29"/>
      <c r="P350" s="7"/>
    </row>
    <row r="351" spans="1:16" ht="22.5">
      <c r="A351" s="8" t="s">
        <v>268</v>
      </c>
      <c r="B351" s="6"/>
      <c r="C351" s="6"/>
      <c r="D351" s="7">
        <v>215000</v>
      </c>
      <c r="E351" s="7"/>
      <c r="F351" s="7">
        <f>D351</f>
        <v>215000</v>
      </c>
      <c r="G351" s="7">
        <v>250000</v>
      </c>
      <c r="H351" s="7"/>
      <c r="I351" s="7"/>
      <c r="J351" s="7">
        <f>G351</f>
        <v>250000</v>
      </c>
      <c r="K351" s="7">
        <f>G351/D351*100</f>
        <v>116.27906976744187</v>
      </c>
      <c r="L351" s="7"/>
      <c r="M351" s="7"/>
      <c r="N351" s="7">
        <v>275000</v>
      </c>
      <c r="O351" s="7"/>
      <c r="P351" s="7">
        <f>N351</f>
        <v>275000</v>
      </c>
    </row>
    <row r="352" spans="1:149" s="38" customFormat="1" ht="36" customHeight="1">
      <c r="A352" s="33" t="s">
        <v>385</v>
      </c>
      <c r="B352" s="34"/>
      <c r="C352" s="34"/>
      <c r="D352" s="44">
        <f>D356*D359</f>
        <v>163000</v>
      </c>
      <c r="E352" s="44"/>
      <c r="F352" s="44">
        <f>D352+E352</f>
        <v>163000</v>
      </c>
      <c r="G352" s="44">
        <f>G356*G359</f>
        <v>300000</v>
      </c>
      <c r="H352" s="44"/>
      <c r="I352" s="44"/>
      <c r="J352" s="44">
        <f>J356*J359</f>
        <v>300000</v>
      </c>
      <c r="K352" s="44" t="e">
        <f>K356*K359</f>
        <v>#REF!</v>
      </c>
      <c r="L352" s="44">
        <f>L356*L359</f>
        <v>0</v>
      </c>
      <c r="M352" s="44">
        <f>M356*M359</f>
        <v>0</v>
      </c>
      <c r="N352" s="44">
        <f>N356*N359</f>
        <v>350000</v>
      </c>
      <c r="O352" s="44"/>
      <c r="P352" s="44">
        <f>P356*P359+P357</f>
        <v>350005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</row>
    <row r="353" spans="1:16" ht="11.25">
      <c r="A353" s="5" t="s">
        <v>38</v>
      </c>
      <c r="B353" s="36"/>
      <c r="C353" s="36"/>
      <c r="D353" s="43"/>
      <c r="E353" s="43"/>
      <c r="F353" s="43"/>
      <c r="G353" s="29"/>
      <c r="H353" s="29"/>
      <c r="I353" s="29"/>
      <c r="J353" s="29"/>
      <c r="K353" s="7"/>
      <c r="L353" s="29"/>
      <c r="M353" s="29"/>
      <c r="N353" s="29"/>
      <c r="O353" s="29"/>
      <c r="P353" s="29"/>
    </row>
    <row r="354" spans="1:16" ht="23.25" customHeight="1">
      <c r="A354" s="8" t="s">
        <v>131</v>
      </c>
      <c r="B354" s="6"/>
      <c r="C354" s="6"/>
      <c r="D354" s="43">
        <v>2752</v>
      </c>
      <c r="E354" s="43"/>
      <c r="F354" s="43">
        <f>D354</f>
        <v>2752</v>
      </c>
      <c r="G354" s="43">
        <v>1752</v>
      </c>
      <c r="H354" s="43"/>
      <c r="I354" s="43"/>
      <c r="J354" s="43">
        <f>G354</f>
        <v>1752</v>
      </c>
      <c r="K354" s="7" t="e">
        <f>#REF!/G354*100</f>
        <v>#REF!</v>
      </c>
      <c r="L354" s="7"/>
      <c r="M354" s="7"/>
      <c r="N354" s="43">
        <v>952</v>
      </c>
      <c r="O354" s="43"/>
      <c r="P354" s="43">
        <f>N354</f>
        <v>952</v>
      </c>
    </row>
    <row r="355" spans="1:16" ht="11.25">
      <c r="A355" s="5" t="s">
        <v>5</v>
      </c>
      <c r="B355" s="36"/>
      <c r="C355" s="36"/>
      <c r="D355" s="43"/>
      <c r="E355" s="43"/>
      <c r="F355" s="43"/>
      <c r="G355" s="29"/>
      <c r="H355" s="29"/>
      <c r="I355" s="29"/>
      <c r="J355" s="7"/>
      <c r="K355" s="7"/>
      <c r="L355" s="29"/>
      <c r="M355" s="29"/>
      <c r="N355" s="29"/>
      <c r="O355" s="29"/>
      <c r="P355" s="7"/>
    </row>
    <row r="356" spans="1:16" ht="24" customHeight="1">
      <c r="A356" s="8" t="s">
        <v>129</v>
      </c>
      <c r="B356" s="6"/>
      <c r="C356" s="6"/>
      <c r="D356" s="43">
        <v>1000</v>
      </c>
      <c r="E356" s="43"/>
      <c r="F356" s="43">
        <f>D356</f>
        <v>1000</v>
      </c>
      <c r="G356" s="43">
        <v>800</v>
      </c>
      <c r="H356" s="43"/>
      <c r="I356" s="43"/>
      <c r="J356" s="43">
        <f>G356</f>
        <v>800</v>
      </c>
      <c r="K356" s="7" t="e">
        <f>#REF!/G356*100</f>
        <v>#REF!</v>
      </c>
      <c r="L356" s="7"/>
      <c r="M356" s="7"/>
      <c r="N356" s="43">
        <v>875</v>
      </c>
      <c r="O356" s="43"/>
      <c r="P356" s="43">
        <f>N356</f>
        <v>875</v>
      </c>
    </row>
    <row r="357" spans="1:16" ht="33.75" customHeight="1">
      <c r="A357" s="8" t="s">
        <v>201</v>
      </c>
      <c r="B357" s="6"/>
      <c r="C357" s="6"/>
      <c r="D357" s="43"/>
      <c r="E357" s="43"/>
      <c r="F357" s="43"/>
      <c r="G357" s="43">
        <v>0</v>
      </c>
      <c r="H357" s="43"/>
      <c r="I357" s="43"/>
      <c r="J357" s="43"/>
      <c r="K357" s="7"/>
      <c r="L357" s="7"/>
      <c r="M357" s="7"/>
      <c r="N357" s="43">
        <v>5</v>
      </c>
      <c r="O357" s="43"/>
      <c r="P357" s="43">
        <f>N357</f>
        <v>5</v>
      </c>
    </row>
    <row r="358" spans="1:16" ht="11.25">
      <c r="A358" s="5" t="s">
        <v>7</v>
      </c>
      <c r="B358" s="36"/>
      <c r="C358" s="36"/>
      <c r="D358" s="43"/>
      <c r="E358" s="43"/>
      <c r="F358" s="43"/>
      <c r="G358" s="43"/>
      <c r="H358" s="43"/>
      <c r="I358" s="43"/>
      <c r="J358" s="43"/>
      <c r="K358" s="7"/>
      <c r="L358" s="29"/>
      <c r="M358" s="29"/>
      <c r="N358" s="43"/>
      <c r="O358" s="43"/>
      <c r="P358" s="43"/>
    </row>
    <row r="359" spans="1:16" ht="24" customHeight="1">
      <c r="A359" s="8" t="s">
        <v>40</v>
      </c>
      <c r="B359" s="6"/>
      <c r="C359" s="6"/>
      <c r="D359" s="43">
        <v>163</v>
      </c>
      <c r="E359" s="43"/>
      <c r="F359" s="43">
        <f>D359</f>
        <v>163</v>
      </c>
      <c r="G359" s="43">
        <v>375</v>
      </c>
      <c r="H359" s="43"/>
      <c r="I359" s="43"/>
      <c r="J359" s="43">
        <f>G359</f>
        <v>375</v>
      </c>
      <c r="K359" s="7" t="e">
        <f>#REF!/G359*100</f>
        <v>#REF!</v>
      </c>
      <c r="L359" s="7"/>
      <c r="M359" s="7"/>
      <c r="N359" s="43">
        <v>400</v>
      </c>
      <c r="O359" s="43"/>
      <c r="P359" s="43">
        <f>N359</f>
        <v>400</v>
      </c>
    </row>
    <row r="360" spans="1:16" ht="11.25">
      <c r="A360" s="53" t="s">
        <v>6</v>
      </c>
      <c r="B360" s="54"/>
      <c r="C360" s="54"/>
      <c r="D360" s="47"/>
      <c r="E360" s="47"/>
      <c r="F360" s="47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49" s="22" customFormat="1" ht="39" customHeight="1">
      <c r="A361" s="8" t="s">
        <v>130</v>
      </c>
      <c r="B361" s="6"/>
      <c r="C361" s="6"/>
      <c r="D361" s="43">
        <f>D356/D354*100</f>
        <v>36.337209302325576</v>
      </c>
      <c r="E361" s="43"/>
      <c r="F361" s="43">
        <f>D361</f>
        <v>36.337209302325576</v>
      </c>
      <c r="G361" s="43">
        <f>G356/G354*100</f>
        <v>45.662100456621005</v>
      </c>
      <c r="H361" s="43"/>
      <c r="I361" s="43"/>
      <c r="J361" s="43">
        <f>G361</f>
        <v>45.662100456621005</v>
      </c>
      <c r="K361" s="7"/>
      <c r="L361" s="7"/>
      <c r="M361" s="7"/>
      <c r="N361" s="43">
        <f>N356/N354*100</f>
        <v>91.91176470588235</v>
      </c>
      <c r="O361" s="43"/>
      <c r="P361" s="43">
        <f>N361</f>
        <v>91.91176470588235</v>
      </c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</row>
    <row r="362" spans="1:149" s="22" customFormat="1" ht="45.75" customHeight="1">
      <c r="A362" s="33" t="s">
        <v>394</v>
      </c>
      <c r="B362" s="6"/>
      <c r="C362" s="6"/>
      <c r="D362" s="43"/>
      <c r="E362" s="43"/>
      <c r="F362" s="43"/>
      <c r="G362" s="56">
        <f>G364</f>
        <v>250000</v>
      </c>
      <c r="H362" s="43"/>
      <c r="I362" s="43"/>
      <c r="J362" s="43">
        <f>G362</f>
        <v>250000</v>
      </c>
      <c r="K362" s="7"/>
      <c r="L362" s="7"/>
      <c r="M362" s="7"/>
      <c r="N362" s="43"/>
      <c r="O362" s="43"/>
      <c r="P362" s="43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</row>
    <row r="363" spans="1:149" s="22" customFormat="1" ht="15" customHeight="1">
      <c r="A363" s="5" t="s">
        <v>38</v>
      </c>
      <c r="B363" s="6"/>
      <c r="C363" s="6"/>
      <c r="D363" s="43"/>
      <c r="E363" s="43"/>
      <c r="F363" s="43"/>
      <c r="G363" s="43"/>
      <c r="H363" s="43"/>
      <c r="I363" s="43"/>
      <c r="J363" s="43"/>
      <c r="K363" s="7"/>
      <c r="L363" s="7"/>
      <c r="M363" s="7"/>
      <c r="N363" s="43"/>
      <c r="O363" s="43"/>
      <c r="P363" s="43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</row>
    <row r="364" spans="1:149" s="22" customFormat="1" ht="22.5" customHeight="1">
      <c r="A364" s="8" t="s">
        <v>397</v>
      </c>
      <c r="B364" s="6"/>
      <c r="C364" s="6"/>
      <c r="D364" s="43"/>
      <c r="E364" s="43"/>
      <c r="F364" s="43"/>
      <c r="G364" s="43">
        <f>G366*G368</f>
        <v>250000</v>
      </c>
      <c r="H364" s="43"/>
      <c r="I364" s="43"/>
      <c r="J364" s="43">
        <f>G364</f>
        <v>250000</v>
      </c>
      <c r="K364" s="7"/>
      <c r="L364" s="7"/>
      <c r="M364" s="7"/>
      <c r="N364" s="43"/>
      <c r="O364" s="43"/>
      <c r="P364" s="43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</row>
    <row r="365" spans="1:149" s="22" customFormat="1" ht="15.75" customHeight="1">
      <c r="A365" s="5" t="s">
        <v>5</v>
      </c>
      <c r="B365" s="6"/>
      <c r="C365" s="6"/>
      <c r="D365" s="43"/>
      <c r="E365" s="43"/>
      <c r="F365" s="43"/>
      <c r="G365" s="43"/>
      <c r="H365" s="43"/>
      <c r="I365" s="43"/>
      <c r="J365" s="43"/>
      <c r="K365" s="7"/>
      <c r="L365" s="7"/>
      <c r="M365" s="7"/>
      <c r="N365" s="43"/>
      <c r="O365" s="43"/>
      <c r="P365" s="43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</row>
    <row r="366" spans="1:149" s="22" customFormat="1" ht="22.5" customHeight="1">
      <c r="A366" s="8" t="s">
        <v>395</v>
      </c>
      <c r="B366" s="6"/>
      <c r="C366" s="6"/>
      <c r="D366" s="43"/>
      <c r="E366" s="43"/>
      <c r="F366" s="43"/>
      <c r="G366" s="43">
        <v>5000</v>
      </c>
      <c r="H366" s="43"/>
      <c r="I366" s="43"/>
      <c r="J366" s="43">
        <f>G366</f>
        <v>5000</v>
      </c>
      <c r="K366" s="7"/>
      <c r="L366" s="7"/>
      <c r="M366" s="7"/>
      <c r="N366" s="43"/>
      <c r="O366" s="43"/>
      <c r="P366" s="43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</row>
    <row r="367" spans="1:149" s="22" customFormat="1" ht="22.5" customHeight="1">
      <c r="A367" s="5" t="s">
        <v>7</v>
      </c>
      <c r="B367" s="6"/>
      <c r="C367" s="6"/>
      <c r="D367" s="43"/>
      <c r="E367" s="43"/>
      <c r="F367" s="43"/>
      <c r="G367" s="43"/>
      <c r="H367" s="43"/>
      <c r="I367" s="43"/>
      <c r="J367" s="43"/>
      <c r="K367" s="7"/>
      <c r="L367" s="7"/>
      <c r="M367" s="7"/>
      <c r="N367" s="43"/>
      <c r="O367" s="43"/>
      <c r="P367" s="43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</row>
    <row r="368" spans="1:149" s="22" customFormat="1" ht="22.5" customHeight="1">
      <c r="A368" s="8" t="s">
        <v>396</v>
      </c>
      <c r="B368" s="6"/>
      <c r="C368" s="6"/>
      <c r="D368" s="43"/>
      <c r="E368" s="43"/>
      <c r="F368" s="43"/>
      <c r="G368" s="43">
        <v>50</v>
      </c>
      <c r="H368" s="43"/>
      <c r="I368" s="43"/>
      <c r="J368" s="43">
        <f>G368</f>
        <v>50</v>
      </c>
      <c r="K368" s="7"/>
      <c r="L368" s="7"/>
      <c r="M368" s="7"/>
      <c r="N368" s="43"/>
      <c r="O368" s="43"/>
      <c r="P368" s="43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</row>
    <row r="369" spans="1:149" s="22" customFormat="1" ht="16.5" customHeight="1">
      <c r="A369" s="53" t="s">
        <v>6</v>
      </c>
      <c r="B369" s="6"/>
      <c r="C369" s="6"/>
      <c r="D369" s="43"/>
      <c r="E369" s="43"/>
      <c r="F369" s="43"/>
      <c r="G369" s="43"/>
      <c r="H369" s="43"/>
      <c r="I369" s="43"/>
      <c r="J369" s="43"/>
      <c r="K369" s="7"/>
      <c r="L369" s="7"/>
      <c r="M369" s="7"/>
      <c r="N369" s="43"/>
      <c r="O369" s="43"/>
      <c r="P369" s="43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</row>
    <row r="370" spans="1:149" s="22" customFormat="1" ht="22.5" customHeight="1">
      <c r="A370" s="8" t="s">
        <v>130</v>
      </c>
      <c r="B370" s="6"/>
      <c r="C370" s="6"/>
      <c r="D370" s="43"/>
      <c r="E370" s="43"/>
      <c r="F370" s="43"/>
      <c r="G370" s="43"/>
      <c r="H370" s="43"/>
      <c r="I370" s="43"/>
      <c r="J370" s="43"/>
      <c r="K370" s="7"/>
      <c r="L370" s="7"/>
      <c r="M370" s="7"/>
      <c r="N370" s="43"/>
      <c r="O370" s="43"/>
      <c r="P370" s="43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</row>
    <row r="371" spans="1:149" s="22" customFormat="1" ht="24" customHeight="1">
      <c r="A371" s="36" t="s">
        <v>300</v>
      </c>
      <c r="B371" s="20"/>
      <c r="C371" s="20"/>
      <c r="D371" s="56">
        <f>D373+D383</f>
        <v>312380.003</v>
      </c>
      <c r="E371" s="56"/>
      <c r="F371" s="56">
        <f>F373+F383</f>
        <v>312380.003</v>
      </c>
      <c r="G371" s="56">
        <f>G373+G383</f>
        <v>343775</v>
      </c>
      <c r="H371" s="56"/>
      <c r="I371" s="56"/>
      <c r="J371" s="56">
        <f>J373+J383</f>
        <v>343775</v>
      </c>
      <c r="K371" s="56"/>
      <c r="L371" s="56"/>
      <c r="M371" s="56"/>
      <c r="N371" s="56">
        <f>N373+N383</f>
        <v>352520</v>
      </c>
      <c r="O371" s="56"/>
      <c r="P371" s="56">
        <f>P373+P383</f>
        <v>352520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</row>
    <row r="372" spans="1:149" s="22" customFormat="1" ht="24" customHeight="1">
      <c r="A372" s="8" t="s">
        <v>277</v>
      </c>
      <c r="B372" s="20"/>
      <c r="C372" s="20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</row>
    <row r="373" spans="1:149" s="59" customFormat="1" ht="44.25" customHeight="1">
      <c r="A373" s="57" t="s">
        <v>401</v>
      </c>
      <c r="B373" s="57"/>
      <c r="C373" s="57"/>
      <c r="D373" s="44">
        <f>D375+D376</f>
        <v>209000.003</v>
      </c>
      <c r="E373" s="44"/>
      <c r="F373" s="44">
        <f>F375+F376</f>
        <v>209000.003</v>
      </c>
      <c r="G373" s="44">
        <f>G375+G376</f>
        <v>224075</v>
      </c>
      <c r="H373" s="44"/>
      <c r="I373" s="44"/>
      <c r="J373" s="44">
        <f>J375+J376</f>
        <v>224075</v>
      </c>
      <c r="K373" s="44"/>
      <c r="L373" s="44"/>
      <c r="M373" s="44"/>
      <c r="N373" s="44">
        <f>N375+N376</f>
        <v>237530</v>
      </c>
      <c r="O373" s="44"/>
      <c r="P373" s="44">
        <f>P375+P376</f>
        <v>237530</v>
      </c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</row>
    <row r="374" spans="1:16" ht="11.25">
      <c r="A374" s="60" t="s">
        <v>4</v>
      </c>
      <c r="B374" s="60"/>
      <c r="C374" s="60"/>
      <c r="D374" s="61"/>
      <c r="E374" s="61"/>
      <c r="F374" s="61"/>
      <c r="G374" s="61"/>
      <c r="H374" s="61"/>
      <c r="I374" s="61"/>
      <c r="J374" s="61"/>
      <c r="K374" s="62"/>
      <c r="L374" s="61"/>
      <c r="M374" s="61"/>
      <c r="N374" s="61"/>
      <c r="O374" s="61"/>
      <c r="P374" s="61"/>
    </row>
    <row r="375" spans="1:16" ht="33.75">
      <c r="A375" s="11" t="s">
        <v>389</v>
      </c>
      <c r="B375" s="11"/>
      <c r="C375" s="11"/>
      <c r="D375" s="42">
        <f>D378*D381</f>
        <v>132000.003</v>
      </c>
      <c r="E375" s="42"/>
      <c r="F375" s="42">
        <f>F378*F381</f>
        <v>132000.003</v>
      </c>
      <c r="G375" s="42">
        <f>G378*G381</f>
        <v>141525</v>
      </c>
      <c r="H375" s="42"/>
      <c r="I375" s="42"/>
      <c r="J375" s="42">
        <f>J378*J381</f>
        <v>141525</v>
      </c>
      <c r="K375" s="42">
        <f>G375/D375*100</f>
        <v>107.21590665418394</v>
      </c>
      <c r="L375" s="42"/>
      <c r="M375" s="42"/>
      <c r="N375" s="42">
        <f>N378*N381</f>
        <v>150030</v>
      </c>
      <c r="O375" s="42"/>
      <c r="P375" s="42">
        <f>P378*P381</f>
        <v>150030</v>
      </c>
    </row>
    <row r="376" spans="1:16" ht="36.75" customHeight="1">
      <c r="A376" s="11" t="s">
        <v>390</v>
      </c>
      <c r="B376" s="11"/>
      <c r="C376" s="11"/>
      <c r="D376" s="42">
        <f>D379*D382</f>
        <v>77000</v>
      </c>
      <c r="E376" s="42"/>
      <c r="F376" s="42">
        <f>F379*F382</f>
        <v>77000</v>
      </c>
      <c r="G376" s="42">
        <f>G379*G382</f>
        <v>82550</v>
      </c>
      <c r="H376" s="42"/>
      <c r="I376" s="42"/>
      <c r="J376" s="42">
        <f>J379*J382</f>
        <v>82550</v>
      </c>
      <c r="K376" s="42"/>
      <c r="L376" s="42"/>
      <c r="M376" s="42"/>
      <c r="N376" s="42">
        <f>N379*N382</f>
        <v>87500</v>
      </c>
      <c r="O376" s="42"/>
      <c r="P376" s="42">
        <f>P379*P382</f>
        <v>87500</v>
      </c>
    </row>
    <row r="377" spans="1:16" ht="11.25">
      <c r="A377" s="13" t="s">
        <v>5</v>
      </c>
      <c r="B377" s="13"/>
      <c r="C377" s="13"/>
      <c r="D377" s="10"/>
      <c r="E377" s="10"/>
      <c r="F377" s="42"/>
      <c r="G377" s="10"/>
      <c r="H377" s="10"/>
      <c r="I377" s="10"/>
      <c r="J377" s="42"/>
      <c r="K377" s="42"/>
      <c r="L377" s="10"/>
      <c r="M377" s="10"/>
      <c r="N377" s="10"/>
      <c r="O377" s="10"/>
      <c r="P377" s="42"/>
    </row>
    <row r="378" spans="1:16" ht="25.5" customHeight="1">
      <c r="A378" s="11" t="s">
        <v>279</v>
      </c>
      <c r="B378" s="11"/>
      <c r="C378" s="11"/>
      <c r="D378" s="42">
        <v>9</v>
      </c>
      <c r="E378" s="42"/>
      <c r="F378" s="42">
        <f>D378</f>
        <v>9</v>
      </c>
      <c r="G378" s="42">
        <v>9</v>
      </c>
      <c r="H378" s="42"/>
      <c r="I378" s="42"/>
      <c r="J378" s="42">
        <f>G378+H378</f>
        <v>9</v>
      </c>
      <c r="K378" s="42">
        <f>G378/D378*100</f>
        <v>100</v>
      </c>
      <c r="L378" s="42"/>
      <c r="M378" s="42"/>
      <c r="N378" s="42">
        <v>9</v>
      </c>
      <c r="O378" s="42"/>
      <c r="P378" s="42">
        <f>N378</f>
        <v>9</v>
      </c>
    </row>
    <row r="379" spans="1:16" ht="25.5" customHeight="1">
      <c r="A379" s="11" t="s">
        <v>278</v>
      </c>
      <c r="B379" s="11"/>
      <c r="C379" s="11"/>
      <c r="D379" s="42">
        <v>10</v>
      </c>
      <c r="E379" s="42"/>
      <c r="F379" s="42">
        <v>10</v>
      </c>
      <c r="G379" s="42">
        <v>10</v>
      </c>
      <c r="H379" s="42"/>
      <c r="I379" s="42"/>
      <c r="J379" s="42">
        <v>10</v>
      </c>
      <c r="K379" s="42"/>
      <c r="L379" s="42"/>
      <c r="M379" s="42"/>
      <c r="N379" s="42">
        <v>10</v>
      </c>
      <c r="O379" s="42"/>
      <c r="P379" s="42">
        <v>10</v>
      </c>
    </row>
    <row r="380" spans="1:16" ht="11.25">
      <c r="A380" s="13" t="s">
        <v>7</v>
      </c>
      <c r="B380" s="13"/>
      <c r="C380" s="13"/>
      <c r="D380" s="63"/>
      <c r="E380" s="63"/>
      <c r="F380" s="64"/>
      <c r="G380" s="63"/>
      <c r="H380" s="63"/>
      <c r="I380" s="63"/>
      <c r="J380" s="64"/>
      <c r="K380" s="64"/>
      <c r="L380" s="63"/>
      <c r="M380" s="63"/>
      <c r="N380" s="63"/>
      <c r="O380" s="63"/>
      <c r="P380" s="64"/>
    </row>
    <row r="381" spans="1:16" ht="33.75">
      <c r="A381" s="11" t="s">
        <v>280</v>
      </c>
      <c r="B381" s="11"/>
      <c r="C381" s="11"/>
      <c r="D381" s="64">
        <v>14666.667</v>
      </c>
      <c r="E381" s="64"/>
      <c r="F381" s="64">
        <f>D381</f>
        <v>14666.667</v>
      </c>
      <c r="G381" s="64">
        <v>15725</v>
      </c>
      <c r="H381" s="64"/>
      <c r="I381" s="64"/>
      <c r="J381" s="64">
        <f>G381</f>
        <v>15725</v>
      </c>
      <c r="K381" s="64">
        <f>G381/D381*100</f>
        <v>107.21590665418394</v>
      </c>
      <c r="L381" s="64"/>
      <c r="M381" s="64"/>
      <c r="N381" s="64">
        <v>16670</v>
      </c>
      <c r="O381" s="64"/>
      <c r="P381" s="64">
        <f>N381</f>
        <v>16670</v>
      </c>
    </row>
    <row r="382" spans="1:16" ht="24" customHeight="1">
      <c r="A382" s="11" t="s">
        <v>281</v>
      </c>
      <c r="B382" s="11"/>
      <c r="C382" s="11"/>
      <c r="D382" s="42">
        <v>7700</v>
      </c>
      <c r="E382" s="42"/>
      <c r="F382" s="42">
        <v>7700</v>
      </c>
      <c r="G382" s="42">
        <v>8255</v>
      </c>
      <c r="H382" s="42"/>
      <c r="I382" s="42"/>
      <c r="J382" s="42">
        <v>8255</v>
      </c>
      <c r="K382" s="64"/>
      <c r="L382" s="64"/>
      <c r="M382" s="64"/>
      <c r="N382" s="42">
        <v>8750</v>
      </c>
      <c r="O382" s="42"/>
      <c r="P382" s="42">
        <v>8750</v>
      </c>
    </row>
    <row r="383" spans="1:149" s="38" customFormat="1" ht="33.75">
      <c r="A383" s="9" t="s">
        <v>402</v>
      </c>
      <c r="B383" s="9"/>
      <c r="C383" s="9"/>
      <c r="D383" s="10">
        <f>D385+D386+D387+D388+D389+D390</f>
        <v>103380</v>
      </c>
      <c r="E383" s="10"/>
      <c r="F383" s="10">
        <f>D383+E383</f>
        <v>103380</v>
      </c>
      <c r="G383" s="10">
        <f>G385+G386+G387+G388+G389+G390</f>
        <v>119700</v>
      </c>
      <c r="H383" s="10"/>
      <c r="I383" s="10"/>
      <c r="J383" s="10">
        <f>G383+H383</f>
        <v>119700</v>
      </c>
      <c r="K383" s="10"/>
      <c r="L383" s="10"/>
      <c r="M383" s="10"/>
      <c r="N383" s="10">
        <f>N385+N386+N387+N388+N389+N390</f>
        <v>114990</v>
      </c>
      <c r="O383" s="10"/>
      <c r="P383" s="10">
        <f>N383</f>
        <v>114990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</row>
    <row r="384" spans="1:149" s="38" customFormat="1" ht="11.25">
      <c r="A384" s="60" t="s">
        <v>4</v>
      </c>
      <c r="B384" s="9"/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</row>
    <row r="385" spans="1:149" s="38" customFormat="1" ht="32.25" customHeight="1">
      <c r="A385" s="9" t="s">
        <v>282</v>
      </c>
      <c r="B385" s="9"/>
      <c r="C385" s="9"/>
      <c r="D385" s="10">
        <f>D392*D399</f>
        <v>7200</v>
      </c>
      <c r="E385" s="10"/>
      <c r="F385" s="10">
        <f aca="true" t="shared" si="44" ref="F385:F390">D385+E385</f>
        <v>7200</v>
      </c>
      <c r="G385" s="10">
        <f>G392*G399</f>
        <v>7800</v>
      </c>
      <c r="H385" s="10"/>
      <c r="I385" s="10"/>
      <c r="J385" s="10">
        <f aca="true" t="shared" si="45" ref="J385:J390">G385+H385</f>
        <v>7800</v>
      </c>
      <c r="K385" s="10"/>
      <c r="L385" s="10"/>
      <c r="M385" s="10"/>
      <c r="N385" s="10">
        <f>N392*N399</f>
        <v>8250</v>
      </c>
      <c r="O385" s="10"/>
      <c r="P385" s="10">
        <f aca="true" t="shared" si="46" ref="P385:P390">N385+O385</f>
        <v>8250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</row>
    <row r="386" spans="1:149" s="38" customFormat="1" ht="33.75">
      <c r="A386" s="9" t="s">
        <v>283</v>
      </c>
      <c r="B386" s="9"/>
      <c r="C386" s="9"/>
      <c r="D386" s="10">
        <f>D400*D393</f>
        <v>22800</v>
      </c>
      <c r="E386" s="10"/>
      <c r="F386" s="10">
        <f t="shared" si="44"/>
        <v>22800</v>
      </c>
      <c r="G386" s="10">
        <f>G400*G393</f>
        <v>24600</v>
      </c>
      <c r="H386" s="10"/>
      <c r="I386" s="10"/>
      <c r="J386" s="10">
        <f t="shared" si="45"/>
        <v>24600</v>
      </c>
      <c r="K386" s="10"/>
      <c r="L386" s="10"/>
      <c r="M386" s="10"/>
      <c r="N386" s="10">
        <f>N400*N393</f>
        <v>26100</v>
      </c>
      <c r="O386" s="10"/>
      <c r="P386" s="10">
        <f t="shared" si="46"/>
        <v>26100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</row>
    <row r="387" spans="1:149" s="38" customFormat="1" ht="33.75">
      <c r="A387" s="9" t="s">
        <v>284</v>
      </c>
      <c r="B387" s="9"/>
      <c r="C387" s="9"/>
      <c r="D387" s="10">
        <f>D394*D401</f>
        <v>40500</v>
      </c>
      <c r="E387" s="10"/>
      <c r="F387" s="10">
        <f t="shared" si="44"/>
        <v>40500</v>
      </c>
      <c r="G387" s="10">
        <f>G394*G401</f>
        <v>43500</v>
      </c>
      <c r="H387" s="10"/>
      <c r="I387" s="10"/>
      <c r="J387" s="10">
        <f t="shared" si="45"/>
        <v>43500</v>
      </c>
      <c r="K387" s="10"/>
      <c r="L387" s="10"/>
      <c r="M387" s="10"/>
      <c r="N387" s="10">
        <f>N394*N401</f>
        <v>46200</v>
      </c>
      <c r="O387" s="10"/>
      <c r="P387" s="10">
        <f t="shared" si="46"/>
        <v>46200</v>
      </c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</row>
    <row r="388" spans="1:149" s="38" customFormat="1" ht="33.75">
      <c r="A388" s="9" t="s">
        <v>285</v>
      </c>
      <c r="B388" s="9"/>
      <c r="C388" s="9"/>
      <c r="D388" s="10">
        <f>D402*D395</f>
        <v>25200</v>
      </c>
      <c r="E388" s="10"/>
      <c r="F388" s="10">
        <f t="shared" si="44"/>
        <v>25200</v>
      </c>
      <c r="G388" s="10">
        <f>G395*G402</f>
        <v>27000</v>
      </c>
      <c r="H388" s="10"/>
      <c r="I388" s="10"/>
      <c r="J388" s="10">
        <f t="shared" si="45"/>
        <v>27000</v>
      </c>
      <c r="K388" s="10"/>
      <c r="L388" s="10"/>
      <c r="M388" s="10"/>
      <c r="N388" s="10">
        <f>N402*N395</f>
        <v>28800</v>
      </c>
      <c r="O388" s="10"/>
      <c r="P388" s="10">
        <f t="shared" si="46"/>
        <v>28800</v>
      </c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</row>
    <row r="389" spans="1:149" s="38" customFormat="1" ht="22.5">
      <c r="A389" s="9" t="s">
        <v>286</v>
      </c>
      <c r="B389" s="9"/>
      <c r="C389" s="9"/>
      <c r="D389" s="10">
        <f>D396*D403</f>
        <v>6120</v>
      </c>
      <c r="E389" s="10"/>
      <c r="F389" s="10">
        <f t="shared" si="44"/>
        <v>6120</v>
      </c>
      <c r="G389" s="10">
        <f>G396*G403</f>
        <v>6600</v>
      </c>
      <c r="H389" s="10"/>
      <c r="I389" s="10"/>
      <c r="J389" s="10">
        <f t="shared" si="45"/>
        <v>6600</v>
      </c>
      <c r="K389" s="10"/>
      <c r="L389" s="10"/>
      <c r="M389" s="10"/>
      <c r="N389" s="10">
        <f>N396*N402</f>
        <v>3840</v>
      </c>
      <c r="O389" s="10"/>
      <c r="P389" s="10">
        <f t="shared" si="46"/>
        <v>3840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</row>
    <row r="390" spans="1:149" s="38" customFormat="1" ht="33.75">
      <c r="A390" s="9" t="s">
        <v>287</v>
      </c>
      <c r="B390" s="9"/>
      <c r="C390" s="9"/>
      <c r="D390" s="10">
        <f>D397*D404</f>
        <v>1560</v>
      </c>
      <c r="E390" s="10"/>
      <c r="F390" s="10">
        <f t="shared" si="44"/>
        <v>1560</v>
      </c>
      <c r="G390" s="10">
        <v>10200</v>
      </c>
      <c r="H390" s="10"/>
      <c r="I390" s="10"/>
      <c r="J390" s="10">
        <f t="shared" si="45"/>
        <v>10200</v>
      </c>
      <c r="K390" s="10"/>
      <c r="L390" s="10"/>
      <c r="M390" s="10"/>
      <c r="N390" s="10">
        <f>N397*N404</f>
        <v>1800</v>
      </c>
      <c r="O390" s="10"/>
      <c r="P390" s="10">
        <f t="shared" si="46"/>
        <v>1800</v>
      </c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</row>
    <row r="391" spans="1:16" ht="11.25">
      <c r="A391" s="13" t="s">
        <v>5</v>
      </c>
      <c r="B391" s="13"/>
      <c r="C391" s="13"/>
      <c r="D391" s="63"/>
      <c r="E391" s="63"/>
      <c r="F391" s="64"/>
      <c r="G391" s="63"/>
      <c r="H391" s="63"/>
      <c r="I391" s="63"/>
      <c r="J391" s="64"/>
      <c r="K391" s="64"/>
      <c r="L391" s="63"/>
      <c r="M391" s="63"/>
      <c r="N391" s="63"/>
      <c r="O391" s="63"/>
      <c r="P391" s="64"/>
    </row>
    <row r="392" spans="1:16" ht="33.75" customHeight="1">
      <c r="A392" s="11" t="s">
        <v>288</v>
      </c>
      <c r="B392" s="11"/>
      <c r="C392" s="11"/>
      <c r="D392" s="65">
        <v>30</v>
      </c>
      <c r="E392" s="65"/>
      <c r="F392" s="65">
        <f aca="true" t="shared" si="47" ref="F392:F397">D392+E392</f>
        <v>30</v>
      </c>
      <c r="G392" s="65">
        <v>30</v>
      </c>
      <c r="H392" s="65"/>
      <c r="I392" s="65"/>
      <c r="J392" s="65">
        <f aca="true" t="shared" si="48" ref="J392:J397">G392+H392</f>
        <v>30</v>
      </c>
      <c r="K392" s="65">
        <f aca="true" t="shared" si="49" ref="K392:K397">G392/D392*100</f>
        <v>100</v>
      </c>
      <c r="L392" s="65"/>
      <c r="M392" s="65"/>
      <c r="N392" s="65">
        <v>30</v>
      </c>
      <c r="O392" s="65"/>
      <c r="P392" s="65">
        <f>N392+O392</f>
        <v>30</v>
      </c>
    </row>
    <row r="393" spans="1:16" ht="39" customHeight="1">
      <c r="A393" s="11" t="s">
        <v>289</v>
      </c>
      <c r="B393" s="11"/>
      <c r="C393" s="11"/>
      <c r="D393" s="65">
        <v>30</v>
      </c>
      <c r="E393" s="65"/>
      <c r="F393" s="65">
        <f t="shared" si="47"/>
        <v>30</v>
      </c>
      <c r="G393" s="65">
        <v>30</v>
      </c>
      <c r="H393" s="65"/>
      <c r="I393" s="65"/>
      <c r="J393" s="65">
        <f t="shared" si="48"/>
        <v>30</v>
      </c>
      <c r="K393" s="65">
        <f t="shared" si="49"/>
        <v>100</v>
      </c>
      <c r="L393" s="65"/>
      <c r="M393" s="65"/>
      <c r="N393" s="65">
        <v>30</v>
      </c>
      <c r="O393" s="65"/>
      <c r="P393" s="65">
        <f>N393+O393</f>
        <v>30</v>
      </c>
    </row>
    <row r="394" spans="1:16" ht="33.75" customHeight="1">
      <c r="A394" s="11" t="s">
        <v>290</v>
      </c>
      <c r="B394" s="11"/>
      <c r="C394" s="11"/>
      <c r="D394" s="65">
        <v>30</v>
      </c>
      <c r="E394" s="65"/>
      <c r="F394" s="65">
        <f t="shared" si="47"/>
        <v>30</v>
      </c>
      <c r="G394" s="65">
        <v>30</v>
      </c>
      <c r="H394" s="65"/>
      <c r="I394" s="65"/>
      <c r="J394" s="65">
        <f t="shared" si="48"/>
        <v>30</v>
      </c>
      <c r="K394" s="65">
        <f t="shared" si="49"/>
        <v>100</v>
      </c>
      <c r="L394" s="65"/>
      <c r="M394" s="65"/>
      <c r="N394" s="65">
        <v>30</v>
      </c>
      <c r="O394" s="65"/>
      <c r="P394" s="65">
        <f>N394+O394</f>
        <v>30</v>
      </c>
    </row>
    <row r="395" spans="1:16" ht="39" customHeight="1">
      <c r="A395" s="11" t="s">
        <v>291</v>
      </c>
      <c r="B395" s="11"/>
      <c r="C395" s="11"/>
      <c r="D395" s="65">
        <v>90</v>
      </c>
      <c r="E395" s="65"/>
      <c r="F395" s="65">
        <f t="shared" si="47"/>
        <v>90</v>
      </c>
      <c r="G395" s="65">
        <v>90</v>
      </c>
      <c r="H395" s="65"/>
      <c r="I395" s="65"/>
      <c r="J395" s="65">
        <f t="shared" si="48"/>
        <v>90</v>
      </c>
      <c r="K395" s="65">
        <f t="shared" si="49"/>
        <v>100</v>
      </c>
      <c r="L395" s="65"/>
      <c r="M395" s="65"/>
      <c r="N395" s="65">
        <v>90</v>
      </c>
      <c r="O395" s="65"/>
      <c r="P395" s="65">
        <f>N395+O395</f>
        <v>90</v>
      </c>
    </row>
    <row r="396" spans="1:16" ht="22.5">
      <c r="A396" s="11" t="s">
        <v>292</v>
      </c>
      <c r="B396" s="11"/>
      <c r="C396" s="11"/>
      <c r="D396" s="65">
        <v>12</v>
      </c>
      <c r="E396" s="65"/>
      <c r="F396" s="65">
        <f t="shared" si="47"/>
        <v>12</v>
      </c>
      <c r="G396" s="65">
        <v>12</v>
      </c>
      <c r="H396" s="65"/>
      <c r="I396" s="65"/>
      <c r="J396" s="65">
        <f t="shared" si="48"/>
        <v>12</v>
      </c>
      <c r="K396" s="65">
        <f t="shared" si="49"/>
        <v>100</v>
      </c>
      <c r="L396" s="65"/>
      <c r="M396" s="65"/>
      <c r="N396" s="65">
        <v>12</v>
      </c>
      <c r="O396" s="65"/>
      <c r="P396" s="65">
        <f>N396</f>
        <v>12</v>
      </c>
    </row>
    <row r="397" spans="1:16" ht="22.5">
      <c r="A397" s="11" t="s">
        <v>293</v>
      </c>
      <c r="B397" s="11"/>
      <c r="C397" s="11"/>
      <c r="D397" s="65">
        <v>12</v>
      </c>
      <c r="E397" s="65"/>
      <c r="F397" s="65">
        <f t="shared" si="47"/>
        <v>12</v>
      </c>
      <c r="G397" s="65">
        <v>12</v>
      </c>
      <c r="H397" s="65"/>
      <c r="I397" s="65"/>
      <c r="J397" s="65">
        <f t="shared" si="48"/>
        <v>12</v>
      </c>
      <c r="K397" s="65">
        <f t="shared" si="49"/>
        <v>100</v>
      </c>
      <c r="L397" s="65"/>
      <c r="M397" s="65"/>
      <c r="N397" s="65">
        <v>12</v>
      </c>
      <c r="O397" s="65"/>
      <c r="P397" s="65">
        <f>N397</f>
        <v>12</v>
      </c>
    </row>
    <row r="398" spans="1:16" ht="11.25">
      <c r="A398" s="13" t="s">
        <v>7</v>
      </c>
      <c r="B398" s="13"/>
      <c r="C398" s="13"/>
      <c r="D398" s="10"/>
      <c r="E398" s="10"/>
      <c r="F398" s="42"/>
      <c r="G398" s="10"/>
      <c r="H398" s="10"/>
      <c r="I398" s="10"/>
      <c r="J398" s="42"/>
      <c r="K398" s="42"/>
      <c r="L398" s="10"/>
      <c r="M398" s="10"/>
      <c r="N398" s="10"/>
      <c r="O398" s="10"/>
      <c r="P398" s="42"/>
    </row>
    <row r="399" spans="1:16" ht="41.25" customHeight="1">
      <c r="A399" s="11" t="s">
        <v>294</v>
      </c>
      <c r="B399" s="11"/>
      <c r="C399" s="11"/>
      <c r="D399" s="42">
        <v>240</v>
      </c>
      <c r="E399" s="42"/>
      <c r="F399" s="42">
        <f aca="true" t="shared" si="50" ref="F399:F404">D399+E399</f>
        <v>240</v>
      </c>
      <c r="G399" s="42">
        <v>260</v>
      </c>
      <c r="H399" s="42"/>
      <c r="I399" s="42"/>
      <c r="J399" s="42">
        <f aca="true" t="shared" si="51" ref="J399:J404">G399+H399</f>
        <v>260</v>
      </c>
      <c r="K399" s="42">
        <f>G399/D399*100</f>
        <v>108.33333333333333</v>
      </c>
      <c r="L399" s="42"/>
      <c r="M399" s="42"/>
      <c r="N399" s="42">
        <v>275</v>
      </c>
      <c r="O399" s="42"/>
      <c r="P399" s="42">
        <f>N399+O399</f>
        <v>275</v>
      </c>
    </row>
    <row r="400" spans="1:16" ht="33.75">
      <c r="A400" s="11" t="s">
        <v>295</v>
      </c>
      <c r="B400" s="11"/>
      <c r="C400" s="11"/>
      <c r="D400" s="64">
        <v>760</v>
      </c>
      <c r="E400" s="64"/>
      <c r="F400" s="64">
        <f t="shared" si="50"/>
        <v>760</v>
      </c>
      <c r="G400" s="64">
        <v>820</v>
      </c>
      <c r="H400" s="64"/>
      <c r="I400" s="64"/>
      <c r="J400" s="64">
        <f t="shared" si="51"/>
        <v>820</v>
      </c>
      <c r="K400" s="64">
        <f>G400/D400*100</f>
        <v>107.89473684210526</v>
      </c>
      <c r="L400" s="64"/>
      <c r="M400" s="64"/>
      <c r="N400" s="64">
        <v>870</v>
      </c>
      <c r="O400" s="64"/>
      <c r="P400" s="64">
        <f>N400+O400</f>
        <v>870</v>
      </c>
    </row>
    <row r="401" spans="1:16" ht="33.75" customHeight="1">
      <c r="A401" s="11" t="s">
        <v>296</v>
      </c>
      <c r="B401" s="11"/>
      <c r="C401" s="11"/>
      <c r="D401" s="42">
        <v>1350</v>
      </c>
      <c r="E401" s="42"/>
      <c r="F401" s="42">
        <f t="shared" si="50"/>
        <v>1350</v>
      </c>
      <c r="G401" s="42">
        <v>1450</v>
      </c>
      <c r="H401" s="42"/>
      <c r="I401" s="42"/>
      <c r="J401" s="42">
        <f t="shared" si="51"/>
        <v>1450</v>
      </c>
      <c r="K401" s="64"/>
      <c r="L401" s="64"/>
      <c r="M401" s="64"/>
      <c r="N401" s="42">
        <v>1540</v>
      </c>
      <c r="O401" s="42"/>
      <c r="P401" s="42">
        <f>N401</f>
        <v>1540</v>
      </c>
    </row>
    <row r="402" spans="1:16" ht="38.25" customHeight="1">
      <c r="A402" s="11" t="s">
        <v>297</v>
      </c>
      <c r="B402" s="11"/>
      <c r="C402" s="11"/>
      <c r="D402" s="42">
        <v>280</v>
      </c>
      <c r="E402" s="42"/>
      <c r="F402" s="42">
        <f t="shared" si="50"/>
        <v>280</v>
      </c>
      <c r="G402" s="42">
        <v>300</v>
      </c>
      <c r="H402" s="42"/>
      <c r="I402" s="42"/>
      <c r="J402" s="42">
        <f t="shared" si="51"/>
        <v>300</v>
      </c>
      <c r="K402" s="64"/>
      <c r="L402" s="64"/>
      <c r="M402" s="64"/>
      <c r="N402" s="42">
        <v>320</v>
      </c>
      <c r="O402" s="42"/>
      <c r="P402" s="42">
        <f>N402</f>
        <v>320</v>
      </c>
    </row>
    <row r="403" spans="1:16" ht="22.5">
      <c r="A403" s="11" t="s">
        <v>298</v>
      </c>
      <c r="B403" s="11"/>
      <c r="C403" s="11"/>
      <c r="D403" s="42">
        <v>510</v>
      </c>
      <c r="E403" s="42"/>
      <c r="F403" s="42">
        <f t="shared" si="50"/>
        <v>510</v>
      </c>
      <c r="G403" s="42">
        <v>550</v>
      </c>
      <c r="H403" s="42"/>
      <c r="I403" s="42"/>
      <c r="J403" s="42">
        <f t="shared" si="51"/>
        <v>550</v>
      </c>
      <c r="K403" s="64"/>
      <c r="L403" s="64"/>
      <c r="M403" s="64"/>
      <c r="N403" s="42">
        <v>585</v>
      </c>
      <c r="O403" s="42"/>
      <c r="P403" s="42">
        <f>N403</f>
        <v>585</v>
      </c>
    </row>
    <row r="404" spans="1:16" ht="22.5">
      <c r="A404" s="11" t="s">
        <v>299</v>
      </c>
      <c r="B404" s="11"/>
      <c r="C404" s="11"/>
      <c r="D404" s="42">
        <v>130</v>
      </c>
      <c r="E404" s="42"/>
      <c r="F404" s="42">
        <f t="shared" si="50"/>
        <v>130</v>
      </c>
      <c r="G404" s="42">
        <v>850</v>
      </c>
      <c r="H404" s="42"/>
      <c r="I404" s="42"/>
      <c r="J404" s="42">
        <f t="shared" si="51"/>
        <v>850</v>
      </c>
      <c r="K404" s="64"/>
      <c r="L404" s="64"/>
      <c r="M404" s="64"/>
      <c r="N404" s="42">
        <v>150</v>
      </c>
      <c r="O404" s="42"/>
      <c r="P404" s="42">
        <f>N404+O404</f>
        <v>150</v>
      </c>
    </row>
    <row r="405" spans="1:16" ht="11.25">
      <c r="A405" s="123" t="s">
        <v>421</v>
      </c>
      <c r="B405" s="13"/>
      <c r="C405" s="13"/>
      <c r="D405" s="10"/>
      <c r="E405" s="10">
        <f>E407+E423</f>
        <v>692840</v>
      </c>
      <c r="F405" s="10">
        <f>F407+F423</f>
        <v>692840</v>
      </c>
      <c r="G405" s="10"/>
      <c r="H405" s="10">
        <f>H407+H423</f>
        <v>763900</v>
      </c>
      <c r="I405" s="10"/>
      <c r="J405" s="10">
        <f>J407+J423</f>
        <v>763900</v>
      </c>
      <c r="K405" s="63"/>
      <c r="L405" s="63"/>
      <c r="M405" s="63"/>
      <c r="N405" s="10"/>
      <c r="O405" s="10">
        <f>O407+O423</f>
        <v>787532</v>
      </c>
      <c r="P405" s="10">
        <f>P407+P423</f>
        <v>787532</v>
      </c>
    </row>
    <row r="406" spans="1:16" ht="101.25">
      <c r="A406" s="12" t="s">
        <v>302</v>
      </c>
      <c r="B406" s="11"/>
      <c r="C406" s="11"/>
      <c r="D406" s="42"/>
      <c r="E406" s="42"/>
      <c r="F406" s="42"/>
      <c r="G406" s="42"/>
      <c r="H406" s="42"/>
      <c r="I406" s="42"/>
      <c r="J406" s="42"/>
      <c r="K406" s="64"/>
      <c r="L406" s="64"/>
      <c r="M406" s="64"/>
      <c r="N406" s="42"/>
      <c r="O406" s="42"/>
      <c r="P406" s="42"/>
    </row>
    <row r="407" spans="1:16" ht="66.75" customHeight="1">
      <c r="A407" s="66" t="s">
        <v>403</v>
      </c>
      <c r="B407" s="11"/>
      <c r="C407" s="11"/>
      <c r="D407" s="42"/>
      <c r="E407" s="42">
        <f>E409+E410+E411+E412</f>
        <v>428840</v>
      </c>
      <c r="F407" s="42">
        <f>D407+E407</f>
        <v>428840</v>
      </c>
      <c r="G407" s="42"/>
      <c r="H407" s="42">
        <f>H409+H410+H411+H412</f>
        <v>480700</v>
      </c>
      <c r="I407" s="42"/>
      <c r="J407" s="42">
        <f>J409+J410+J411+J412</f>
        <v>480700</v>
      </c>
      <c r="K407" s="64"/>
      <c r="L407" s="64"/>
      <c r="M407" s="64"/>
      <c r="N407" s="42"/>
      <c r="O407" s="42">
        <f>O409+O410+O411+O412</f>
        <v>487340</v>
      </c>
      <c r="P407" s="42">
        <f>P409+P410+P411+P412</f>
        <v>487340</v>
      </c>
    </row>
    <row r="408" spans="1:16" ht="11.25">
      <c r="A408" s="13" t="s">
        <v>4</v>
      </c>
      <c r="B408" s="11"/>
      <c r="C408" s="11"/>
      <c r="D408" s="42"/>
      <c r="E408" s="42"/>
      <c r="F408" s="42"/>
      <c r="G408" s="42"/>
      <c r="H408" s="42"/>
      <c r="I408" s="42"/>
      <c r="J408" s="42"/>
      <c r="K408" s="64"/>
      <c r="L408" s="64"/>
      <c r="M408" s="64"/>
      <c r="N408" s="42"/>
      <c r="O408" s="42"/>
      <c r="P408" s="42"/>
    </row>
    <row r="409" spans="1:16" ht="33.75">
      <c r="A409" s="8" t="s">
        <v>304</v>
      </c>
      <c r="B409" s="11"/>
      <c r="C409" s="11"/>
      <c r="D409" s="42"/>
      <c r="E409" s="42">
        <f>E414*E419</f>
        <v>387500</v>
      </c>
      <c r="F409" s="42">
        <f>D409+E409</f>
        <v>387500</v>
      </c>
      <c r="G409" s="42"/>
      <c r="H409" s="42">
        <f>H414*H419</f>
        <v>415000</v>
      </c>
      <c r="I409" s="42"/>
      <c r="J409" s="42">
        <f>G409+H409</f>
        <v>415000</v>
      </c>
      <c r="K409" s="64"/>
      <c r="L409" s="64"/>
      <c r="M409" s="64"/>
      <c r="N409" s="42"/>
      <c r="O409" s="42">
        <f>O414*O419</f>
        <v>440000</v>
      </c>
      <c r="P409" s="42">
        <f>N409+O409</f>
        <v>440000</v>
      </c>
    </row>
    <row r="410" spans="1:16" ht="22.5">
      <c r="A410" s="8" t="s">
        <v>303</v>
      </c>
      <c r="B410" s="11"/>
      <c r="C410" s="11"/>
      <c r="D410" s="42"/>
      <c r="E410" s="42">
        <f>E415*E420</f>
        <v>12240</v>
      </c>
      <c r="F410" s="42">
        <f>D410+E410</f>
        <v>12240</v>
      </c>
      <c r="G410" s="42"/>
      <c r="H410" s="42">
        <f>H415*H420</f>
        <v>13200</v>
      </c>
      <c r="I410" s="42"/>
      <c r="J410" s="42">
        <f>G410+H410</f>
        <v>13200</v>
      </c>
      <c r="K410" s="64"/>
      <c r="L410" s="64"/>
      <c r="M410" s="64"/>
      <c r="N410" s="42"/>
      <c r="O410" s="42">
        <f>O415*O420</f>
        <v>14040</v>
      </c>
      <c r="P410" s="42">
        <f>N410+O410</f>
        <v>14040</v>
      </c>
    </row>
    <row r="411" spans="1:16" ht="33.75">
      <c r="A411" s="8" t="s">
        <v>305</v>
      </c>
      <c r="B411" s="11"/>
      <c r="C411" s="11"/>
      <c r="D411" s="42"/>
      <c r="E411" s="42">
        <f>E416*E421</f>
        <v>25200</v>
      </c>
      <c r="F411" s="42">
        <f>D411+E411</f>
        <v>25200</v>
      </c>
      <c r="G411" s="42"/>
      <c r="H411" s="42">
        <f>H416*H421</f>
        <v>27000</v>
      </c>
      <c r="I411" s="42"/>
      <c r="J411" s="42">
        <f>G411+H411</f>
        <v>27000</v>
      </c>
      <c r="K411" s="64"/>
      <c r="L411" s="64"/>
      <c r="M411" s="64"/>
      <c r="N411" s="42"/>
      <c r="O411" s="42">
        <f>O416*O421</f>
        <v>28800</v>
      </c>
      <c r="P411" s="42">
        <f>N411+O411</f>
        <v>28800</v>
      </c>
    </row>
    <row r="412" spans="1:16" ht="33.75">
      <c r="A412" s="8" t="s">
        <v>306</v>
      </c>
      <c r="B412" s="11"/>
      <c r="C412" s="11"/>
      <c r="D412" s="42"/>
      <c r="E412" s="42">
        <f>E417*E422</f>
        <v>3900</v>
      </c>
      <c r="F412" s="42">
        <f>D412+E412</f>
        <v>3900</v>
      </c>
      <c r="G412" s="42"/>
      <c r="H412" s="42">
        <v>25500</v>
      </c>
      <c r="I412" s="42"/>
      <c r="J412" s="42">
        <f>G412+H412</f>
        <v>25500</v>
      </c>
      <c r="K412" s="64"/>
      <c r="L412" s="64"/>
      <c r="M412" s="64"/>
      <c r="N412" s="42"/>
      <c r="O412" s="42">
        <f>O417*O422</f>
        <v>4500</v>
      </c>
      <c r="P412" s="42">
        <f>N412+O412</f>
        <v>4500</v>
      </c>
    </row>
    <row r="413" spans="1:16" ht="11.25">
      <c r="A413" s="13" t="s">
        <v>5</v>
      </c>
      <c r="B413" s="11"/>
      <c r="C413" s="11"/>
      <c r="D413" s="42"/>
      <c r="E413" s="42"/>
      <c r="F413" s="42"/>
      <c r="G413" s="42"/>
      <c r="H413" s="42"/>
      <c r="I413" s="42"/>
      <c r="J413" s="42"/>
      <c r="K413" s="64"/>
      <c r="L413" s="64"/>
      <c r="M413" s="64"/>
      <c r="N413" s="42"/>
      <c r="O413" s="42"/>
      <c r="P413" s="42"/>
    </row>
    <row r="414" spans="1:16" ht="30.75" customHeight="1">
      <c r="A414" s="8" t="s">
        <v>307</v>
      </c>
      <c r="B414" s="11"/>
      <c r="C414" s="11"/>
      <c r="D414" s="42"/>
      <c r="E414" s="14">
        <f>60+160+30</f>
        <v>250</v>
      </c>
      <c r="F414" s="42">
        <f aca="true" t="shared" si="52" ref="F414:F422">D414+E414</f>
        <v>250</v>
      </c>
      <c r="G414" s="42"/>
      <c r="H414" s="14">
        <f>60+160+30</f>
        <v>250</v>
      </c>
      <c r="I414" s="42"/>
      <c r="J414" s="42">
        <f aca="true" t="shared" si="53" ref="J414:J422">G414+H414</f>
        <v>250</v>
      </c>
      <c r="K414" s="64"/>
      <c r="L414" s="64"/>
      <c r="M414" s="64"/>
      <c r="N414" s="42"/>
      <c r="O414" s="14">
        <f>60+160+30</f>
        <v>250</v>
      </c>
      <c r="P414" s="42">
        <f aca="true" t="shared" si="54" ref="P414:P422">N414+O414</f>
        <v>250</v>
      </c>
    </row>
    <row r="415" spans="1:16" ht="28.5" customHeight="1">
      <c r="A415" s="8" t="s">
        <v>308</v>
      </c>
      <c r="B415" s="11"/>
      <c r="C415" s="11"/>
      <c r="D415" s="42"/>
      <c r="E415" s="14">
        <v>24</v>
      </c>
      <c r="F415" s="42">
        <f t="shared" si="52"/>
        <v>24</v>
      </c>
      <c r="G415" s="42"/>
      <c r="H415" s="14">
        <v>24</v>
      </c>
      <c r="I415" s="42"/>
      <c r="J415" s="42">
        <f t="shared" si="53"/>
        <v>24</v>
      </c>
      <c r="K415" s="64"/>
      <c r="L415" s="64"/>
      <c r="M415" s="64"/>
      <c r="N415" s="42"/>
      <c r="O415" s="14">
        <v>24</v>
      </c>
      <c r="P415" s="42">
        <f t="shared" si="54"/>
        <v>24</v>
      </c>
    </row>
    <row r="416" spans="1:16" ht="33.75">
      <c r="A416" s="8" t="s">
        <v>309</v>
      </c>
      <c r="B416" s="11"/>
      <c r="C416" s="11"/>
      <c r="D416" s="42"/>
      <c r="E416" s="14">
        <v>90</v>
      </c>
      <c r="F416" s="42">
        <f t="shared" si="52"/>
        <v>90</v>
      </c>
      <c r="G416" s="42"/>
      <c r="H416" s="14">
        <v>90</v>
      </c>
      <c r="I416" s="42"/>
      <c r="J416" s="42">
        <f t="shared" si="53"/>
        <v>90</v>
      </c>
      <c r="K416" s="64"/>
      <c r="L416" s="64"/>
      <c r="M416" s="64"/>
      <c r="N416" s="42"/>
      <c r="O416" s="14">
        <v>90</v>
      </c>
      <c r="P416" s="42">
        <f t="shared" si="54"/>
        <v>90</v>
      </c>
    </row>
    <row r="417" spans="1:16" ht="22.5">
      <c r="A417" s="8" t="s">
        <v>310</v>
      </c>
      <c r="B417" s="11"/>
      <c r="C417" s="11"/>
      <c r="D417" s="42"/>
      <c r="E417" s="14">
        <v>30</v>
      </c>
      <c r="F417" s="42">
        <f t="shared" si="52"/>
        <v>30</v>
      </c>
      <c r="G417" s="42"/>
      <c r="H417" s="14">
        <v>30</v>
      </c>
      <c r="I417" s="42"/>
      <c r="J417" s="42">
        <f t="shared" si="53"/>
        <v>30</v>
      </c>
      <c r="K417" s="64"/>
      <c r="L417" s="64"/>
      <c r="M417" s="64"/>
      <c r="N417" s="42"/>
      <c r="O417" s="14">
        <v>30</v>
      </c>
      <c r="P417" s="42">
        <f t="shared" si="54"/>
        <v>30</v>
      </c>
    </row>
    <row r="418" spans="1:16" ht="11.25">
      <c r="A418" s="13" t="s">
        <v>7</v>
      </c>
      <c r="B418" s="67"/>
      <c r="C418" s="11"/>
      <c r="D418" s="42"/>
      <c r="E418" s="15">
        <f>E419+E420+E421+E422</f>
        <v>2470</v>
      </c>
      <c r="F418" s="42">
        <f t="shared" si="52"/>
        <v>2470</v>
      </c>
      <c r="G418" s="42"/>
      <c r="H418" s="15">
        <f>H419+H420+H421+H422</f>
        <v>3360</v>
      </c>
      <c r="I418" s="42"/>
      <c r="J418" s="42">
        <f t="shared" si="53"/>
        <v>3360</v>
      </c>
      <c r="K418" s="64"/>
      <c r="L418" s="64"/>
      <c r="M418" s="64"/>
      <c r="N418" s="42"/>
      <c r="O418" s="15">
        <f>O419+O420+O421+O422</f>
        <v>2815</v>
      </c>
      <c r="P418" s="42">
        <f t="shared" si="54"/>
        <v>2815</v>
      </c>
    </row>
    <row r="419" spans="1:16" ht="30" customHeight="1">
      <c r="A419" s="11" t="s">
        <v>311</v>
      </c>
      <c r="B419" s="67"/>
      <c r="C419" s="11"/>
      <c r="D419" s="42"/>
      <c r="E419" s="15">
        <v>1550</v>
      </c>
      <c r="F419" s="42">
        <f t="shared" si="52"/>
        <v>1550</v>
      </c>
      <c r="G419" s="42"/>
      <c r="H419" s="15">
        <v>1660</v>
      </c>
      <c r="I419" s="42"/>
      <c r="J419" s="42">
        <f t="shared" si="53"/>
        <v>1660</v>
      </c>
      <c r="K419" s="64"/>
      <c r="L419" s="64"/>
      <c r="M419" s="64"/>
      <c r="N419" s="42"/>
      <c r="O419" s="15">
        <v>1760</v>
      </c>
      <c r="P419" s="42">
        <f t="shared" si="54"/>
        <v>1760</v>
      </c>
    </row>
    <row r="420" spans="1:16" ht="20.25" customHeight="1">
      <c r="A420" s="11" t="s">
        <v>312</v>
      </c>
      <c r="B420" s="67"/>
      <c r="C420" s="11"/>
      <c r="D420" s="42"/>
      <c r="E420" s="15">
        <v>510</v>
      </c>
      <c r="F420" s="42">
        <f t="shared" si="52"/>
        <v>510</v>
      </c>
      <c r="G420" s="42"/>
      <c r="H420" s="15">
        <v>550</v>
      </c>
      <c r="I420" s="42"/>
      <c r="J420" s="42">
        <f t="shared" si="53"/>
        <v>550</v>
      </c>
      <c r="K420" s="64"/>
      <c r="L420" s="64"/>
      <c r="M420" s="64"/>
      <c r="N420" s="42"/>
      <c r="O420" s="15">
        <v>585</v>
      </c>
      <c r="P420" s="42">
        <f t="shared" si="54"/>
        <v>585</v>
      </c>
    </row>
    <row r="421" spans="1:16" ht="33.75">
      <c r="A421" s="11" t="s">
        <v>313</v>
      </c>
      <c r="B421" s="11"/>
      <c r="C421" s="11"/>
      <c r="D421" s="42"/>
      <c r="E421" s="15">
        <v>280</v>
      </c>
      <c r="F421" s="42">
        <f t="shared" si="52"/>
        <v>280</v>
      </c>
      <c r="G421" s="42"/>
      <c r="H421" s="15">
        <v>300</v>
      </c>
      <c r="I421" s="42"/>
      <c r="J421" s="42">
        <f t="shared" si="53"/>
        <v>300</v>
      </c>
      <c r="K421" s="64"/>
      <c r="L421" s="64"/>
      <c r="M421" s="64"/>
      <c r="N421" s="42"/>
      <c r="O421" s="15">
        <v>320</v>
      </c>
      <c r="P421" s="42">
        <f t="shared" si="54"/>
        <v>320</v>
      </c>
    </row>
    <row r="422" spans="1:16" ht="22.5">
      <c r="A422" s="16" t="s">
        <v>314</v>
      </c>
      <c r="B422" s="11"/>
      <c r="C422" s="11"/>
      <c r="D422" s="42"/>
      <c r="E422" s="17">
        <v>130</v>
      </c>
      <c r="F422" s="42">
        <f t="shared" si="52"/>
        <v>130</v>
      </c>
      <c r="G422" s="42"/>
      <c r="H422" s="17">
        <v>850</v>
      </c>
      <c r="I422" s="42"/>
      <c r="J422" s="42">
        <f t="shared" si="53"/>
        <v>850</v>
      </c>
      <c r="K422" s="64"/>
      <c r="L422" s="64"/>
      <c r="M422" s="64"/>
      <c r="N422" s="42"/>
      <c r="O422" s="18">
        <v>150</v>
      </c>
      <c r="P422" s="42">
        <f t="shared" si="54"/>
        <v>150</v>
      </c>
    </row>
    <row r="423" spans="1:16" ht="45">
      <c r="A423" s="57" t="s">
        <v>404</v>
      </c>
      <c r="B423" s="11"/>
      <c r="C423" s="11"/>
      <c r="D423" s="42">
        <f>D425</f>
        <v>0</v>
      </c>
      <c r="E423" s="42">
        <f>E425</f>
        <v>264000</v>
      </c>
      <c r="F423" s="42">
        <f>F425</f>
        <v>264000</v>
      </c>
      <c r="G423" s="42"/>
      <c r="H423" s="42">
        <f>H425</f>
        <v>283200</v>
      </c>
      <c r="I423" s="42"/>
      <c r="J423" s="42">
        <f>J425</f>
        <v>283200</v>
      </c>
      <c r="K423" s="64"/>
      <c r="L423" s="64"/>
      <c r="M423" s="64"/>
      <c r="N423" s="42"/>
      <c r="O423" s="42">
        <f>O425</f>
        <v>300192</v>
      </c>
      <c r="P423" s="42">
        <f>P425</f>
        <v>300192</v>
      </c>
    </row>
    <row r="424" spans="1:16" ht="11.25">
      <c r="A424" s="19" t="s">
        <v>4</v>
      </c>
      <c r="B424" s="11"/>
      <c r="C424" s="11"/>
      <c r="D424" s="42"/>
      <c r="E424" s="17"/>
      <c r="F424" s="42"/>
      <c r="G424" s="42"/>
      <c r="H424" s="17"/>
      <c r="I424" s="42"/>
      <c r="J424" s="42"/>
      <c r="K424" s="64"/>
      <c r="L424" s="64"/>
      <c r="M424" s="64"/>
      <c r="N424" s="42"/>
      <c r="O424" s="18"/>
      <c r="P424" s="42"/>
    </row>
    <row r="425" spans="1:16" ht="22.5">
      <c r="A425" s="8" t="s">
        <v>315</v>
      </c>
      <c r="B425" s="11"/>
      <c r="C425" s="11"/>
      <c r="D425" s="42"/>
      <c r="E425" s="17">
        <v>264000</v>
      </c>
      <c r="F425" s="42">
        <f>D425+E425</f>
        <v>264000</v>
      </c>
      <c r="G425" s="42"/>
      <c r="H425" s="17">
        <f>H427*H429</f>
        <v>283200</v>
      </c>
      <c r="I425" s="42"/>
      <c r="J425" s="42">
        <f>G425+H425</f>
        <v>283200</v>
      </c>
      <c r="K425" s="64"/>
      <c r="L425" s="64"/>
      <c r="M425" s="64"/>
      <c r="N425" s="42"/>
      <c r="O425" s="18">
        <f>O427*O429</f>
        <v>300192</v>
      </c>
      <c r="P425" s="42">
        <f>N425+O425</f>
        <v>300192</v>
      </c>
    </row>
    <row r="426" spans="1:16" ht="11.25">
      <c r="A426" s="19" t="s">
        <v>5</v>
      </c>
      <c r="B426" s="11"/>
      <c r="C426" s="11"/>
      <c r="D426" s="42"/>
      <c r="E426" s="17"/>
      <c r="F426" s="42"/>
      <c r="G426" s="42"/>
      <c r="H426" s="17"/>
      <c r="I426" s="42"/>
      <c r="J426" s="42"/>
      <c r="K426" s="64"/>
      <c r="L426" s="64"/>
      <c r="M426" s="64"/>
      <c r="N426" s="42"/>
      <c r="O426" s="18"/>
      <c r="P426" s="42"/>
    </row>
    <row r="427" spans="1:16" ht="22.5">
      <c r="A427" s="20" t="s">
        <v>316</v>
      </c>
      <c r="B427" s="11"/>
      <c r="C427" s="11"/>
      <c r="D427" s="42"/>
      <c r="E427" s="21">
        <v>236</v>
      </c>
      <c r="F427" s="68">
        <f>D427+E427</f>
        <v>236</v>
      </c>
      <c r="G427" s="68"/>
      <c r="H427" s="21">
        <v>236</v>
      </c>
      <c r="I427" s="68"/>
      <c r="J427" s="68">
        <f>G427+H427</f>
        <v>236</v>
      </c>
      <c r="K427" s="69"/>
      <c r="L427" s="69"/>
      <c r="M427" s="69"/>
      <c r="N427" s="68"/>
      <c r="O427" s="21">
        <v>236</v>
      </c>
      <c r="P427" s="68">
        <f>N427+O427</f>
        <v>236</v>
      </c>
    </row>
    <row r="428" spans="1:16" ht="11.25">
      <c r="A428" s="19" t="s">
        <v>7</v>
      </c>
      <c r="B428" s="11"/>
      <c r="C428" s="11"/>
      <c r="D428" s="42"/>
      <c r="E428" s="17"/>
      <c r="F428" s="42"/>
      <c r="G428" s="42"/>
      <c r="H428" s="17"/>
      <c r="I428" s="42"/>
      <c r="J428" s="42"/>
      <c r="K428" s="64"/>
      <c r="L428" s="64"/>
      <c r="M428" s="64"/>
      <c r="N428" s="42"/>
      <c r="O428" s="18"/>
      <c r="P428" s="42"/>
    </row>
    <row r="429" spans="1:16" ht="22.5">
      <c r="A429" s="20" t="s">
        <v>317</v>
      </c>
      <c r="B429" s="11"/>
      <c r="C429" s="11"/>
      <c r="D429" s="42"/>
      <c r="E429" s="42">
        <v>1118.64</v>
      </c>
      <c r="F429" s="42">
        <f>D429+E429</f>
        <v>1118.64</v>
      </c>
      <c r="G429" s="42"/>
      <c r="H429" s="42">
        <v>1200</v>
      </c>
      <c r="I429" s="42"/>
      <c r="J429" s="42">
        <f>G429+H429</f>
        <v>1200</v>
      </c>
      <c r="K429" s="64"/>
      <c r="L429" s="64"/>
      <c r="M429" s="64"/>
      <c r="N429" s="42"/>
      <c r="O429" s="42">
        <v>1272</v>
      </c>
      <c r="P429" s="42">
        <f>N429+O429</f>
        <v>1272</v>
      </c>
    </row>
    <row r="430" spans="1:149" s="38" customFormat="1" ht="21" customHeight="1">
      <c r="A430" s="9" t="s">
        <v>405</v>
      </c>
      <c r="B430" s="9"/>
      <c r="C430" s="9"/>
      <c r="D430" s="10">
        <f>(D432*D434)</f>
        <v>64999.9999998</v>
      </c>
      <c r="E430" s="10"/>
      <c r="F430" s="10">
        <f>D430</f>
        <v>64999.9999998</v>
      </c>
      <c r="G430" s="10">
        <f>G432*G434</f>
        <v>58000</v>
      </c>
      <c r="H430" s="10"/>
      <c r="I430" s="10"/>
      <c r="J430" s="10">
        <f>G430</f>
        <v>58000</v>
      </c>
      <c r="K430" s="10"/>
      <c r="L430" s="10"/>
      <c r="M430" s="10"/>
      <c r="N430" s="10">
        <f>N432*N434</f>
        <v>74999.99999968</v>
      </c>
      <c r="O430" s="10"/>
      <c r="P430" s="10">
        <f>N430</f>
        <v>74999.99999968</v>
      </c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</row>
    <row r="431" spans="1:16" ht="12.75" customHeight="1">
      <c r="A431" s="13" t="s">
        <v>151</v>
      </c>
      <c r="B431" s="9"/>
      <c r="C431" s="9"/>
      <c r="D431" s="10"/>
      <c r="E431" s="10"/>
      <c r="F431" s="10"/>
      <c r="G431" s="10"/>
      <c r="H431" s="10"/>
      <c r="I431" s="10"/>
      <c r="J431" s="10"/>
      <c r="K431" s="64"/>
      <c r="L431" s="10"/>
      <c r="M431" s="10"/>
      <c r="N431" s="10"/>
      <c r="O431" s="10"/>
      <c r="P431" s="10"/>
    </row>
    <row r="432" spans="1:16" ht="24" customHeight="1">
      <c r="A432" s="8" t="s">
        <v>150</v>
      </c>
      <c r="B432" s="11"/>
      <c r="C432" s="11"/>
      <c r="D432" s="42">
        <v>5400</v>
      </c>
      <c r="E432" s="42"/>
      <c r="F432" s="42">
        <f>D432</f>
        <v>5400</v>
      </c>
      <c r="G432" s="42">
        <v>4640</v>
      </c>
      <c r="H432" s="42"/>
      <c r="I432" s="42"/>
      <c r="J432" s="42">
        <f>G432</f>
        <v>4640</v>
      </c>
      <c r="K432" s="64"/>
      <c r="L432" s="64"/>
      <c r="M432" s="64"/>
      <c r="N432" s="42">
        <v>5600</v>
      </c>
      <c r="O432" s="42"/>
      <c r="P432" s="42">
        <f>N432</f>
        <v>5600</v>
      </c>
    </row>
    <row r="433" spans="1:16" ht="11.25">
      <c r="A433" s="13" t="s">
        <v>7</v>
      </c>
      <c r="B433" s="11"/>
      <c r="C433" s="11"/>
      <c r="D433" s="42"/>
      <c r="E433" s="42"/>
      <c r="F433" s="42"/>
      <c r="G433" s="42"/>
      <c r="H433" s="42"/>
      <c r="I433" s="42"/>
      <c r="J433" s="42"/>
      <c r="K433" s="64"/>
      <c r="L433" s="64"/>
      <c r="M433" s="64"/>
      <c r="N433" s="42"/>
      <c r="O433" s="42"/>
      <c r="P433" s="42"/>
    </row>
    <row r="434" spans="1:16" ht="18.75" customHeight="1">
      <c r="A434" s="11" t="s">
        <v>152</v>
      </c>
      <c r="B434" s="11"/>
      <c r="C434" s="11"/>
      <c r="D434" s="42">
        <v>12.037037037</v>
      </c>
      <c r="E434" s="42"/>
      <c r="F434" s="42">
        <f>D434</f>
        <v>12.037037037</v>
      </c>
      <c r="G434" s="42">
        <v>12.5</v>
      </c>
      <c r="H434" s="42"/>
      <c r="I434" s="42"/>
      <c r="J434" s="42">
        <f>G434</f>
        <v>12.5</v>
      </c>
      <c r="K434" s="64"/>
      <c r="L434" s="64"/>
      <c r="M434" s="64"/>
      <c r="N434" s="42">
        <v>13.3928571428</v>
      </c>
      <c r="O434" s="42"/>
      <c r="P434" s="42">
        <f>N434</f>
        <v>13.3928571428</v>
      </c>
    </row>
    <row r="435" spans="1:149" s="38" customFormat="1" ht="403.5" customHeight="1">
      <c r="A435" s="66" t="s">
        <v>476</v>
      </c>
      <c r="B435" s="9"/>
      <c r="C435" s="9"/>
      <c r="D435" s="144">
        <f>D437*D456+D439*D458+D438*D457+D440*D459+D443*D461+D444*D462</f>
        <v>404000</v>
      </c>
      <c r="E435" s="10"/>
      <c r="F435" s="10">
        <f>F437*F456+F439*F458+F438*F457+F440*F459+F443*F461+F444*F462</f>
        <v>404000</v>
      </c>
      <c r="G435" s="10">
        <f>G437*G456+G439*G458+G438*G457+G440*G459+G443*G461+G444*G462+G445*G464+G442*G463+G441*G460+84000+11090</f>
        <v>887790</v>
      </c>
      <c r="H435" s="10"/>
      <c r="I435" s="10"/>
      <c r="J435" s="10">
        <f>G435</f>
        <v>887790</v>
      </c>
      <c r="K435" s="10"/>
      <c r="L435" s="10"/>
      <c r="M435" s="10"/>
      <c r="N435" s="10">
        <f>N439*N458+N437*N456+N444*N462+N446*N465+N447*N467+285000+60000+N448*N466+N449*N468+N450*N469+N451*N470+N452*N471+N453*N472+(N454*N473)</f>
        <v>1805650</v>
      </c>
      <c r="O435" s="10"/>
      <c r="P435" s="10">
        <f>N435</f>
        <v>1805650</v>
      </c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</row>
    <row r="436" spans="1:16" ht="11.25">
      <c r="A436" s="13" t="s">
        <v>151</v>
      </c>
      <c r="B436" s="9"/>
      <c r="C436" s="9"/>
      <c r="D436" s="10"/>
      <c r="E436" s="10"/>
      <c r="F436" s="10"/>
      <c r="G436" s="10"/>
      <c r="H436" s="10"/>
      <c r="I436" s="10"/>
      <c r="J436" s="10"/>
      <c r="K436" s="64"/>
      <c r="L436" s="64"/>
      <c r="M436" s="64"/>
      <c r="N436" s="42"/>
      <c r="O436" s="42"/>
      <c r="P436" s="42"/>
    </row>
    <row r="437" spans="1:16" ht="23.25" customHeight="1">
      <c r="A437" s="8" t="s">
        <v>265</v>
      </c>
      <c r="B437" s="9"/>
      <c r="C437" s="9"/>
      <c r="D437" s="42">
        <v>5</v>
      </c>
      <c r="E437" s="10"/>
      <c r="F437" s="42">
        <f>D437+E437</f>
        <v>5</v>
      </c>
      <c r="G437" s="42">
        <v>5</v>
      </c>
      <c r="H437" s="10"/>
      <c r="I437" s="42"/>
      <c r="J437" s="42">
        <f aca="true" t="shared" si="55" ref="J437:J445">G437+H437</f>
        <v>5</v>
      </c>
      <c r="K437" s="64"/>
      <c r="L437" s="64"/>
      <c r="M437" s="64"/>
      <c r="N437" s="42">
        <v>5</v>
      </c>
      <c r="O437" s="42"/>
      <c r="P437" s="42">
        <f>N437</f>
        <v>5</v>
      </c>
    </row>
    <row r="438" spans="1:16" ht="21" customHeight="1">
      <c r="A438" s="8" t="s">
        <v>270</v>
      </c>
      <c r="B438" s="9"/>
      <c r="C438" s="9"/>
      <c r="D438" s="42">
        <v>1</v>
      </c>
      <c r="E438" s="10"/>
      <c r="F438" s="42">
        <v>1</v>
      </c>
      <c r="G438" s="42">
        <v>1</v>
      </c>
      <c r="H438" s="10"/>
      <c r="I438" s="42"/>
      <c r="J438" s="42">
        <f t="shared" si="55"/>
        <v>1</v>
      </c>
      <c r="K438" s="64"/>
      <c r="L438" s="64"/>
      <c r="M438" s="64"/>
      <c r="N438" s="42"/>
      <c r="O438" s="42"/>
      <c r="P438" s="42"/>
    </row>
    <row r="439" spans="1:16" ht="43.5" customHeight="1">
      <c r="A439" s="8" t="s">
        <v>223</v>
      </c>
      <c r="B439" s="11"/>
      <c r="C439" s="11"/>
      <c r="D439" s="42">
        <v>12</v>
      </c>
      <c r="E439" s="42"/>
      <c r="F439" s="42">
        <f>D439+E439</f>
        <v>12</v>
      </c>
      <c r="G439" s="42">
        <v>12</v>
      </c>
      <c r="H439" s="42"/>
      <c r="I439" s="42"/>
      <c r="J439" s="42">
        <f t="shared" si="55"/>
        <v>12</v>
      </c>
      <c r="K439" s="64"/>
      <c r="L439" s="64"/>
      <c r="M439" s="64"/>
      <c r="N439" s="42">
        <v>12</v>
      </c>
      <c r="O439" s="42"/>
      <c r="P439" s="42">
        <f>N439</f>
        <v>12</v>
      </c>
    </row>
    <row r="440" spans="1:16" ht="21.75" customHeight="1">
      <c r="A440" s="70" t="s">
        <v>321</v>
      </c>
      <c r="B440" s="11"/>
      <c r="C440" s="11"/>
      <c r="D440" s="42">
        <v>1</v>
      </c>
      <c r="E440" s="42"/>
      <c r="F440" s="42">
        <f>D440+E440</f>
        <v>1</v>
      </c>
      <c r="G440" s="42">
        <v>1</v>
      </c>
      <c r="H440" s="42"/>
      <c r="I440" s="42"/>
      <c r="J440" s="42">
        <f t="shared" si="55"/>
        <v>1</v>
      </c>
      <c r="K440" s="64"/>
      <c r="L440" s="64"/>
      <c r="M440" s="64"/>
      <c r="N440" s="42"/>
      <c r="O440" s="42"/>
      <c r="P440" s="42"/>
    </row>
    <row r="441" spans="1:16" ht="23.25" customHeight="1">
      <c r="A441" s="70" t="s">
        <v>434</v>
      </c>
      <c r="B441" s="11"/>
      <c r="C441" s="11"/>
      <c r="D441" s="42"/>
      <c r="E441" s="42"/>
      <c r="F441" s="42"/>
      <c r="G441" s="42">
        <v>1</v>
      </c>
      <c r="H441" s="42"/>
      <c r="I441" s="42"/>
      <c r="J441" s="42">
        <f t="shared" si="55"/>
        <v>1</v>
      </c>
      <c r="K441" s="64"/>
      <c r="L441" s="64"/>
      <c r="M441" s="64"/>
      <c r="N441" s="42"/>
      <c r="O441" s="42"/>
      <c r="P441" s="42"/>
    </row>
    <row r="442" spans="1:16" ht="29.25" customHeight="1">
      <c r="A442" s="70" t="s">
        <v>432</v>
      </c>
      <c r="B442" s="11"/>
      <c r="C442" s="11"/>
      <c r="D442" s="42"/>
      <c r="E442" s="42"/>
      <c r="F442" s="42"/>
      <c r="G442" s="42">
        <v>1</v>
      </c>
      <c r="H442" s="42"/>
      <c r="I442" s="42"/>
      <c r="J442" s="42">
        <f t="shared" si="55"/>
        <v>1</v>
      </c>
      <c r="K442" s="64"/>
      <c r="L442" s="64"/>
      <c r="M442" s="64"/>
      <c r="N442" s="42"/>
      <c r="O442" s="42"/>
      <c r="P442" s="42"/>
    </row>
    <row r="443" spans="1:16" ht="12.75" customHeight="1">
      <c r="A443" s="70" t="s">
        <v>323</v>
      </c>
      <c r="B443" s="11"/>
      <c r="C443" s="11"/>
      <c r="D443" s="42">
        <v>1</v>
      </c>
      <c r="E443" s="42"/>
      <c r="F443" s="42">
        <f>D443+E443</f>
        <v>1</v>
      </c>
      <c r="G443" s="42"/>
      <c r="H443" s="42"/>
      <c r="I443" s="42"/>
      <c r="J443" s="42">
        <f t="shared" si="55"/>
        <v>0</v>
      </c>
      <c r="K443" s="64"/>
      <c r="L443" s="64"/>
      <c r="M443" s="64"/>
      <c r="N443" s="42"/>
      <c r="O443" s="42"/>
      <c r="P443" s="42"/>
    </row>
    <row r="444" spans="1:16" ht="21.75" customHeight="1">
      <c r="A444" s="8" t="s">
        <v>353</v>
      </c>
      <c r="B444" s="67"/>
      <c r="C444" s="11"/>
      <c r="D444" s="42">
        <v>4</v>
      </c>
      <c r="E444" s="42"/>
      <c r="F444" s="42">
        <f>D444+E444</f>
        <v>4</v>
      </c>
      <c r="G444" s="42">
        <v>4</v>
      </c>
      <c r="H444" s="42"/>
      <c r="I444" s="42"/>
      <c r="J444" s="42">
        <f t="shared" si="55"/>
        <v>4</v>
      </c>
      <c r="K444" s="64"/>
      <c r="L444" s="64"/>
      <c r="M444" s="64"/>
      <c r="N444" s="42">
        <v>5</v>
      </c>
      <c r="O444" s="42"/>
      <c r="P444" s="42">
        <v>5</v>
      </c>
    </row>
    <row r="445" spans="1:16" ht="46.5" customHeight="1">
      <c r="A445" s="8" t="s">
        <v>419</v>
      </c>
      <c r="B445" s="67"/>
      <c r="C445" s="11"/>
      <c r="D445" s="42">
        <v>0</v>
      </c>
      <c r="E445" s="42"/>
      <c r="F445" s="42">
        <f>D445+E445</f>
        <v>0</v>
      </c>
      <c r="G445" s="42">
        <v>1</v>
      </c>
      <c r="H445" s="42"/>
      <c r="I445" s="42"/>
      <c r="J445" s="42">
        <f t="shared" si="55"/>
        <v>1</v>
      </c>
      <c r="K445" s="64"/>
      <c r="L445" s="64"/>
      <c r="M445" s="64"/>
      <c r="N445" s="42"/>
      <c r="O445" s="42"/>
      <c r="P445" s="42"/>
    </row>
    <row r="446" spans="1:16" ht="21" customHeight="1">
      <c r="A446" s="96" t="s">
        <v>436</v>
      </c>
      <c r="B446" s="67"/>
      <c r="C446" s="11"/>
      <c r="D446" s="42"/>
      <c r="E446" s="42"/>
      <c r="F446" s="42"/>
      <c r="G446" s="42"/>
      <c r="H446" s="42"/>
      <c r="I446" s="42"/>
      <c r="J446" s="42"/>
      <c r="K446" s="64"/>
      <c r="L446" s="64"/>
      <c r="M446" s="64"/>
      <c r="N446" s="42">
        <v>1</v>
      </c>
      <c r="O446" s="42"/>
      <c r="P446" s="42">
        <v>1</v>
      </c>
    </row>
    <row r="447" spans="1:16" ht="21" customHeight="1">
      <c r="A447" s="96" t="s">
        <v>438</v>
      </c>
      <c r="B447" s="67"/>
      <c r="C447" s="11"/>
      <c r="D447" s="42"/>
      <c r="E447" s="42"/>
      <c r="F447" s="42"/>
      <c r="G447" s="42"/>
      <c r="H447" s="42"/>
      <c r="I447" s="42"/>
      <c r="J447" s="42"/>
      <c r="K447" s="64"/>
      <c r="L447" s="64"/>
      <c r="M447" s="64"/>
      <c r="N447" s="42">
        <v>8</v>
      </c>
      <c r="O447" s="42"/>
      <c r="P447" s="42">
        <v>8</v>
      </c>
    </row>
    <row r="448" spans="1:16" ht="21" customHeight="1">
      <c r="A448" s="96" t="s">
        <v>444</v>
      </c>
      <c r="B448" s="67"/>
      <c r="C448" s="11"/>
      <c r="D448" s="42"/>
      <c r="E448" s="42"/>
      <c r="F448" s="42"/>
      <c r="G448" s="42"/>
      <c r="H448" s="42"/>
      <c r="I448" s="42"/>
      <c r="J448" s="42"/>
      <c r="K448" s="64"/>
      <c r="L448" s="64"/>
      <c r="M448" s="64"/>
      <c r="N448" s="42">
        <v>1</v>
      </c>
      <c r="O448" s="42"/>
      <c r="P448" s="42">
        <v>1</v>
      </c>
    </row>
    <row r="449" spans="1:16" ht="21" customHeight="1">
      <c r="A449" s="96" t="s">
        <v>451</v>
      </c>
      <c r="B449" s="67"/>
      <c r="C449" s="11"/>
      <c r="D449" s="42"/>
      <c r="E449" s="42"/>
      <c r="F449" s="42"/>
      <c r="G449" s="42"/>
      <c r="H449" s="42"/>
      <c r="I449" s="42"/>
      <c r="J449" s="42"/>
      <c r="K449" s="64"/>
      <c r="L449" s="64"/>
      <c r="M449" s="64"/>
      <c r="N449" s="42">
        <v>1</v>
      </c>
      <c r="O449" s="42"/>
      <c r="P449" s="42">
        <v>1</v>
      </c>
    </row>
    <row r="450" spans="1:16" ht="21" customHeight="1">
      <c r="A450" s="96" t="s">
        <v>452</v>
      </c>
      <c r="B450" s="67"/>
      <c r="C450" s="11"/>
      <c r="D450" s="42"/>
      <c r="E450" s="42"/>
      <c r="F450" s="42"/>
      <c r="G450" s="42"/>
      <c r="H450" s="42"/>
      <c r="I450" s="42"/>
      <c r="J450" s="42"/>
      <c r="K450" s="64"/>
      <c r="L450" s="64"/>
      <c r="M450" s="64"/>
      <c r="N450" s="42">
        <v>1</v>
      </c>
      <c r="O450" s="42"/>
      <c r="P450" s="42">
        <v>1</v>
      </c>
    </row>
    <row r="451" spans="1:16" ht="56.25" customHeight="1">
      <c r="A451" s="96" t="s">
        <v>453</v>
      </c>
      <c r="B451" s="67"/>
      <c r="C451" s="11"/>
      <c r="D451" s="42"/>
      <c r="E451" s="42"/>
      <c r="F451" s="42"/>
      <c r="G451" s="42"/>
      <c r="H451" s="42"/>
      <c r="I451" s="42"/>
      <c r="J451" s="42"/>
      <c r="K451" s="64"/>
      <c r="L451" s="64"/>
      <c r="M451" s="64"/>
      <c r="N451" s="42">
        <v>1</v>
      </c>
      <c r="O451" s="42"/>
      <c r="P451" s="42">
        <v>1</v>
      </c>
    </row>
    <row r="452" spans="1:16" ht="21" customHeight="1">
      <c r="A452" s="96" t="s">
        <v>457</v>
      </c>
      <c r="B452" s="67"/>
      <c r="C452" s="11"/>
      <c r="D452" s="42"/>
      <c r="E452" s="42"/>
      <c r="F452" s="42"/>
      <c r="G452" s="42"/>
      <c r="H452" s="42"/>
      <c r="I452" s="42"/>
      <c r="J452" s="42"/>
      <c r="K452" s="64"/>
      <c r="L452" s="64"/>
      <c r="M452" s="64"/>
      <c r="N452" s="42">
        <v>1</v>
      </c>
      <c r="O452" s="42"/>
      <c r="P452" s="42">
        <v>1</v>
      </c>
    </row>
    <row r="453" spans="1:16" ht="33" customHeight="1">
      <c r="A453" s="96" t="s">
        <v>458</v>
      </c>
      <c r="B453" s="67"/>
      <c r="C453" s="11"/>
      <c r="D453" s="42"/>
      <c r="E453" s="42"/>
      <c r="F453" s="42"/>
      <c r="G453" s="42"/>
      <c r="H453" s="42"/>
      <c r="I453" s="42"/>
      <c r="J453" s="42"/>
      <c r="K453" s="64"/>
      <c r="L453" s="64"/>
      <c r="M453" s="64"/>
      <c r="N453" s="42">
        <v>20000</v>
      </c>
      <c r="O453" s="42"/>
      <c r="P453" s="42">
        <v>20000</v>
      </c>
    </row>
    <row r="454" spans="1:16" ht="27.75" customHeight="1">
      <c r="A454" s="96" t="s">
        <v>477</v>
      </c>
      <c r="B454" s="67"/>
      <c r="C454" s="11"/>
      <c r="D454" s="42"/>
      <c r="E454" s="42"/>
      <c r="F454" s="42"/>
      <c r="G454" s="42"/>
      <c r="H454" s="42"/>
      <c r="I454" s="42"/>
      <c r="J454" s="42"/>
      <c r="K454" s="64"/>
      <c r="L454" s="64"/>
      <c r="M454" s="64"/>
      <c r="N454" s="42">
        <v>1</v>
      </c>
      <c r="O454" s="42"/>
      <c r="P454" s="42">
        <v>1</v>
      </c>
    </row>
    <row r="455" spans="1:16" ht="11.25">
      <c r="A455" s="60" t="s">
        <v>7</v>
      </c>
      <c r="B455" s="11"/>
      <c r="C455" s="11"/>
      <c r="D455" s="42"/>
      <c r="E455" s="42"/>
      <c r="F455" s="42"/>
      <c r="G455" s="42"/>
      <c r="H455" s="42"/>
      <c r="I455" s="42"/>
      <c r="J455" s="42"/>
      <c r="K455" s="64"/>
      <c r="L455" s="64"/>
      <c r="M455" s="64"/>
      <c r="N455" s="42"/>
      <c r="O455" s="42"/>
      <c r="P455" s="42"/>
    </row>
    <row r="456" spans="1:16" ht="22.5">
      <c r="A456" s="11" t="s">
        <v>264</v>
      </c>
      <c r="B456" s="11"/>
      <c r="C456" s="11"/>
      <c r="D456" s="42">
        <v>8400</v>
      </c>
      <c r="E456" s="42"/>
      <c r="F456" s="42">
        <f>D456+E456</f>
        <v>8400</v>
      </c>
      <c r="G456" s="42">
        <v>13000</v>
      </c>
      <c r="H456" s="42"/>
      <c r="I456" s="42"/>
      <c r="J456" s="42">
        <f aca="true" t="shared" si="56" ref="J456:J464">G456+H456</f>
        <v>13000</v>
      </c>
      <c r="K456" s="64"/>
      <c r="L456" s="64"/>
      <c r="M456" s="64"/>
      <c r="N456" s="42">
        <v>15000</v>
      </c>
      <c r="O456" s="42"/>
      <c r="P456" s="42">
        <f>N456</f>
        <v>15000</v>
      </c>
    </row>
    <row r="457" spans="1:16" ht="22.5">
      <c r="A457" s="11" t="s">
        <v>269</v>
      </c>
      <c r="B457" s="11"/>
      <c r="C457" s="11"/>
      <c r="D457" s="42">
        <v>167000</v>
      </c>
      <c r="E457" s="42"/>
      <c r="F457" s="42">
        <f>D457+E457</f>
        <v>167000</v>
      </c>
      <c r="G457" s="42">
        <v>200000</v>
      </c>
      <c r="H457" s="42"/>
      <c r="I457" s="42"/>
      <c r="J457" s="42">
        <f t="shared" si="56"/>
        <v>200000</v>
      </c>
      <c r="K457" s="64"/>
      <c r="L457" s="64"/>
      <c r="M457" s="64"/>
      <c r="N457" s="42"/>
      <c r="O457" s="42"/>
      <c r="P457" s="42"/>
    </row>
    <row r="458" spans="1:16" ht="33.75" customHeight="1">
      <c r="A458" s="11" t="s">
        <v>174</v>
      </c>
      <c r="B458" s="11"/>
      <c r="C458" s="11"/>
      <c r="D458" s="42">
        <f>10000/12</f>
        <v>833.3333333333334</v>
      </c>
      <c r="E458" s="42"/>
      <c r="F458" s="42">
        <f>D458+E458</f>
        <v>833.3333333333334</v>
      </c>
      <c r="G458" s="42">
        <v>500</v>
      </c>
      <c r="H458" s="42"/>
      <c r="I458" s="42"/>
      <c r="J458" s="42">
        <f t="shared" si="56"/>
        <v>500</v>
      </c>
      <c r="K458" s="64"/>
      <c r="L458" s="64"/>
      <c r="M458" s="64"/>
      <c r="N458" s="42">
        <f>15000/12</f>
        <v>1250</v>
      </c>
      <c r="O458" s="42"/>
      <c r="P458" s="42">
        <f>N458</f>
        <v>1250</v>
      </c>
    </row>
    <row r="459" spans="1:16" ht="19.5" customHeight="1">
      <c r="A459" s="11" t="s">
        <v>322</v>
      </c>
      <c r="B459" s="20"/>
      <c r="C459" s="20"/>
      <c r="D459" s="42">
        <v>150000</v>
      </c>
      <c r="E459" s="43"/>
      <c r="F459" s="43">
        <v>150000</v>
      </c>
      <c r="G459" s="43">
        <v>96000</v>
      </c>
      <c r="H459" s="43"/>
      <c r="I459" s="43"/>
      <c r="J459" s="64">
        <f t="shared" si="56"/>
        <v>96000</v>
      </c>
      <c r="K459" s="43"/>
      <c r="L459" s="43"/>
      <c r="M459" s="43"/>
      <c r="N459" s="43"/>
      <c r="O459" s="43"/>
      <c r="P459" s="43"/>
    </row>
    <row r="460" spans="1:16" ht="19.5" customHeight="1">
      <c r="A460" s="16" t="s">
        <v>435</v>
      </c>
      <c r="B460" s="20"/>
      <c r="C460" s="20"/>
      <c r="D460" s="158"/>
      <c r="E460" s="43"/>
      <c r="F460" s="43"/>
      <c r="G460" s="43">
        <v>200000</v>
      </c>
      <c r="H460" s="43"/>
      <c r="I460" s="43"/>
      <c r="J460" s="64">
        <f t="shared" si="56"/>
        <v>200000</v>
      </c>
      <c r="K460" s="43"/>
      <c r="L460" s="43"/>
      <c r="M460" s="43"/>
      <c r="N460" s="43"/>
      <c r="O460" s="43"/>
      <c r="P460" s="43"/>
    </row>
    <row r="461" spans="1:16" ht="19.5" customHeight="1">
      <c r="A461" s="16" t="s">
        <v>324</v>
      </c>
      <c r="B461" s="20"/>
      <c r="C461" s="20"/>
      <c r="D461" s="43">
        <v>1000</v>
      </c>
      <c r="E461" s="43"/>
      <c r="F461" s="43">
        <v>1000</v>
      </c>
      <c r="G461" s="43"/>
      <c r="H461" s="43"/>
      <c r="I461" s="43"/>
      <c r="J461" s="64">
        <f t="shared" si="56"/>
        <v>0</v>
      </c>
      <c r="K461" s="43"/>
      <c r="L461" s="43"/>
      <c r="M461" s="43"/>
      <c r="N461" s="43"/>
      <c r="O461" s="43"/>
      <c r="P461" s="43"/>
    </row>
    <row r="462" spans="1:16" ht="21.75" customHeight="1">
      <c r="A462" s="20" t="s">
        <v>354</v>
      </c>
      <c r="B462" s="20"/>
      <c r="C462" s="20"/>
      <c r="D462" s="43">
        <v>8500</v>
      </c>
      <c r="E462" s="43"/>
      <c r="F462" s="43">
        <v>8500</v>
      </c>
      <c r="G462" s="43">
        <v>12750</v>
      </c>
      <c r="H462" s="43"/>
      <c r="I462" s="43"/>
      <c r="J462" s="64">
        <f t="shared" si="56"/>
        <v>12750</v>
      </c>
      <c r="K462" s="43"/>
      <c r="L462" s="43"/>
      <c r="M462" s="43"/>
      <c r="N462" s="43">
        <v>9670</v>
      </c>
      <c r="O462" s="43"/>
      <c r="P462" s="43">
        <v>9670</v>
      </c>
    </row>
    <row r="463" spans="1:16" ht="21.75" customHeight="1">
      <c r="A463" s="20" t="s">
        <v>433</v>
      </c>
      <c r="B463" s="20"/>
      <c r="C463" s="20"/>
      <c r="D463" s="43"/>
      <c r="E463" s="43"/>
      <c r="F463" s="43"/>
      <c r="G463" s="43">
        <v>80000</v>
      </c>
      <c r="H463" s="43"/>
      <c r="I463" s="43"/>
      <c r="J463" s="64">
        <f t="shared" si="56"/>
        <v>80000</v>
      </c>
      <c r="K463" s="43"/>
      <c r="L463" s="43"/>
      <c r="M463" s="43"/>
      <c r="N463" s="43"/>
      <c r="O463" s="43"/>
      <c r="P463" s="43"/>
    </row>
    <row r="464" spans="1:16" ht="21.75" customHeight="1">
      <c r="A464" s="20" t="s">
        <v>420</v>
      </c>
      <c r="B464" s="20"/>
      <c r="C464" s="20"/>
      <c r="D464" s="43"/>
      <c r="E464" s="43"/>
      <c r="F464" s="43"/>
      <c r="G464" s="43">
        <f>20000+30000+16200+13500+12000+3000</f>
        <v>94700</v>
      </c>
      <c r="H464" s="43"/>
      <c r="I464" s="43"/>
      <c r="J464" s="64">
        <f t="shared" si="56"/>
        <v>94700</v>
      </c>
      <c r="K464" s="43"/>
      <c r="L464" s="43"/>
      <c r="M464" s="43"/>
      <c r="N464" s="43"/>
      <c r="O464" s="43"/>
      <c r="P464" s="43"/>
    </row>
    <row r="465" spans="1:16" ht="21.75" customHeight="1">
      <c r="A465" s="20" t="s">
        <v>437</v>
      </c>
      <c r="B465" s="20"/>
      <c r="C465" s="20"/>
      <c r="D465" s="43"/>
      <c r="E465" s="43"/>
      <c r="F465" s="43"/>
      <c r="G465" s="43"/>
      <c r="H465" s="43"/>
      <c r="I465" s="43"/>
      <c r="J465" s="161"/>
      <c r="K465" s="43"/>
      <c r="L465" s="43"/>
      <c r="M465" s="43"/>
      <c r="N465" s="43">
        <v>30000</v>
      </c>
      <c r="O465" s="43"/>
      <c r="P465" s="43">
        <v>30000</v>
      </c>
    </row>
    <row r="466" spans="1:16" ht="21.75" customHeight="1">
      <c r="A466" s="20" t="s">
        <v>445</v>
      </c>
      <c r="B466" s="20"/>
      <c r="C466" s="20"/>
      <c r="D466" s="43"/>
      <c r="E466" s="43"/>
      <c r="F466" s="43"/>
      <c r="G466" s="43"/>
      <c r="H466" s="43"/>
      <c r="I466" s="43"/>
      <c r="J466" s="161"/>
      <c r="K466" s="43"/>
      <c r="L466" s="43"/>
      <c r="M466" s="43"/>
      <c r="N466" s="43">
        <v>190000</v>
      </c>
      <c r="O466" s="43"/>
      <c r="P466" s="43">
        <v>190000</v>
      </c>
    </row>
    <row r="467" spans="1:16" ht="21.75" customHeight="1">
      <c r="A467" s="20" t="s">
        <v>439</v>
      </c>
      <c r="B467" s="20"/>
      <c r="C467" s="20"/>
      <c r="D467" s="43"/>
      <c r="E467" s="43"/>
      <c r="F467" s="43"/>
      <c r="G467" s="43"/>
      <c r="H467" s="43"/>
      <c r="I467" s="43"/>
      <c r="J467" s="161"/>
      <c r="K467" s="43"/>
      <c r="L467" s="43"/>
      <c r="M467" s="43"/>
      <c r="N467" s="43">
        <v>37500</v>
      </c>
      <c r="O467" s="43"/>
      <c r="P467" s="43">
        <v>37500</v>
      </c>
    </row>
    <row r="468" spans="1:16" ht="21.75" customHeight="1">
      <c r="A468" s="20" t="s">
        <v>454</v>
      </c>
      <c r="B468" s="20"/>
      <c r="C468" s="20"/>
      <c r="D468" s="43"/>
      <c r="E468" s="43"/>
      <c r="F468" s="43"/>
      <c r="G468" s="43"/>
      <c r="H468" s="43"/>
      <c r="I468" s="43"/>
      <c r="J468" s="161"/>
      <c r="K468" s="43"/>
      <c r="L468" s="43"/>
      <c r="M468" s="43"/>
      <c r="N468" s="43">
        <v>4300</v>
      </c>
      <c r="O468" s="43"/>
      <c r="P468" s="43">
        <v>4300</v>
      </c>
    </row>
    <row r="469" spans="1:16" ht="21.75" customHeight="1">
      <c r="A469" s="20" t="s">
        <v>455</v>
      </c>
      <c r="B469" s="20"/>
      <c r="C469" s="20"/>
      <c r="D469" s="43"/>
      <c r="E469" s="43"/>
      <c r="F469" s="43"/>
      <c r="G469" s="43"/>
      <c r="H469" s="43"/>
      <c r="I469" s="43"/>
      <c r="J469" s="161"/>
      <c r="K469" s="43"/>
      <c r="L469" s="43"/>
      <c r="M469" s="43"/>
      <c r="N469" s="43">
        <v>79000</v>
      </c>
      <c r="O469" s="43"/>
      <c r="P469" s="43">
        <v>79000</v>
      </c>
    </row>
    <row r="470" spans="1:16" ht="55.5" customHeight="1">
      <c r="A470" s="20" t="s">
        <v>456</v>
      </c>
      <c r="B470" s="20"/>
      <c r="C470" s="20"/>
      <c r="D470" s="43"/>
      <c r="E470" s="43"/>
      <c r="F470" s="43"/>
      <c r="G470" s="43"/>
      <c r="H470" s="43"/>
      <c r="I470" s="43"/>
      <c r="J470" s="161"/>
      <c r="K470" s="43"/>
      <c r="L470" s="43"/>
      <c r="M470" s="43"/>
      <c r="N470" s="43">
        <v>190000</v>
      </c>
      <c r="O470" s="43"/>
      <c r="P470" s="43">
        <v>190000</v>
      </c>
    </row>
    <row r="471" spans="1:16" ht="21.75" customHeight="1">
      <c r="A471" s="20" t="s">
        <v>459</v>
      </c>
      <c r="B471" s="20"/>
      <c r="C471" s="20"/>
      <c r="D471" s="43"/>
      <c r="E471" s="43"/>
      <c r="F471" s="43"/>
      <c r="G471" s="43"/>
      <c r="H471" s="43"/>
      <c r="I471" s="43"/>
      <c r="J471" s="161"/>
      <c r="K471" s="43"/>
      <c r="L471" s="43"/>
      <c r="M471" s="43"/>
      <c r="N471" s="43">
        <v>40000</v>
      </c>
      <c r="O471" s="43"/>
      <c r="P471" s="43">
        <v>40000</v>
      </c>
    </row>
    <row r="472" spans="1:16" ht="34.5" customHeight="1">
      <c r="A472" s="20" t="s">
        <v>460</v>
      </c>
      <c r="B472" s="20"/>
      <c r="C472" s="20"/>
      <c r="D472" s="43"/>
      <c r="E472" s="43"/>
      <c r="F472" s="43"/>
      <c r="G472" s="43"/>
      <c r="H472" s="43"/>
      <c r="I472" s="43"/>
      <c r="J472" s="161"/>
      <c r="K472" s="43"/>
      <c r="L472" s="43"/>
      <c r="M472" s="43"/>
      <c r="N472" s="43">
        <v>1.95</v>
      </c>
      <c r="O472" s="43"/>
      <c r="P472" s="43">
        <v>1.95</v>
      </c>
    </row>
    <row r="473" spans="1:16" ht="34.5" customHeight="1">
      <c r="A473" s="20" t="s">
        <v>478</v>
      </c>
      <c r="B473" s="20"/>
      <c r="C473" s="20"/>
      <c r="D473" s="43"/>
      <c r="E473" s="43"/>
      <c r="F473" s="43"/>
      <c r="G473" s="43"/>
      <c r="H473" s="43"/>
      <c r="I473" s="43"/>
      <c r="J473" s="161"/>
      <c r="K473" s="43"/>
      <c r="L473" s="43"/>
      <c r="M473" s="43"/>
      <c r="N473" s="43">
        <v>450000</v>
      </c>
      <c r="O473" s="43"/>
      <c r="P473" s="43">
        <v>450000</v>
      </c>
    </row>
    <row r="474" spans="1:16" ht="21.75" customHeight="1">
      <c r="A474" s="149" t="s">
        <v>362</v>
      </c>
      <c r="B474" s="20"/>
      <c r="C474" s="20"/>
      <c r="D474" s="56">
        <f>D476</f>
        <v>150000</v>
      </c>
      <c r="E474" s="56"/>
      <c r="F474" s="56">
        <f>F476</f>
        <v>150000</v>
      </c>
      <c r="G474" s="56">
        <f>G476</f>
        <v>100000</v>
      </c>
      <c r="H474" s="56"/>
      <c r="I474" s="56">
        <f>I476</f>
        <v>0</v>
      </c>
      <c r="J474" s="56">
        <f>J476</f>
        <v>100000</v>
      </c>
      <c r="K474" s="43"/>
      <c r="L474" s="43"/>
      <c r="M474" s="43"/>
      <c r="N474" s="43"/>
      <c r="O474" s="43"/>
      <c r="P474" s="43"/>
    </row>
    <row r="475" spans="1:16" ht="21.75" customHeight="1">
      <c r="A475" s="145" t="s">
        <v>358</v>
      </c>
      <c r="B475" s="20"/>
      <c r="C475" s="20"/>
      <c r="D475" s="56"/>
      <c r="E475" s="56"/>
      <c r="F475" s="56"/>
      <c r="G475" s="56"/>
      <c r="H475" s="56"/>
      <c r="I475" s="56"/>
      <c r="J475" s="56"/>
      <c r="K475" s="43"/>
      <c r="L475" s="43"/>
      <c r="M475" s="43"/>
      <c r="N475" s="43"/>
      <c r="O475" s="43"/>
      <c r="P475" s="43"/>
    </row>
    <row r="476" spans="1:16" ht="46.5" customHeight="1">
      <c r="A476" s="146" t="s">
        <v>406</v>
      </c>
      <c r="B476" s="20"/>
      <c r="C476" s="20"/>
      <c r="D476" s="56">
        <f>D478</f>
        <v>150000</v>
      </c>
      <c r="E476" s="56"/>
      <c r="F476" s="56">
        <f>F478</f>
        <v>150000</v>
      </c>
      <c r="G476" s="56">
        <f>G478</f>
        <v>100000</v>
      </c>
      <c r="H476" s="56"/>
      <c r="I476" s="56">
        <f>I478</f>
        <v>0</v>
      </c>
      <c r="J476" s="56">
        <f>J478</f>
        <v>100000</v>
      </c>
      <c r="K476" s="43"/>
      <c r="L476" s="43"/>
      <c r="M476" s="43"/>
      <c r="N476" s="43"/>
      <c r="O476" s="43"/>
      <c r="P476" s="43"/>
    </row>
    <row r="477" spans="1:16" ht="21.75" customHeight="1">
      <c r="A477" s="147" t="s">
        <v>4</v>
      </c>
      <c r="B477" s="20"/>
      <c r="C477" s="20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</row>
    <row r="478" spans="1:16" ht="21.75" customHeight="1">
      <c r="A478" s="145" t="s">
        <v>359</v>
      </c>
      <c r="B478" s="20"/>
      <c r="C478" s="20"/>
      <c r="D478" s="43">
        <f>D480*D482</f>
        <v>150000</v>
      </c>
      <c r="E478" s="43"/>
      <c r="F478" s="43">
        <f>F480*F482</f>
        <v>150000</v>
      </c>
      <c r="G478" s="43">
        <f>G480*G482</f>
        <v>100000</v>
      </c>
      <c r="H478" s="43"/>
      <c r="I478" s="43">
        <f>I480*I482</f>
        <v>0</v>
      </c>
      <c r="J478" s="43">
        <f>J480*J482</f>
        <v>100000</v>
      </c>
      <c r="K478" s="43"/>
      <c r="L478" s="43"/>
      <c r="M478" s="43"/>
      <c r="N478" s="43"/>
      <c r="O478" s="43"/>
      <c r="P478" s="43"/>
    </row>
    <row r="479" spans="1:16" ht="21.75" customHeight="1">
      <c r="A479" s="147" t="s">
        <v>5</v>
      </c>
      <c r="B479" s="20"/>
      <c r="C479" s="20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</row>
    <row r="480" spans="1:16" ht="21.75" customHeight="1">
      <c r="A480" s="145" t="s">
        <v>360</v>
      </c>
      <c r="B480" s="20"/>
      <c r="C480" s="20"/>
      <c r="D480" s="43">
        <v>1</v>
      </c>
      <c r="E480" s="43"/>
      <c r="F480" s="43">
        <v>1</v>
      </c>
      <c r="G480" s="43">
        <v>2</v>
      </c>
      <c r="H480" s="43"/>
      <c r="I480" s="43"/>
      <c r="J480" s="43">
        <v>2</v>
      </c>
      <c r="K480" s="43"/>
      <c r="L480" s="43"/>
      <c r="M480" s="43"/>
      <c r="N480" s="43"/>
      <c r="O480" s="43"/>
      <c r="P480" s="43"/>
    </row>
    <row r="481" spans="1:16" ht="21.75" customHeight="1">
      <c r="A481" s="147" t="s">
        <v>7</v>
      </c>
      <c r="B481" s="20"/>
      <c r="C481" s="20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</row>
    <row r="482" spans="1:16" ht="21.75" customHeight="1">
      <c r="A482" s="148" t="s">
        <v>361</v>
      </c>
      <c r="B482" s="20"/>
      <c r="C482" s="20"/>
      <c r="D482" s="43">
        <v>150000</v>
      </c>
      <c r="E482" s="43"/>
      <c r="F482" s="43">
        <v>150000</v>
      </c>
      <c r="G482" s="43">
        <v>50000</v>
      </c>
      <c r="H482" s="43"/>
      <c r="I482" s="43"/>
      <c r="J482" s="43">
        <v>50000</v>
      </c>
      <c r="K482" s="43"/>
      <c r="L482" s="43"/>
      <c r="M482" s="43"/>
      <c r="N482" s="43"/>
      <c r="O482" s="43"/>
      <c r="P482" s="43"/>
    </row>
    <row r="483" spans="1:16" ht="16.5" customHeight="1">
      <c r="A483" s="36" t="s">
        <v>247</v>
      </c>
      <c r="B483" s="36"/>
      <c r="C483" s="36"/>
      <c r="D483" s="29">
        <f>D484</f>
        <v>8624700</v>
      </c>
      <c r="E483" s="29">
        <f>E484</f>
        <v>13705000</v>
      </c>
      <c r="F483" s="29">
        <f>F484</f>
        <v>22329700</v>
      </c>
      <c r="G483" s="29">
        <f>G484</f>
        <v>5983100</v>
      </c>
      <c r="H483" s="29"/>
      <c r="I483" s="29">
        <f>I484</f>
        <v>0</v>
      </c>
      <c r="J483" s="29">
        <f>G483</f>
        <v>5983100</v>
      </c>
      <c r="K483" s="29" t="e">
        <f>#REF!+K484</f>
        <v>#REF!</v>
      </c>
      <c r="L483" s="29" t="e">
        <f>#REF!+L484</f>
        <v>#REF!</v>
      </c>
      <c r="M483" s="29" t="e">
        <f>#REF!+M484</f>
        <v>#REF!</v>
      </c>
      <c r="N483" s="29">
        <f>N484</f>
        <v>3945230</v>
      </c>
      <c r="O483" s="29">
        <f>O484</f>
        <v>2000000</v>
      </c>
      <c r="P483" s="29">
        <f>N483+O483</f>
        <v>5945230</v>
      </c>
    </row>
    <row r="484" spans="1:149" s="38" customFormat="1" ht="26.25" customHeight="1">
      <c r="A484" s="33" t="s">
        <v>407</v>
      </c>
      <c r="B484" s="34"/>
      <c r="C484" s="34"/>
      <c r="D484" s="35">
        <f>D486</f>
        <v>8624700</v>
      </c>
      <c r="E484" s="35">
        <f>SUM(E487)</f>
        <v>13705000</v>
      </c>
      <c r="F484" s="35">
        <f>D484+E484</f>
        <v>22329700</v>
      </c>
      <c r="G484" s="35">
        <f>G486</f>
        <v>5983100</v>
      </c>
      <c r="H484" s="35"/>
      <c r="I484" s="35">
        <f>I486</f>
        <v>0</v>
      </c>
      <c r="J484" s="35">
        <f>G484</f>
        <v>5983100</v>
      </c>
      <c r="K484" s="35"/>
      <c r="L484" s="35"/>
      <c r="M484" s="35"/>
      <c r="N484" s="35">
        <f>N486</f>
        <v>3945230</v>
      </c>
      <c r="O484" s="35">
        <f>O486</f>
        <v>2000000</v>
      </c>
      <c r="P484" s="35">
        <f>N484+O484</f>
        <v>5945230</v>
      </c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5.25" customHeight="1">
      <c r="A486" s="8" t="s">
        <v>248</v>
      </c>
      <c r="B486" s="6"/>
      <c r="C486" s="6"/>
      <c r="D486" s="7">
        <f>8124700+500000</f>
        <v>8624700</v>
      </c>
      <c r="E486" s="7"/>
      <c r="F486" s="7">
        <f>D486</f>
        <v>8624700</v>
      </c>
      <c r="G486" s="7">
        <f>G489*G491</f>
        <v>5983100</v>
      </c>
      <c r="H486" s="7"/>
      <c r="I486" s="7"/>
      <c r="J486" s="7">
        <f>G486+H486</f>
        <v>5983100</v>
      </c>
      <c r="K486" s="7"/>
      <c r="L486" s="7"/>
      <c r="M486" s="7"/>
      <c r="N486" s="7">
        <f>N489*N491</f>
        <v>3945230</v>
      </c>
      <c r="O486" s="7">
        <f>O489*O491</f>
        <v>2000000</v>
      </c>
      <c r="P486" s="7">
        <f>N486+O486</f>
        <v>5945230</v>
      </c>
    </row>
    <row r="487" spans="1:16" ht="164.25" customHeight="1">
      <c r="A487" s="8" t="s">
        <v>325</v>
      </c>
      <c r="B487" s="6"/>
      <c r="C487" s="6"/>
      <c r="D487" s="7"/>
      <c r="E487" s="7">
        <v>13705000</v>
      </c>
      <c r="F487" s="7">
        <f>D487+E487</f>
        <v>13705000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39.75" customHeight="1">
      <c r="A489" s="8" t="s">
        <v>249</v>
      </c>
      <c r="B489" s="6"/>
      <c r="C489" s="6"/>
      <c r="D489" s="7">
        <v>2</v>
      </c>
      <c r="E489" s="7"/>
      <c r="F489" s="7">
        <f>D489</f>
        <v>2</v>
      </c>
      <c r="G489" s="7">
        <v>2</v>
      </c>
      <c r="H489" s="7"/>
      <c r="I489" s="7"/>
      <c r="J489" s="7">
        <f>G489+H489</f>
        <v>2</v>
      </c>
      <c r="K489" s="7"/>
      <c r="L489" s="7"/>
      <c r="M489" s="7"/>
      <c r="N489" s="7">
        <v>2</v>
      </c>
      <c r="O489" s="7">
        <v>1</v>
      </c>
      <c r="P489" s="7">
        <f>N489+O489</f>
        <v>3</v>
      </c>
    </row>
    <row r="490" spans="1:16" ht="11.25">
      <c r="A490" s="5" t="s">
        <v>7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40.5" customHeight="1">
      <c r="A491" s="8" t="s">
        <v>250</v>
      </c>
      <c r="B491" s="6"/>
      <c r="C491" s="6"/>
      <c r="D491" s="7">
        <v>3812350</v>
      </c>
      <c r="E491" s="7"/>
      <c r="F491" s="7">
        <f>F486/F489</f>
        <v>4312350</v>
      </c>
      <c r="G491" s="7">
        <v>2991550</v>
      </c>
      <c r="H491" s="7"/>
      <c r="I491" s="7"/>
      <c r="J491" s="7">
        <f>G491+H491</f>
        <v>2991550</v>
      </c>
      <c r="K491" s="7"/>
      <c r="L491" s="7"/>
      <c r="M491" s="7"/>
      <c r="N491" s="7">
        <v>1972615</v>
      </c>
      <c r="O491" s="7">
        <v>2000000</v>
      </c>
      <c r="P491" s="7">
        <f>P486/P489</f>
        <v>1981743.3333333333</v>
      </c>
    </row>
    <row r="492" spans="1:17" ht="15" customHeight="1">
      <c r="A492" s="36" t="s">
        <v>483</v>
      </c>
      <c r="B492" s="6"/>
      <c r="C492" s="6"/>
      <c r="D492" s="35">
        <f>D494+D511+D518+D527+D534+D545+D552+D559+D566</f>
        <v>22123399.999999568</v>
      </c>
      <c r="E492" s="35">
        <f>E494+E511+E518+E527+E534+E545+E552+E559+E566</f>
        <v>1370000</v>
      </c>
      <c r="F492" s="35">
        <f>F494+F511+F518+F527+F534+F545+F552+F559+F566</f>
        <v>23493399.999999568</v>
      </c>
      <c r="G492" s="35">
        <f>G494+G511+G518+G527+G534+G545+G573+G580+G594</f>
        <v>61665000.4</v>
      </c>
      <c r="H492" s="35">
        <f>H494+H511+H518+H527+H534+H545+H587</f>
        <v>2350000</v>
      </c>
      <c r="I492" s="35">
        <f>I494+I511+I518+I527+I534+I545</f>
        <v>0</v>
      </c>
      <c r="J492" s="35">
        <f>J494+J511+J518+J527+J534+J545+J573+J580+J587+J594</f>
        <v>64015000.4</v>
      </c>
      <c r="K492" s="35">
        <f aca="true" t="shared" si="57" ref="K492:Q492">K494+K511+K518+K527+K534+K545</f>
        <v>0</v>
      </c>
      <c r="L492" s="35">
        <f t="shared" si="57"/>
        <v>0</v>
      </c>
      <c r="M492" s="35">
        <f t="shared" si="57"/>
        <v>0</v>
      </c>
      <c r="N492" s="35">
        <f>N494+N511+N518+N527+N534+N545+N601</f>
        <v>45540000.00205</v>
      </c>
      <c r="O492" s="35">
        <f>O494+O511+O518+O527+O534+O545+O566</f>
        <v>4598293</v>
      </c>
      <c r="P492" s="35">
        <f>P494+P511+P518+P527+P534+P545+P566+P601</f>
        <v>50138293.00205</v>
      </c>
      <c r="Q492" s="35">
        <f t="shared" si="57"/>
        <v>0</v>
      </c>
    </row>
    <row r="493" spans="1:16" ht="23.25" customHeight="1">
      <c r="A493" s="8" t="s">
        <v>132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49" s="38" customFormat="1" ht="99" customHeight="1">
      <c r="A494" s="33" t="s">
        <v>481</v>
      </c>
      <c r="B494" s="34"/>
      <c r="C494" s="34"/>
      <c r="D494" s="35">
        <f>SUM(D495)+D502</f>
        <v>19868000</v>
      </c>
      <c r="E494" s="35"/>
      <c r="F494" s="35">
        <f>SUM(F495)+F502</f>
        <v>19868000</v>
      </c>
      <c r="G494" s="35">
        <f>SUM(G495)+G502+G508</f>
        <v>57733000</v>
      </c>
      <c r="H494" s="35"/>
      <c r="I494" s="35">
        <f>SUM(I495)+I502</f>
        <v>0</v>
      </c>
      <c r="J494" s="35">
        <f>SUM(J495)+J502+J508</f>
        <v>57733000</v>
      </c>
      <c r="K494" s="35">
        <f>SUM(K495)+K502</f>
        <v>0</v>
      </c>
      <c r="L494" s="35">
        <f>SUM(L495)+L502</f>
        <v>0</v>
      </c>
      <c r="M494" s="35">
        <f>SUM(M495)+M502</f>
        <v>0</v>
      </c>
      <c r="N494" s="35">
        <f>SUM(N495)+N502+N508+N505</f>
        <v>44210000</v>
      </c>
      <c r="O494" s="35"/>
      <c r="P494" s="35">
        <f>SUM(P495)+P502+P508+P505</f>
        <v>44210000</v>
      </c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</row>
    <row r="495" spans="1:149" s="38" customFormat="1" ht="90.75" customHeight="1">
      <c r="A495" s="33" t="s">
        <v>424</v>
      </c>
      <c r="B495" s="34"/>
      <c r="C495" s="34"/>
      <c r="D495" s="35">
        <f>SUM(D497)</f>
        <v>5868000</v>
      </c>
      <c r="E495" s="35"/>
      <c r="F495" s="35">
        <f>SUM(D495)</f>
        <v>5868000</v>
      </c>
      <c r="G495" s="35">
        <f>SUM(G497)</f>
        <v>11028000</v>
      </c>
      <c r="H495" s="35"/>
      <c r="I495" s="35"/>
      <c r="J495" s="35">
        <f>SUM(J497)</f>
        <v>11028000</v>
      </c>
      <c r="K495" s="35"/>
      <c r="L495" s="35"/>
      <c r="M495" s="35"/>
      <c r="N495" s="35">
        <f>SUM(N497)</f>
        <v>7410000</v>
      </c>
      <c r="O495" s="35"/>
      <c r="P495" s="35">
        <f>P497</f>
        <v>7410000</v>
      </c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</row>
    <row r="496" spans="1:16" ht="12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3.5" customHeight="1">
      <c r="A497" s="8" t="s">
        <v>43</v>
      </c>
      <c r="B497" s="6"/>
      <c r="C497" s="6"/>
      <c r="D497" s="7">
        <f>6000000-180000-320000+180000+60000+90000+38000</f>
        <v>5868000</v>
      </c>
      <c r="E497" s="7"/>
      <c r="F497" s="7">
        <f>D497</f>
        <v>5868000</v>
      </c>
      <c r="G497" s="7">
        <f>6500000+4000000+190000+78000+140000+120000</f>
        <v>11028000</v>
      </c>
      <c r="H497" s="7"/>
      <c r="I497" s="7"/>
      <c r="J497" s="7">
        <f>SUM(G497)</f>
        <v>11028000</v>
      </c>
      <c r="K497" s="7"/>
      <c r="L497" s="7"/>
      <c r="M497" s="7"/>
      <c r="N497" s="7">
        <f>7000000+225000+185000</f>
        <v>7410000</v>
      </c>
      <c r="O497" s="7"/>
      <c r="P497" s="7">
        <f>N497</f>
        <v>7410000</v>
      </c>
    </row>
    <row r="498" spans="1:16" ht="12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7.5" customHeight="1">
      <c r="A499" s="8" t="s">
        <v>251</v>
      </c>
      <c r="B499" s="6"/>
      <c r="C499" s="6"/>
      <c r="D499" s="7">
        <v>12</v>
      </c>
      <c r="E499" s="7"/>
      <c r="F499" s="7">
        <v>12</v>
      </c>
      <c r="G499" s="7">
        <v>12</v>
      </c>
      <c r="H499" s="7"/>
      <c r="I499" s="7"/>
      <c r="J499" s="7">
        <v>12</v>
      </c>
      <c r="K499" s="7"/>
      <c r="L499" s="7"/>
      <c r="M499" s="7"/>
      <c r="N499" s="7">
        <v>12</v>
      </c>
      <c r="O499" s="7"/>
      <c r="P499" s="7">
        <v>12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36" customHeight="1">
      <c r="A501" s="8" t="s">
        <v>252</v>
      </c>
      <c r="B501" s="6"/>
      <c r="C501" s="6"/>
      <c r="D501" s="7">
        <f>SUM(D497)/D499</f>
        <v>489000</v>
      </c>
      <c r="E501" s="7"/>
      <c r="F501" s="7">
        <f>D501</f>
        <v>489000</v>
      </c>
      <c r="G501" s="7">
        <f>SUM(G497)/G499</f>
        <v>919000</v>
      </c>
      <c r="H501" s="7"/>
      <c r="I501" s="7"/>
      <c r="J501" s="7">
        <f>SUM(J497)/J499</f>
        <v>919000</v>
      </c>
      <c r="K501" s="7"/>
      <c r="L501" s="7"/>
      <c r="M501" s="7"/>
      <c r="N501" s="7">
        <f>SUM(N497)/N499</f>
        <v>617500</v>
      </c>
      <c r="O501" s="7"/>
      <c r="P501" s="7">
        <f>SUM(P497)/P499</f>
        <v>617500</v>
      </c>
    </row>
    <row r="502" spans="1:16" ht="24" customHeight="1">
      <c r="A502" s="33" t="s">
        <v>408</v>
      </c>
      <c r="B502" s="6"/>
      <c r="C502" s="6"/>
      <c r="D502" s="7">
        <f>D504</f>
        <v>14000000</v>
      </c>
      <c r="E502" s="7"/>
      <c r="F502" s="7">
        <f>F504</f>
        <v>14000000</v>
      </c>
      <c r="G502" s="7">
        <f>G504</f>
        <v>45705000</v>
      </c>
      <c r="H502" s="7"/>
      <c r="I502" s="7"/>
      <c r="J502" s="7">
        <f>G502</f>
        <v>45705000</v>
      </c>
      <c r="K502" s="7"/>
      <c r="L502" s="7"/>
      <c r="M502" s="7"/>
      <c r="N502" s="7"/>
      <c r="O502" s="7"/>
      <c r="P502" s="7"/>
    </row>
    <row r="503" spans="1:16" ht="16.5" customHeight="1">
      <c r="A503" s="5" t="s">
        <v>4</v>
      </c>
      <c r="B503" s="6"/>
      <c r="C503" s="6"/>
      <c r="D503" s="7"/>
      <c r="E503" s="7"/>
      <c r="F503" s="7"/>
      <c r="G503" s="162">
        <v>1</v>
      </c>
      <c r="H503" s="162"/>
      <c r="I503" s="162"/>
      <c r="J503" s="162"/>
      <c r="K503" s="162"/>
      <c r="L503" s="162"/>
      <c r="M503" s="162"/>
      <c r="N503" s="162"/>
      <c r="O503" s="7"/>
      <c r="P503" s="7"/>
    </row>
    <row r="504" spans="1:16" ht="12.75" customHeight="1">
      <c r="A504" s="5" t="s">
        <v>43</v>
      </c>
      <c r="B504" s="6"/>
      <c r="C504" s="6"/>
      <c r="D504" s="7">
        <f>3000000+2000000+3000000+1000000+3000000+2000000</f>
        <v>14000000</v>
      </c>
      <c r="E504" s="7"/>
      <c r="F504" s="7">
        <f>3000000+2000000+3000000+1000000+3000000+2000000</f>
        <v>14000000</v>
      </c>
      <c r="G504" s="7">
        <f>0+4000000+2725000+3000000+9000000+3000000+3000000+3000000+3200000+4000000+3500000+5000000+2280000</f>
        <v>45705000</v>
      </c>
      <c r="H504" s="7"/>
      <c r="I504" s="7"/>
      <c r="J504" s="7">
        <f>G504</f>
        <v>45705000</v>
      </c>
      <c r="K504" s="7"/>
      <c r="L504" s="7"/>
      <c r="M504" s="7"/>
      <c r="N504" s="7"/>
      <c r="O504" s="7"/>
      <c r="P504" s="7"/>
    </row>
    <row r="505" spans="1:16" ht="33.75" customHeight="1">
      <c r="A505" s="33" t="s">
        <v>482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>
        <f>N506*N507</f>
        <v>35800000</v>
      </c>
      <c r="O505" s="7"/>
      <c r="P505" s="7">
        <f>N505</f>
        <v>35800000</v>
      </c>
    </row>
    <row r="506" spans="1:16" ht="15.75" customHeight="1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>
        <v>1</v>
      </c>
      <c r="O506" s="7"/>
      <c r="P506" s="7">
        <f>N506</f>
        <v>1</v>
      </c>
    </row>
    <row r="507" spans="1:16" ht="15.75" customHeight="1">
      <c r="A507" s="5" t="s">
        <v>43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>
        <f>26000000+8000000+1800000</f>
        <v>35800000</v>
      </c>
      <c r="O507" s="7"/>
      <c r="P507" s="7">
        <f>N507</f>
        <v>35800000</v>
      </c>
    </row>
    <row r="508" spans="1:16" ht="35.25" customHeight="1">
      <c r="A508" s="33" t="s">
        <v>442</v>
      </c>
      <c r="B508" s="6"/>
      <c r="C508" s="6"/>
      <c r="D508" s="7"/>
      <c r="E508" s="7"/>
      <c r="F508" s="7"/>
      <c r="G508" s="7">
        <f>G510</f>
        <v>1000000</v>
      </c>
      <c r="H508" s="7">
        <f>H510</f>
        <v>0</v>
      </c>
      <c r="I508" s="7">
        <f>I510</f>
        <v>0</v>
      </c>
      <c r="J508" s="7">
        <f>J510</f>
        <v>1000000</v>
      </c>
      <c r="K508" s="7"/>
      <c r="L508" s="7"/>
      <c r="M508" s="7"/>
      <c r="N508" s="7">
        <f>N510</f>
        <v>1000000</v>
      </c>
      <c r="O508" s="7"/>
      <c r="P508" s="7">
        <f>N508</f>
        <v>1000000</v>
      </c>
    </row>
    <row r="509" spans="1:16" ht="12.75" customHeight="1">
      <c r="A509" s="5" t="s">
        <v>4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5" t="s">
        <v>43</v>
      </c>
      <c r="B510" s="6"/>
      <c r="C510" s="6"/>
      <c r="D510" s="7"/>
      <c r="E510" s="7"/>
      <c r="F510" s="7"/>
      <c r="G510" s="7">
        <v>1000000</v>
      </c>
      <c r="H510" s="7"/>
      <c r="I510" s="7"/>
      <c r="J510" s="7">
        <f>G510+H510</f>
        <v>1000000</v>
      </c>
      <c r="K510" s="7"/>
      <c r="L510" s="7"/>
      <c r="M510" s="7"/>
      <c r="N510" s="7">
        <v>1000000</v>
      </c>
      <c r="O510" s="7"/>
      <c r="P510" s="7">
        <f>N510</f>
        <v>1000000</v>
      </c>
    </row>
    <row r="511" spans="1:149" s="38" customFormat="1" ht="25.5" customHeight="1">
      <c r="A511" s="33" t="s">
        <v>409</v>
      </c>
      <c r="B511" s="34"/>
      <c r="C511" s="34"/>
      <c r="D511" s="35">
        <f>D513</f>
        <v>70000</v>
      </c>
      <c r="E511" s="35"/>
      <c r="F511" s="35">
        <f>D511+E511</f>
        <v>70000</v>
      </c>
      <c r="G511" s="35">
        <f>G515*G517</f>
        <v>0</v>
      </c>
      <c r="H511" s="35"/>
      <c r="I511" s="35"/>
      <c r="J511" s="35">
        <f>G511</f>
        <v>0</v>
      </c>
      <c r="K511" s="35"/>
      <c r="L511" s="35"/>
      <c r="M511" s="35"/>
      <c r="N511" s="35">
        <f>N517*N515</f>
        <v>0</v>
      </c>
      <c r="O511" s="35"/>
      <c r="P511" s="35">
        <f>N511</f>
        <v>0</v>
      </c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</row>
    <row r="512" spans="1:16" ht="11.25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 customHeight="1">
      <c r="A513" s="8" t="s">
        <v>43</v>
      </c>
      <c r="B513" s="6"/>
      <c r="C513" s="6"/>
      <c r="D513" s="7">
        <f>D515*D517</f>
        <v>70000</v>
      </c>
      <c r="E513" s="7"/>
      <c r="F513" s="7">
        <f>D513+E513</f>
        <v>70000</v>
      </c>
      <c r="G513" s="7"/>
      <c r="H513" s="7"/>
      <c r="I513" s="7"/>
      <c r="J513" s="7">
        <f>G513</f>
        <v>0</v>
      </c>
      <c r="K513" s="7"/>
      <c r="L513" s="7"/>
      <c r="M513" s="7"/>
      <c r="N513" s="7"/>
      <c r="O513" s="7"/>
      <c r="P513" s="7">
        <f>N513</f>
        <v>0</v>
      </c>
    </row>
    <row r="514" spans="1:16" ht="11.25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23.25" customHeight="1">
      <c r="A515" s="8" t="s">
        <v>133</v>
      </c>
      <c r="B515" s="6"/>
      <c r="C515" s="6"/>
      <c r="D515" s="7">
        <v>2</v>
      </c>
      <c r="E515" s="7"/>
      <c r="F515" s="7">
        <f>D515+E515</f>
        <v>2</v>
      </c>
      <c r="G515" s="7"/>
      <c r="H515" s="7"/>
      <c r="I515" s="7"/>
      <c r="J515" s="7">
        <v>0</v>
      </c>
      <c r="K515" s="7"/>
      <c r="L515" s="7"/>
      <c r="M515" s="7"/>
      <c r="N515" s="7"/>
      <c r="O515" s="7"/>
      <c r="P515" s="7">
        <v>0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24.75" customHeight="1">
      <c r="A517" s="8" t="s">
        <v>134</v>
      </c>
      <c r="B517" s="6"/>
      <c r="C517" s="6"/>
      <c r="D517" s="7">
        <v>35000</v>
      </c>
      <c r="E517" s="7"/>
      <c r="F517" s="7">
        <f>D517+E517</f>
        <v>35000</v>
      </c>
      <c r="G517" s="7"/>
      <c r="H517" s="7"/>
      <c r="I517" s="7"/>
      <c r="J517" s="7">
        <f>G517</f>
        <v>0</v>
      </c>
      <c r="K517" s="7"/>
      <c r="L517" s="7"/>
      <c r="M517" s="7"/>
      <c r="N517" s="7"/>
      <c r="O517" s="7"/>
      <c r="P517" s="7">
        <v>0</v>
      </c>
    </row>
    <row r="518" spans="1:149" s="38" customFormat="1" ht="15" customHeight="1">
      <c r="A518" s="33" t="s">
        <v>410</v>
      </c>
      <c r="B518" s="34"/>
      <c r="C518" s="34"/>
      <c r="D518" s="35">
        <f>D520</f>
        <v>150399.999999935</v>
      </c>
      <c r="E518" s="35"/>
      <c r="F518" s="35">
        <f>D518</f>
        <v>150399.999999935</v>
      </c>
      <c r="G518" s="35">
        <f>G520</f>
        <v>200000.4</v>
      </c>
      <c r="H518" s="35"/>
      <c r="I518" s="35"/>
      <c r="J518" s="29">
        <f aca="true" t="shared" si="58" ref="J518:J526">G518</f>
        <v>200000.4</v>
      </c>
      <c r="K518" s="35"/>
      <c r="L518" s="35"/>
      <c r="M518" s="35"/>
      <c r="N518" s="35"/>
      <c r="O518" s="35"/>
      <c r="P518" s="35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</row>
    <row r="519" spans="1:16" ht="12" customHeight="1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>
        <f t="shared" si="58"/>
        <v>0</v>
      </c>
      <c r="K519" s="7"/>
      <c r="L519" s="7"/>
      <c r="M519" s="7"/>
      <c r="N519" s="7"/>
      <c r="O519" s="7"/>
      <c r="P519" s="7"/>
    </row>
    <row r="520" spans="1:16" ht="12" customHeight="1">
      <c r="A520" s="8" t="s">
        <v>43</v>
      </c>
      <c r="B520" s="6"/>
      <c r="C520" s="6"/>
      <c r="D520" s="7">
        <f>(D522*D525)+(D523*D526)</f>
        <v>150399.999999935</v>
      </c>
      <c r="E520" s="7"/>
      <c r="F520" s="7">
        <f>D520</f>
        <v>150399.999999935</v>
      </c>
      <c r="G520" s="7">
        <f>(G522*G525)+(G523*G526)</f>
        <v>200000.4</v>
      </c>
      <c r="H520" s="7"/>
      <c r="I520" s="7"/>
      <c r="J520" s="7">
        <f t="shared" si="58"/>
        <v>200000.4</v>
      </c>
      <c r="K520" s="7"/>
      <c r="L520" s="7"/>
      <c r="M520" s="7"/>
      <c r="N520" s="7"/>
      <c r="O520" s="7"/>
      <c r="P520" s="7"/>
    </row>
    <row r="521" spans="1:16" ht="12" customHeight="1">
      <c r="A521" s="5" t="s">
        <v>5</v>
      </c>
      <c r="B521" s="6"/>
      <c r="C521" s="6"/>
      <c r="D521" s="7"/>
      <c r="E521" s="7"/>
      <c r="F521" s="7"/>
      <c r="G521" s="7"/>
      <c r="H521" s="7"/>
      <c r="I521" s="7"/>
      <c r="J521" s="7">
        <f t="shared" si="58"/>
        <v>0</v>
      </c>
      <c r="K521" s="7"/>
      <c r="L521" s="7"/>
      <c r="M521" s="7"/>
      <c r="N521" s="7"/>
      <c r="O521" s="7"/>
      <c r="P521" s="7"/>
    </row>
    <row r="522" spans="1:16" ht="24.75" customHeight="1">
      <c r="A522" s="8" t="s">
        <v>155</v>
      </c>
      <c r="B522" s="6"/>
      <c r="C522" s="6"/>
      <c r="D522" s="7">
        <v>57</v>
      </c>
      <c r="E522" s="7"/>
      <c r="F522" s="7">
        <v>57</v>
      </c>
      <c r="G522" s="7">
        <v>57</v>
      </c>
      <c r="H522" s="7"/>
      <c r="I522" s="7"/>
      <c r="J522" s="7">
        <f t="shared" si="58"/>
        <v>57</v>
      </c>
      <c r="K522" s="7"/>
      <c r="L522" s="7"/>
      <c r="M522" s="7"/>
      <c r="N522" s="7"/>
      <c r="O522" s="7"/>
      <c r="P522" s="7"/>
    </row>
    <row r="523" spans="1:16" ht="15.75" customHeight="1">
      <c r="A523" s="8" t="s">
        <v>153</v>
      </c>
      <c r="B523" s="6"/>
      <c r="C523" s="6"/>
      <c r="D523" s="7">
        <v>145</v>
      </c>
      <c r="E523" s="7"/>
      <c r="F523" s="7">
        <f>D523</f>
        <v>145</v>
      </c>
      <c r="G523" s="7">
        <v>145</v>
      </c>
      <c r="H523" s="7"/>
      <c r="I523" s="7"/>
      <c r="J523" s="7">
        <f t="shared" si="58"/>
        <v>145</v>
      </c>
      <c r="K523" s="7"/>
      <c r="L523" s="7"/>
      <c r="M523" s="7"/>
      <c r="N523" s="7"/>
      <c r="O523" s="7"/>
      <c r="P523" s="7"/>
    </row>
    <row r="524" spans="1:16" ht="12.75" customHeight="1">
      <c r="A524" s="5" t="s">
        <v>7</v>
      </c>
      <c r="B524" s="6"/>
      <c r="C524" s="6"/>
      <c r="D524" s="7"/>
      <c r="E524" s="7"/>
      <c r="F524" s="7"/>
      <c r="G524" s="7"/>
      <c r="H524" s="7"/>
      <c r="I524" s="7"/>
      <c r="J524" s="7">
        <f t="shared" si="58"/>
        <v>0</v>
      </c>
      <c r="K524" s="7"/>
      <c r="L524" s="7"/>
      <c r="M524" s="7"/>
      <c r="N524" s="7"/>
      <c r="O524" s="7"/>
      <c r="P524" s="7"/>
    </row>
    <row r="525" spans="1:16" ht="24.75" customHeight="1">
      <c r="A525" s="8" t="s">
        <v>154</v>
      </c>
      <c r="B525" s="6"/>
      <c r="C525" s="6"/>
      <c r="D525" s="7">
        <v>1950.89</v>
      </c>
      <c r="E525" s="7"/>
      <c r="F525" s="7">
        <f>D525</f>
        <v>1950.89</v>
      </c>
      <c r="G525" s="7">
        <v>2596.5</v>
      </c>
      <c r="H525" s="7"/>
      <c r="I525" s="7"/>
      <c r="J525" s="7">
        <f t="shared" si="58"/>
        <v>2596.5</v>
      </c>
      <c r="K525" s="7"/>
      <c r="L525" s="7"/>
      <c r="M525" s="7"/>
      <c r="N525" s="7"/>
      <c r="O525" s="7"/>
      <c r="P525" s="7"/>
    </row>
    <row r="526" spans="1:16" ht="24.75" customHeight="1">
      <c r="A526" s="8" t="s">
        <v>156</v>
      </c>
      <c r="B526" s="6"/>
      <c r="C526" s="6"/>
      <c r="D526" s="7">
        <v>270.339793103</v>
      </c>
      <c r="E526" s="7"/>
      <c r="F526" s="7">
        <f>D526</f>
        <v>270.339793103</v>
      </c>
      <c r="G526" s="7">
        <v>358.62</v>
      </c>
      <c r="H526" s="7"/>
      <c r="I526" s="7"/>
      <c r="J526" s="7">
        <f t="shared" si="58"/>
        <v>358.62</v>
      </c>
      <c r="K526" s="7"/>
      <c r="L526" s="7"/>
      <c r="M526" s="7"/>
      <c r="N526" s="7"/>
      <c r="O526" s="7"/>
      <c r="P526" s="7"/>
    </row>
    <row r="527" spans="1:149" s="38" customFormat="1" ht="25.5" customHeight="1">
      <c r="A527" s="33" t="s">
        <v>411</v>
      </c>
      <c r="B527" s="34"/>
      <c r="C527" s="34"/>
      <c r="D527" s="35">
        <f>D529</f>
        <v>399999.99999963003</v>
      </c>
      <c r="E527" s="35"/>
      <c r="F527" s="35">
        <f>D527</f>
        <v>399999.99999963003</v>
      </c>
      <c r="G527" s="35">
        <f>G529</f>
        <v>450000</v>
      </c>
      <c r="H527" s="35"/>
      <c r="I527" s="35"/>
      <c r="J527" s="35">
        <f>G527+H527</f>
        <v>450000</v>
      </c>
      <c r="K527" s="35"/>
      <c r="L527" s="35"/>
      <c r="M527" s="35"/>
      <c r="N527" s="35">
        <f>N529</f>
        <v>500000.00204999995</v>
      </c>
      <c r="O527" s="35"/>
      <c r="P527" s="35">
        <f>N527</f>
        <v>500000.00204999995</v>
      </c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</row>
    <row r="528" spans="1:16" ht="11.25" customHeight="1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35"/>
    </row>
    <row r="529" spans="1:16" ht="14.25" customHeight="1">
      <c r="A529" s="8" t="s">
        <v>43</v>
      </c>
      <c r="B529" s="6"/>
      <c r="C529" s="6"/>
      <c r="D529" s="7">
        <f>D531*D533</f>
        <v>399999.99999963003</v>
      </c>
      <c r="E529" s="7"/>
      <c r="F529" s="7">
        <f>D529+E529</f>
        <v>399999.99999963003</v>
      </c>
      <c r="G529" s="7">
        <f>G531*G533</f>
        <v>450000</v>
      </c>
      <c r="H529" s="7"/>
      <c r="I529" s="7"/>
      <c r="J529" s="7">
        <f>G529+H529</f>
        <v>450000</v>
      </c>
      <c r="K529" s="7"/>
      <c r="L529" s="7"/>
      <c r="M529" s="7"/>
      <c r="N529" s="7">
        <f>N531*N533</f>
        <v>500000.00204999995</v>
      </c>
      <c r="O529" s="7"/>
      <c r="P529" s="35">
        <f>N529</f>
        <v>500000.00204999995</v>
      </c>
    </row>
    <row r="530" spans="1:16" ht="10.5" customHeight="1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35"/>
    </row>
    <row r="531" spans="1:16" ht="24.75" customHeight="1">
      <c r="A531" s="8" t="s">
        <v>161</v>
      </c>
      <c r="B531" s="6"/>
      <c r="C531" s="6"/>
      <c r="D531" s="7">
        <v>307</v>
      </c>
      <c r="E531" s="7"/>
      <c r="F531" s="7">
        <f>D531</f>
        <v>307</v>
      </c>
      <c r="G531" s="7">
        <v>300</v>
      </c>
      <c r="H531" s="7"/>
      <c r="I531" s="7"/>
      <c r="J531" s="7">
        <f>G531+H531</f>
        <v>300</v>
      </c>
      <c r="K531" s="7"/>
      <c r="L531" s="7"/>
      <c r="M531" s="7"/>
      <c r="N531" s="7">
        <v>213</v>
      </c>
      <c r="O531" s="7"/>
      <c r="P531" s="35">
        <f>N531</f>
        <v>213</v>
      </c>
    </row>
    <row r="532" spans="1:16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5"/>
    </row>
    <row r="533" spans="1:16" ht="24.75" customHeight="1">
      <c r="A533" s="8" t="s">
        <v>162</v>
      </c>
      <c r="B533" s="6"/>
      <c r="C533" s="6"/>
      <c r="D533" s="7">
        <v>1302.93159609</v>
      </c>
      <c r="E533" s="7"/>
      <c r="F533" s="7">
        <f>D533</f>
        <v>1302.93159609</v>
      </c>
      <c r="G533" s="7">
        <f>450000/300</f>
        <v>1500</v>
      </c>
      <c r="H533" s="7"/>
      <c r="I533" s="7"/>
      <c r="J533" s="7">
        <f>G533+H533</f>
        <v>1500</v>
      </c>
      <c r="K533" s="7"/>
      <c r="L533" s="7"/>
      <c r="M533" s="7"/>
      <c r="N533" s="7">
        <v>2347.41785</v>
      </c>
      <c r="O533" s="7"/>
      <c r="P533" s="35">
        <f>N533</f>
        <v>2347.41785</v>
      </c>
    </row>
    <row r="534" spans="1:149" s="38" customFormat="1" ht="36.75" customHeight="1">
      <c r="A534" s="33" t="s">
        <v>412</v>
      </c>
      <c r="B534" s="34"/>
      <c r="C534" s="34"/>
      <c r="D534" s="35">
        <f>700000+35000+10000</f>
        <v>745000</v>
      </c>
      <c r="E534" s="35">
        <f>E536</f>
        <v>1000000</v>
      </c>
      <c r="F534" s="35">
        <f>D534+E534</f>
        <v>1745000</v>
      </c>
      <c r="G534" s="35">
        <v>200000</v>
      </c>
      <c r="H534" s="35">
        <f>1300000+50000</f>
        <v>1350000</v>
      </c>
      <c r="I534" s="35"/>
      <c r="J534" s="35">
        <f>G534+H534</f>
        <v>1550000</v>
      </c>
      <c r="K534" s="35"/>
      <c r="L534" s="35"/>
      <c r="M534" s="35"/>
      <c r="N534" s="35">
        <f>N539*N542</f>
        <v>400000</v>
      </c>
      <c r="O534" s="35">
        <f>O539*O542</f>
        <v>1600000</v>
      </c>
      <c r="P534" s="35">
        <f>O534+N534</f>
        <v>2000000</v>
      </c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</row>
    <row r="535" spans="1:16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35"/>
    </row>
    <row r="536" spans="1:16" ht="22.5">
      <c r="A536" s="8" t="s">
        <v>347</v>
      </c>
      <c r="B536" s="6"/>
      <c r="C536" s="6"/>
      <c r="D536" s="7">
        <v>700000</v>
      </c>
      <c r="E536" s="7">
        <f>E539*E542</f>
        <v>1000000</v>
      </c>
      <c r="F536" s="7">
        <f>D536+E536</f>
        <v>1700000</v>
      </c>
      <c r="G536" s="7">
        <v>200000</v>
      </c>
      <c r="H536" s="7">
        <f>1300000+50000</f>
        <v>1350000</v>
      </c>
      <c r="I536" s="7"/>
      <c r="J536" s="7">
        <f>G536+H536</f>
        <v>1550000</v>
      </c>
      <c r="K536" s="7"/>
      <c r="L536" s="7"/>
      <c r="M536" s="7"/>
      <c r="N536" s="7">
        <f>N539*N542</f>
        <v>400000</v>
      </c>
      <c r="O536" s="7">
        <f>O539*O542</f>
        <v>1600000</v>
      </c>
      <c r="P536" s="7">
        <f>O536+N536</f>
        <v>2000000</v>
      </c>
    </row>
    <row r="537" spans="1:16" ht="22.5">
      <c r="A537" s="8" t="s">
        <v>350</v>
      </c>
      <c r="B537" s="6"/>
      <c r="C537" s="6"/>
      <c r="D537" s="7">
        <f>35000+10000</f>
        <v>45000</v>
      </c>
      <c r="E537" s="7"/>
      <c r="F537" s="7">
        <f>D537+E537</f>
        <v>45000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1.25">
      <c r="A538" s="5" t="s">
        <v>5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22.5">
      <c r="A539" s="71" t="s">
        <v>182</v>
      </c>
      <c r="B539" s="6"/>
      <c r="C539" s="6"/>
      <c r="D539" s="7">
        <v>6</v>
      </c>
      <c r="E539" s="7">
        <v>2</v>
      </c>
      <c r="F539" s="7">
        <f>D539+E539</f>
        <v>8</v>
      </c>
      <c r="G539" s="7">
        <v>1</v>
      </c>
      <c r="H539" s="7">
        <v>3</v>
      </c>
      <c r="I539" s="7"/>
      <c r="J539" s="7">
        <f>G539+H539</f>
        <v>4</v>
      </c>
      <c r="K539" s="7"/>
      <c r="L539" s="7"/>
      <c r="M539" s="7"/>
      <c r="N539" s="7">
        <v>5</v>
      </c>
      <c r="O539" s="7">
        <v>4</v>
      </c>
      <c r="P539" s="7">
        <f>O539+N539</f>
        <v>9</v>
      </c>
    </row>
    <row r="540" spans="1:16" ht="22.5">
      <c r="A540" s="71" t="s">
        <v>348</v>
      </c>
      <c r="B540" s="6"/>
      <c r="C540" s="6"/>
      <c r="D540" s="7">
        <v>1</v>
      </c>
      <c r="E540" s="7"/>
      <c r="F540" s="7">
        <f>D540+E540</f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1.25">
      <c r="A541" s="5" t="s">
        <v>7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33.75">
      <c r="A542" s="8" t="s">
        <v>202</v>
      </c>
      <c r="B542" s="6"/>
      <c r="C542" s="6"/>
      <c r="D542" s="7">
        <v>116666.66</v>
      </c>
      <c r="E542" s="7">
        <v>500000</v>
      </c>
      <c r="F542" s="7">
        <f>D542+E542</f>
        <v>616666.66</v>
      </c>
      <c r="G542" s="7">
        <v>200000</v>
      </c>
      <c r="H542" s="7">
        <v>433333.33</v>
      </c>
      <c r="I542" s="7"/>
      <c r="J542" s="7">
        <f>G542+H542</f>
        <v>633333.3300000001</v>
      </c>
      <c r="K542" s="7"/>
      <c r="L542" s="7"/>
      <c r="M542" s="7"/>
      <c r="N542" s="7">
        <v>80000</v>
      </c>
      <c r="O542" s="7">
        <v>400000</v>
      </c>
      <c r="P542" s="7">
        <f>O542+N542</f>
        <v>480000</v>
      </c>
    </row>
    <row r="543" spans="1:16" ht="22.5">
      <c r="A543" s="8" t="s">
        <v>349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1.25">
      <c r="A544" s="8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49" s="38" customFormat="1" ht="24.75" customHeight="1">
      <c r="A545" s="33" t="s">
        <v>413</v>
      </c>
      <c r="B545" s="34"/>
      <c r="C545" s="34"/>
      <c r="D545" s="35">
        <f>D547</f>
        <v>100000</v>
      </c>
      <c r="E545" s="35"/>
      <c r="F545" s="35">
        <f>D545+E545</f>
        <v>100000</v>
      </c>
      <c r="G545" s="35">
        <f>G549*G551</f>
        <v>130000</v>
      </c>
      <c r="H545" s="35"/>
      <c r="I545" s="35"/>
      <c r="J545" s="35">
        <f>G545+H545</f>
        <v>130000</v>
      </c>
      <c r="K545" s="35"/>
      <c r="L545" s="35"/>
      <c r="M545" s="35"/>
      <c r="N545" s="35">
        <f>N551*N549</f>
        <v>350000</v>
      </c>
      <c r="O545" s="35">
        <f>O551*O549</f>
        <v>0</v>
      </c>
      <c r="P545" s="35">
        <f>P551*P549</f>
        <v>350000</v>
      </c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</row>
    <row r="546" spans="1:16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1.25">
      <c r="A547" s="8" t="s">
        <v>43</v>
      </c>
      <c r="B547" s="6"/>
      <c r="C547" s="6"/>
      <c r="D547" s="7">
        <f>D549*D551</f>
        <v>100000</v>
      </c>
      <c r="E547" s="7"/>
      <c r="F547" s="7">
        <f>D547+E547</f>
        <v>100000</v>
      </c>
      <c r="G547" s="7">
        <f>G549*G551</f>
        <v>130000</v>
      </c>
      <c r="H547" s="7"/>
      <c r="I547" s="7"/>
      <c r="J547" s="7">
        <f>G547+H547</f>
        <v>130000</v>
      </c>
      <c r="K547" s="7"/>
      <c r="L547" s="7"/>
      <c r="M547" s="7"/>
      <c r="N547" s="7">
        <f>N549*N551</f>
        <v>350000</v>
      </c>
      <c r="O547" s="7"/>
      <c r="P547" s="7">
        <f>N547+O547</f>
        <v>350000</v>
      </c>
    </row>
    <row r="548" spans="1:16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 customHeight="1">
      <c r="A549" s="8" t="s">
        <v>195</v>
      </c>
      <c r="B549" s="6"/>
      <c r="C549" s="6"/>
      <c r="D549" s="7">
        <v>8</v>
      </c>
      <c r="E549" s="7"/>
      <c r="F549" s="7">
        <f>D549+E549</f>
        <v>8</v>
      </c>
      <c r="G549" s="7">
        <v>2</v>
      </c>
      <c r="H549" s="7"/>
      <c r="I549" s="7"/>
      <c r="J549" s="7">
        <f>G549+H549</f>
        <v>2</v>
      </c>
      <c r="K549" s="7"/>
      <c r="L549" s="7"/>
      <c r="M549" s="7"/>
      <c r="N549" s="7">
        <v>5</v>
      </c>
      <c r="O549" s="7"/>
      <c r="P549" s="7">
        <f>N549+O549</f>
        <v>5</v>
      </c>
    </row>
    <row r="550" spans="1:16" ht="12" customHeight="1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24.75" customHeight="1">
      <c r="A551" s="8" t="s">
        <v>177</v>
      </c>
      <c r="B551" s="6"/>
      <c r="C551" s="6"/>
      <c r="D551" s="7">
        <f>100000/8</f>
        <v>12500</v>
      </c>
      <c r="E551" s="7"/>
      <c r="F551" s="7">
        <f>D551+E551</f>
        <v>12500</v>
      </c>
      <c r="G551" s="7">
        <v>65000</v>
      </c>
      <c r="H551" s="7"/>
      <c r="I551" s="7"/>
      <c r="J551" s="7">
        <f>G551+H551</f>
        <v>65000</v>
      </c>
      <c r="K551" s="7"/>
      <c r="L551" s="7"/>
      <c r="M551" s="7"/>
      <c r="N551" s="7">
        <v>70000</v>
      </c>
      <c r="O551" s="7"/>
      <c r="P551" s="7">
        <f>N551+O551</f>
        <v>70000</v>
      </c>
    </row>
    <row r="552" spans="1:17" ht="33.75">
      <c r="A552" s="33" t="s">
        <v>414</v>
      </c>
      <c r="B552" s="34"/>
      <c r="C552" s="34"/>
      <c r="D552" s="22"/>
      <c r="E552" s="35">
        <f>E554</f>
        <v>50000</v>
      </c>
      <c r="F552" s="35">
        <f>F554</f>
        <v>50000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72"/>
    </row>
    <row r="553" spans="1:17" ht="11.25">
      <c r="A553" s="5" t="s">
        <v>4</v>
      </c>
      <c r="B553" s="6"/>
      <c r="C553" s="6"/>
      <c r="D553" s="2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2"/>
    </row>
    <row r="554" spans="1:17" ht="11.25">
      <c r="A554" s="8" t="s">
        <v>43</v>
      </c>
      <c r="B554" s="6"/>
      <c r="C554" s="6"/>
      <c r="D554" s="22"/>
      <c r="E554" s="7">
        <f>E556*E558</f>
        <v>50000</v>
      </c>
      <c r="F554" s="7">
        <f>F556*F558</f>
        <v>50000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3"/>
    </row>
    <row r="555" spans="1:17" ht="11.25">
      <c r="A555" s="5" t="s">
        <v>5</v>
      </c>
      <c r="B555" s="6"/>
      <c r="C555" s="6"/>
      <c r="D555" s="2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3"/>
    </row>
    <row r="556" spans="1:17" ht="22.5">
      <c r="A556" s="8" t="s">
        <v>195</v>
      </c>
      <c r="B556" s="6"/>
      <c r="C556" s="6"/>
      <c r="D556" s="22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3">
        <v>5500</v>
      </c>
    </row>
    <row r="557" spans="1:17" ht="11.25">
      <c r="A557" s="5" t="s">
        <v>7</v>
      </c>
      <c r="B557" s="6"/>
      <c r="C557" s="6"/>
      <c r="D557" s="2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17" ht="22.5">
      <c r="A558" s="8" t="s">
        <v>177</v>
      </c>
      <c r="B558" s="6"/>
      <c r="C558" s="6"/>
      <c r="D558" s="22"/>
      <c r="E558" s="7">
        <v>50000</v>
      </c>
      <c r="F558" s="7">
        <v>50000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33.75">
      <c r="A559" s="33" t="s">
        <v>415</v>
      </c>
      <c r="B559" s="34"/>
      <c r="C559" s="34"/>
      <c r="D559" s="35">
        <f>D561</f>
        <v>790000</v>
      </c>
      <c r="E559" s="35"/>
      <c r="F559" s="35">
        <f>F561</f>
        <v>790000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>
        <f>D563*D565</f>
        <v>790000</v>
      </c>
      <c r="E561" s="7"/>
      <c r="F561" s="7">
        <f>F563*F565</f>
        <v>790000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>
        <v>1</v>
      </c>
      <c r="E563" s="7"/>
      <c r="F563" s="7">
        <v>1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17" ht="22.5">
      <c r="A565" s="8" t="s">
        <v>177</v>
      </c>
      <c r="B565" s="6"/>
      <c r="C565" s="6"/>
      <c r="D565" s="7">
        <v>790000</v>
      </c>
      <c r="E565" s="7"/>
      <c r="F565" s="7">
        <v>790000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</row>
    <row r="566" spans="1:17" ht="36" customHeight="1">
      <c r="A566" s="33" t="s">
        <v>416</v>
      </c>
      <c r="B566" s="34"/>
      <c r="C566" s="34"/>
      <c r="D566" s="35"/>
      <c r="E566" s="35">
        <f>E568</f>
        <v>320000</v>
      </c>
      <c r="F566" s="35">
        <f>F568</f>
        <v>320000</v>
      </c>
      <c r="G566" s="35"/>
      <c r="H566" s="35"/>
      <c r="I566" s="35"/>
      <c r="J566" s="35"/>
      <c r="K566" s="35"/>
      <c r="L566" s="35"/>
      <c r="M566" s="35"/>
      <c r="N566" s="35"/>
      <c r="O566" s="35">
        <f>O568</f>
        <v>2998293</v>
      </c>
      <c r="P566" s="35">
        <f>N566+O566</f>
        <v>2998293</v>
      </c>
      <c r="Q566" s="24"/>
    </row>
    <row r="567" spans="1:17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35"/>
      <c r="Q567" s="24"/>
    </row>
    <row r="568" spans="1:17" ht="11.25">
      <c r="A568" s="8" t="s">
        <v>43</v>
      </c>
      <c r="B568" s="6"/>
      <c r="C568" s="6"/>
      <c r="D568" s="7"/>
      <c r="E568" s="7">
        <f>E570*E572</f>
        <v>320000</v>
      </c>
      <c r="F568" s="7">
        <f>F570*F572</f>
        <v>320000</v>
      </c>
      <c r="G568" s="7"/>
      <c r="H568" s="7"/>
      <c r="I568" s="7"/>
      <c r="J568" s="7"/>
      <c r="K568" s="7"/>
      <c r="L568" s="7"/>
      <c r="M568" s="7"/>
      <c r="N568" s="7"/>
      <c r="O568" s="7">
        <f>1021000+701493+1275800</f>
        <v>2998293</v>
      </c>
      <c r="P568" s="7">
        <f>N568+O568</f>
        <v>2998293</v>
      </c>
      <c r="Q568" s="24"/>
    </row>
    <row r="569" spans="1:17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</row>
    <row r="570" spans="1:17" ht="22.5">
      <c r="A570" s="8" t="s">
        <v>195</v>
      </c>
      <c r="B570" s="6"/>
      <c r="C570" s="6"/>
      <c r="D570" s="7"/>
      <c r="E570" s="7">
        <v>1</v>
      </c>
      <c r="F570" s="7">
        <v>1</v>
      </c>
      <c r="G570" s="7"/>
      <c r="H570" s="7"/>
      <c r="I570" s="7"/>
      <c r="J570" s="7"/>
      <c r="K570" s="7"/>
      <c r="L570" s="7"/>
      <c r="M570" s="7"/>
      <c r="N570" s="7"/>
      <c r="O570" s="7">
        <v>1</v>
      </c>
      <c r="P570" s="7">
        <f>N570+O570</f>
        <v>1</v>
      </c>
      <c r="Q570" s="24"/>
    </row>
    <row r="571" spans="1:17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</row>
    <row r="572" spans="1:149" ht="11.25">
      <c r="A572" s="8" t="s">
        <v>326</v>
      </c>
      <c r="B572" s="6"/>
      <c r="C572" s="6"/>
      <c r="D572" s="7"/>
      <c r="E572" s="7">
        <v>320000</v>
      </c>
      <c r="F572" s="7">
        <v>320000</v>
      </c>
      <c r="G572" s="7"/>
      <c r="H572" s="7"/>
      <c r="I572" s="7"/>
      <c r="J572" s="7"/>
      <c r="K572" s="7"/>
      <c r="L572" s="7"/>
      <c r="M572" s="7"/>
      <c r="N572" s="7"/>
      <c r="O572" s="7">
        <f>1021000+701493+1275800</f>
        <v>2998293</v>
      </c>
      <c r="P572" s="7">
        <f>N572+O572</f>
        <v>2998293</v>
      </c>
      <c r="Q572" s="24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</row>
    <row r="573" spans="1:17" ht="24" customHeight="1">
      <c r="A573" s="33" t="s">
        <v>417</v>
      </c>
      <c r="B573" s="34"/>
      <c r="C573" s="34"/>
      <c r="D573" s="35"/>
      <c r="E573" s="35">
        <f>E575</f>
        <v>0</v>
      </c>
      <c r="F573" s="35">
        <f>F575</f>
        <v>0</v>
      </c>
      <c r="G573" s="35">
        <f>G575</f>
        <v>1952000</v>
      </c>
      <c r="H573" s="35"/>
      <c r="I573" s="35"/>
      <c r="J573" s="35">
        <f>J575</f>
        <v>1952000</v>
      </c>
      <c r="K573" s="35"/>
      <c r="L573" s="35"/>
      <c r="M573" s="35"/>
      <c r="N573" s="35"/>
      <c r="O573" s="35"/>
      <c r="P573" s="35"/>
      <c r="Q573" s="24"/>
    </row>
    <row r="574" spans="1:17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</row>
    <row r="575" spans="1:17" ht="11.25">
      <c r="A575" s="8" t="s">
        <v>43</v>
      </c>
      <c r="B575" s="6"/>
      <c r="C575" s="6"/>
      <c r="D575" s="7"/>
      <c r="E575" s="7">
        <f>E577*E579</f>
        <v>0</v>
      </c>
      <c r="F575" s="7">
        <f>F577*F579</f>
        <v>0</v>
      </c>
      <c r="G575" s="7">
        <f>G577*G579</f>
        <v>1952000</v>
      </c>
      <c r="H575" s="7"/>
      <c r="I575" s="7"/>
      <c r="J575" s="7">
        <f>G575</f>
        <v>1952000</v>
      </c>
      <c r="K575" s="7"/>
      <c r="L575" s="7"/>
      <c r="M575" s="7"/>
      <c r="N575" s="7"/>
      <c r="O575" s="7"/>
      <c r="P575" s="7"/>
      <c r="Q575" s="24"/>
    </row>
    <row r="576" spans="1:17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</row>
    <row r="577" spans="1:17" ht="22.5">
      <c r="A577" s="8" t="s">
        <v>195</v>
      </c>
      <c r="B577" s="6"/>
      <c r="C577" s="6"/>
      <c r="D577" s="7"/>
      <c r="E577" s="7">
        <v>0</v>
      </c>
      <c r="F577" s="7">
        <v>0</v>
      </c>
      <c r="G577" s="7">
        <v>1</v>
      </c>
      <c r="H577" s="7"/>
      <c r="I577" s="7"/>
      <c r="J577" s="7">
        <f>G577</f>
        <v>1</v>
      </c>
      <c r="K577" s="7"/>
      <c r="L577" s="7"/>
      <c r="M577" s="7"/>
      <c r="N577" s="7"/>
      <c r="O577" s="7"/>
      <c r="P577" s="7"/>
      <c r="Q577" s="24"/>
    </row>
    <row r="578" spans="1:17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</row>
    <row r="579" spans="1:149" ht="11.25">
      <c r="A579" s="8" t="s">
        <v>326</v>
      </c>
      <c r="B579" s="6"/>
      <c r="C579" s="6"/>
      <c r="D579" s="7"/>
      <c r="E579" s="7"/>
      <c r="F579" s="7">
        <v>0</v>
      </c>
      <c r="G579" s="7">
        <f>2300000-348000</f>
        <v>1952000</v>
      </c>
      <c r="H579" s="7"/>
      <c r="I579" s="7"/>
      <c r="J579" s="7">
        <f>G579</f>
        <v>1952000</v>
      </c>
      <c r="K579" s="7"/>
      <c r="L579" s="7"/>
      <c r="M579" s="7"/>
      <c r="N579" s="7"/>
      <c r="O579" s="7"/>
      <c r="P579" s="7"/>
      <c r="Q579" s="24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  <c r="EB579" s="52"/>
      <c r="EC579" s="52"/>
      <c r="ED579" s="52"/>
      <c r="EE579" s="52"/>
      <c r="EF579" s="52"/>
      <c r="EG579" s="52"/>
      <c r="EH579" s="52"/>
      <c r="EI579" s="52"/>
      <c r="EJ579" s="52"/>
      <c r="EK579" s="52"/>
      <c r="EL579" s="52"/>
      <c r="EM579" s="52"/>
      <c r="EN579" s="52"/>
      <c r="EO579" s="52"/>
      <c r="EP579" s="52"/>
      <c r="EQ579" s="52"/>
      <c r="ER579" s="52"/>
      <c r="ES579" s="52"/>
    </row>
    <row r="580" spans="1:149" ht="33.75">
      <c r="A580" s="33" t="s">
        <v>418</v>
      </c>
      <c r="B580" s="6"/>
      <c r="C580" s="6"/>
      <c r="D580" s="7"/>
      <c r="E580" s="7"/>
      <c r="F580" s="7"/>
      <c r="G580" s="35">
        <f>G582</f>
        <v>920000</v>
      </c>
      <c r="H580" s="7"/>
      <c r="I580" s="7"/>
      <c r="J580" s="35">
        <f>G580</f>
        <v>920000</v>
      </c>
      <c r="K580" s="7"/>
      <c r="L580" s="7"/>
      <c r="M580" s="7"/>
      <c r="N580" s="7"/>
      <c r="O580" s="7"/>
      <c r="P580" s="7"/>
      <c r="Q580" s="24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</row>
    <row r="581" spans="1:149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  <c r="EB581" s="52"/>
      <c r="EC581" s="52"/>
      <c r="ED581" s="52"/>
      <c r="EE581" s="52"/>
      <c r="EF581" s="52"/>
      <c r="EG581" s="52"/>
      <c r="EH581" s="52"/>
      <c r="EI581" s="52"/>
      <c r="EJ581" s="52"/>
      <c r="EK581" s="52"/>
      <c r="EL581" s="52"/>
      <c r="EM581" s="52"/>
      <c r="EN581" s="52"/>
      <c r="EO581" s="52"/>
      <c r="EP581" s="52"/>
      <c r="EQ581" s="52"/>
      <c r="ER581" s="52"/>
      <c r="ES581" s="52"/>
    </row>
    <row r="582" spans="1:149" ht="11.25">
      <c r="A582" s="8" t="s">
        <v>43</v>
      </c>
      <c r="B582" s="6"/>
      <c r="C582" s="6"/>
      <c r="D582" s="7"/>
      <c r="E582" s="7"/>
      <c r="F582" s="7"/>
      <c r="G582" s="7">
        <f>3200000-2280000</f>
        <v>920000</v>
      </c>
      <c r="H582" s="7"/>
      <c r="I582" s="7"/>
      <c r="J582" s="7">
        <f>G582</f>
        <v>920000</v>
      </c>
      <c r="K582" s="7"/>
      <c r="L582" s="7"/>
      <c r="M582" s="7"/>
      <c r="N582" s="7"/>
      <c r="O582" s="7"/>
      <c r="P582" s="7"/>
      <c r="Q582" s="24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</row>
    <row r="583" spans="1:149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  <c r="EB583" s="52"/>
      <c r="EC583" s="52"/>
      <c r="ED583" s="52"/>
      <c r="EE583" s="52"/>
      <c r="EF583" s="52"/>
      <c r="EG583" s="52"/>
      <c r="EH583" s="52"/>
      <c r="EI583" s="52"/>
      <c r="EJ583" s="52"/>
      <c r="EK583" s="52"/>
      <c r="EL583" s="52"/>
      <c r="EM583" s="52"/>
      <c r="EN583" s="52"/>
      <c r="EO583" s="52"/>
      <c r="EP583" s="52"/>
      <c r="EQ583" s="52"/>
      <c r="ER583" s="52"/>
      <c r="ES583" s="52"/>
    </row>
    <row r="584" spans="1:149" ht="22.5">
      <c r="A584" s="8" t="s">
        <v>195</v>
      </c>
      <c r="B584" s="6"/>
      <c r="C584" s="6"/>
      <c r="D584" s="7"/>
      <c r="E584" s="7"/>
      <c r="F584" s="7"/>
      <c r="G584" s="7">
        <v>17</v>
      </c>
      <c r="H584" s="7"/>
      <c r="I584" s="7"/>
      <c r="J584" s="7">
        <f>G584</f>
        <v>17</v>
      </c>
      <c r="K584" s="7"/>
      <c r="L584" s="7"/>
      <c r="M584" s="7"/>
      <c r="N584" s="7"/>
      <c r="O584" s="7"/>
      <c r="P584" s="7"/>
      <c r="Q584" s="24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</row>
    <row r="585" spans="1:149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  <c r="EB585" s="52"/>
      <c r="EC585" s="52"/>
      <c r="ED585" s="52"/>
      <c r="EE585" s="52"/>
      <c r="EF585" s="52"/>
      <c r="EG585" s="52"/>
      <c r="EH585" s="52"/>
      <c r="EI585" s="52"/>
      <c r="EJ585" s="52"/>
      <c r="EK585" s="52"/>
      <c r="EL585" s="52"/>
      <c r="EM585" s="52"/>
      <c r="EN585" s="52"/>
      <c r="EO585" s="52"/>
      <c r="EP585" s="52"/>
      <c r="EQ585" s="52"/>
      <c r="ER585" s="52"/>
      <c r="ES585" s="52"/>
    </row>
    <row r="586" spans="1:149" ht="11.25">
      <c r="A586" s="8" t="s">
        <v>326</v>
      </c>
      <c r="B586" s="6"/>
      <c r="C586" s="6"/>
      <c r="D586" s="7"/>
      <c r="E586" s="7"/>
      <c r="F586" s="7"/>
      <c r="G586" s="7">
        <v>54117.65</v>
      </c>
      <c r="H586" s="7"/>
      <c r="I586" s="7"/>
      <c r="J586" s="7">
        <f>G586</f>
        <v>54117.65</v>
      </c>
      <c r="K586" s="7"/>
      <c r="L586" s="7"/>
      <c r="M586" s="7"/>
      <c r="N586" s="7"/>
      <c r="O586" s="7"/>
      <c r="P586" s="7"/>
      <c r="Q586" s="24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</row>
    <row r="587" spans="1:149" ht="33.75">
      <c r="A587" s="153" t="s">
        <v>422</v>
      </c>
      <c r="B587" s="6"/>
      <c r="C587" s="6"/>
      <c r="D587" s="7"/>
      <c r="E587" s="7"/>
      <c r="F587" s="7"/>
      <c r="G587" s="35"/>
      <c r="H587" s="35">
        <f>H589</f>
        <v>1000000</v>
      </c>
      <c r="I587" s="7"/>
      <c r="J587" s="35">
        <f>H587</f>
        <v>1000000</v>
      </c>
      <c r="K587" s="7"/>
      <c r="L587" s="7"/>
      <c r="M587" s="7"/>
      <c r="N587" s="7"/>
      <c r="O587" s="7"/>
      <c r="P587" s="7"/>
      <c r="Q587" s="24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  <c r="EB587" s="52"/>
      <c r="EC587" s="52"/>
      <c r="ED587" s="52"/>
      <c r="EE587" s="52"/>
      <c r="EF587" s="52"/>
      <c r="EG587" s="52"/>
      <c r="EH587" s="52"/>
      <c r="EI587" s="52"/>
      <c r="EJ587" s="52"/>
      <c r="EK587" s="52"/>
      <c r="EL587" s="52"/>
      <c r="EM587" s="52"/>
      <c r="EN587" s="52"/>
      <c r="EO587" s="52"/>
      <c r="EP587" s="52"/>
      <c r="EQ587" s="52"/>
      <c r="ER587" s="52"/>
      <c r="ES587" s="52"/>
    </row>
    <row r="588" spans="1:149" ht="11.25">
      <c r="A588" s="5" t="s">
        <v>4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</row>
    <row r="589" spans="1:149" ht="11.25">
      <c r="A589" s="8" t="s">
        <v>43</v>
      </c>
      <c r="B589" s="6"/>
      <c r="C589" s="6"/>
      <c r="D589" s="7"/>
      <c r="E589" s="7"/>
      <c r="F589" s="7"/>
      <c r="G589" s="7"/>
      <c r="H589" s="7">
        <v>1000000</v>
      </c>
      <c r="I589" s="7"/>
      <c r="J589" s="7">
        <f>H589</f>
        <v>1000000</v>
      </c>
      <c r="K589" s="7"/>
      <c r="L589" s="7"/>
      <c r="M589" s="7"/>
      <c r="N589" s="7"/>
      <c r="O589" s="7"/>
      <c r="P589" s="7"/>
      <c r="Q589" s="24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</row>
    <row r="590" spans="1:149" ht="11.25">
      <c r="A590" s="5" t="s">
        <v>5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</row>
    <row r="591" spans="1:149" ht="11.25">
      <c r="A591" s="8" t="s">
        <v>398</v>
      </c>
      <c r="B591" s="6"/>
      <c r="C591" s="6"/>
      <c r="D591" s="7"/>
      <c r="E591" s="7"/>
      <c r="F591" s="7"/>
      <c r="G591" s="7"/>
      <c r="H591" s="7">
        <v>1</v>
      </c>
      <c r="I591" s="7"/>
      <c r="J591" s="7">
        <f>H591</f>
        <v>1</v>
      </c>
      <c r="K591" s="7"/>
      <c r="L591" s="7"/>
      <c r="M591" s="7"/>
      <c r="N591" s="7"/>
      <c r="O591" s="7"/>
      <c r="P591" s="7"/>
      <c r="Q591" s="24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  <c r="EB591" s="52"/>
      <c r="EC591" s="52"/>
      <c r="ED591" s="52"/>
      <c r="EE591" s="52"/>
      <c r="EF591" s="52"/>
      <c r="EG591" s="52"/>
      <c r="EH591" s="52"/>
      <c r="EI591" s="52"/>
      <c r="EJ591" s="52"/>
      <c r="EK591" s="52"/>
      <c r="EL591" s="52"/>
      <c r="EM591" s="52"/>
      <c r="EN591" s="52"/>
      <c r="EO591" s="52"/>
      <c r="EP591" s="52"/>
      <c r="EQ591" s="52"/>
      <c r="ER591" s="52"/>
      <c r="ES591" s="52"/>
    </row>
    <row r="592" spans="1:149" ht="11.25">
      <c r="A592" s="5" t="s">
        <v>7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</row>
    <row r="593" spans="1:149" ht="11.25">
      <c r="A593" s="8" t="s">
        <v>326</v>
      </c>
      <c r="B593" s="6"/>
      <c r="C593" s="6"/>
      <c r="D593" s="7"/>
      <c r="E593" s="7"/>
      <c r="F593" s="7"/>
      <c r="G593" s="7"/>
      <c r="H593" s="7">
        <v>1000000</v>
      </c>
      <c r="I593" s="7"/>
      <c r="J593" s="7">
        <f>H593</f>
        <v>1000000</v>
      </c>
      <c r="K593" s="7"/>
      <c r="L593" s="7"/>
      <c r="M593" s="7"/>
      <c r="N593" s="7"/>
      <c r="O593" s="7"/>
      <c r="P593" s="7"/>
      <c r="Q593" s="24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  <c r="EB593" s="52"/>
      <c r="EC593" s="52"/>
      <c r="ED593" s="52"/>
      <c r="EE593" s="52"/>
      <c r="EF593" s="52"/>
      <c r="EG593" s="52"/>
      <c r="EH593" s="52"/>
      <c r="EI593" s="52"/>
      <c r="EJ593" s="52"/>
      <c r="EK593" s="52"/>
      <c r="EL593" s="52"/>
      <c r="EM593" s="52"/>
      <c r="EN593" s="52"/>
      <c r="EO593" s="52"/>
      <c r="EP593" s="52"/>
      <c r="EQ593" s="52"/>
      <c r="ER593" s="52"/>
      <c r="ES593" s="52"/>
    </row>
    <row r="594" spans="1:149" ht="22.5">
      <c r="A594" s="153" t="s">
        <v>423</v>
      </c>
      <c r="B594" s="6"/>
      <c r="C594" s="6"/>
      <c r="D594" s="7"/>
      <c r="E594" s="7"/>
      <c r="F594" s="7"/>
      <c r="G594" s="35">
        <f>G596</f>
        <v>80000</v>
      </c>
      <c r="H594" s="35">
        <f>H596</f>
        <v>0</v>
      </c>
      <c r="I594" s="7"/>
      <c r="J594" s="35">
        <f>H594+G594</f>
        <v>80000</v>
      </c>
      <c r="K594" s="7"/>
      <c r="L594" s="7"/>
      <c r="M594" s="7"/>
      <c r="N594" s="7"/>
      <c r="O594" s="7"/>
      <c r="P594" s="7"/>
      <c r="Q594" s="24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</row>
    <row r="595" spans="1:149" ht="11.25">
      <c r="A595" s="5" t="s">
        <v>4</v>
      </c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  <c r="EB595" s="52"/>
      <c r="EC595" s="52"/>
      <c r="ED595" s="52"/>
      <c r="EE595" s="52"/>
      <c r="EF595" s="52"/>
      <c r="EG595" s="52"/>
      <c r="EH595" s="52"/>
      <c r="EI595" s="52"/>
      <c r="EJ595" s="52"/>
      <c r="EK595" s="52"/>
      <c r="EL595" s="52"/>
      <c r="EM595" s="52"/>
      <c r="EN595" s="52"/>
      <c r="EO595" s="52"/>
      <c r="EP595" s="52"/>
      <c r="EQ595" s="52"/>
      <c r="ER595" s="52"/>
      <c r="ES595" s="52"/>
    </row>
    <row r="596" spans="1:149" ht="11.25">
      <c r="A596" s="8" t="s">
        <v>43</v>
      </c>
      <c r="B596" s="6"/>
      <c r="C596" s="6"/>
      <c r="D596" s="7"/>
      <c r="E596" s="7"/>
      <c r="F596" s="7"/>
      <c r="G596" s="7">
        <f>G598*G600</f>
        <v>80000</v>
      </c>
      <c r="H596" s="7"/>
      <c r="I596" s="7"/>
      <c r="J596" s="7">
        <f>H596+G596</f>
        <v>80000</v>
      </c>
      <c r="K596" s="7"/>
      <c r="L596" s="7"/>
      <c r="M596" s="7"/>
      <c r="N596" s="7"/>
      <c r="O596" s="7"/>
      <c r="P596" s="7"/>
      <c r="Q596" s="24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</row>
    <row r="597" spans="1:149" ht="11.25">
      <c r="A597" s="5" t="s">
        <v>5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  <c r="EB597" s="52"/>
      <c r="EC597" s="52"/>
      <c r="ED597" s="52"/>
      <c r="EE597" s="52"/>
      <c r="EF597" s="52"/>
      <c r="EG597" s="52"/>
      <c r="EH597" s="52"/>
      <c r="EI597" s="52"/>
      <c r="EJ597" s="52"/>
      <c r="EK597" s="52"/>
      <c r="EL597" s="52"/>
      <c r="EM597" s="52"/>
      <c r="EN597" s="52"/>
      <c r="EO597" s="52"/>
      <c r="EP597" s="52"/>
      <c r="EQ597" s="52"/>
      <c r="ER597" s="52"/>
      <c r="ES597" s="52"/>
    </row>
    <row r="598" spans="1:149" ht="11.25">
      <c r="A598" s="8" t="s">
        <v>398</v>
      </c>
      <c r="B598" s="6"/>
      <c r="C598" s="6"/>
      <c r="D598" s="7"/>
      <c r="E598" s="7"/>
      <c r="F598" s="7"/>
      <c r="G598" s="7">
        <v>1</v>
      </c>
      <c r="H598" s="7"/>
      <c r="I598" s="7"/>
      <c r="J598" s="7">
        <f>H598+G598</f>
        <v>1</v>
      </c>
      <c r="K598" s="7"/>
      <c r="L598" s="7"/>
      <c r="M598" s="7"/>
      <c r="N598" s="7"/>
      <c r="O598" s="7"/>
      <c r="P598" s="7"/>
      <c r="Q598" s="24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</row>
    <row r="599" spans="1:149" ht="11.25">
      <c r="A599" s="5" t="s">
        <v>7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  <c r="EB599" s="52"/>
      <c r="EC599" s="52"/>
      <c r="ED599" s="52"/>
      <c r="EE599" s="52"/>
      <c r="EF599" s="52"/>
      <c r="EG599" s="52"/>
      <c r="EH599" s="52"/>
      <c r="EI599" s="52"/>
      <c r="EJ599" s="52"/>
      <c r="EK599" s="52"/>
      <c r="EL599" s="52"/>
      <c r="EM599" s="52"/>
      <c r="EN599" s="52"/>
      <c r="EO599" s="52"/>
      <c r="EP599" s="52"/>
      <c r="EQ599" s="52"/>
      <c r="ER599" s="52"/>
      <c r="ES599" s="52"/>
    </row>
    <row r="600" spans="1:149" ht="11.25">
      <c r="A600" s="8" t="s">
        <v>326</v>
      </c>
      <c r="B600" s="6"/>
      <c r="C600" s="6"/>
      <c r="D600" s="7"/>
      <c r="E600" s="7"/>
      <c r="F600" s="7"/>
      <c r="G600" s="7">
        <v>80000</v>
      </c>
      <c r="H600" s="7"/>
      <c r="I600" s="7"/>
      <c r="J600" s="7">
        <f>H600+G600</f>
        <v>80000</v>
      </c>
      <c r="K600" s="7"/>
      <c r="L600" s="7"/>
      <c r="M600" s="7"/>
      <c r="N600" s="7"/>
      <c r="O600" s="7"/>
      <c r="P600" s="7"/>
      <c r="Q600" s="24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</row>
    <row r="601" spans="1:149" ht="22.5">
      <c r="A601" s="33" t="s">
        <v>461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35">
        <f>80000</f>
        <v>80000</v>
      </c>
      <c r="O601" s="35"/>
      <c r="P601" s="35">
        <f>N601+O601</f>
        <v>80000</v>
      </c>
      <c r="Q601" s="24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  <c r="CU601" s="52"/>
      <c r="CV601" s="52"/>
      <c r="CW601" s="52"/>
      <c r="CX601" s="52"/>
      <c r="CY601" s="52"/>
      <c r="CZ601" s="52"/>
      <c r="DA601" s="52"/>
      <c r="DB601" s="52"/>
      <c r="DC601" s="52"/>
      <c r="DD601" s="52"/>
      <c r="DE601" s="52"/>
      <c r="DF601" s="52"/>
      <c r="DG601" s="52"/>
      <c r="DH601" s="52"/>
      <c r="DI601" s="52"/>
      <c r="DJ601" s="52"/>
      <c r="DK601" s="52"/>
      <c r="DL601" s="52"/>
      <c r="DM601" s="52"/>
      <c r="DN601" s="52"/>
      <c r="DO601" s="52"/>
      <c r="DP601" s="52"/>
      <c r="DQ601" s="52"/>
      <c r="DR601" s="52"/>
      <c r="DS601" s="52"/>
      <c r="DT601" s="52"/>
      <c r="DU601" s="52"/>
      <c r="DV601" s="52"/>
      <c r="DW601" s="52"/>
      <c r="DX601" s="52"/>
      <c r="DY601" s="52"/>
      <c r="DZ601" s="52"/>
      <c r="EA601" s="52"/>
      <c r="EB601" s="52"/>
      <c r="EC601" s="52"/>
      <c r="ED601" s="52"/>
      <c r="EE601" s="52"/>
      <c r="EF601" s="52"/>
      <c r="EG601" s="52"/>
      <c r="EH601" s="52"/>
      <c r="EI601" s="52"/>
      <c r="EJ601" s="52"/>
      <c r="EK601" s="52"/>
      <c r="EL601" s="52"/>
      <c r="EM601" s="52"/>
      <c r="EN601" s="52"/>
      <c r="EO601" s="52"/>
      <c r="EP601" s="52"/>
      <c r="EQ601" s="52"/>
      <c r="ER601" s="52"/>
      <c r="ES601" s="52"/>
    </row>
    <row r="602" spans="1:149" ht="11.25">
      <c r="A602" s="8" t="s">
        <v>4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</row>
    <row r="603" spans="1:149" ht="11.25">
      <c r="A603" s="8" t="s">
        <v>43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>
        <v>80000</v>
      </c>
      <c r="O603" s="7"/>
      <c r="P603" s="7">
        <f>N603</f>
        <v>80000</v>
      </c>
      <c r="Q603" s="24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  <c r="EB603" s="52"/>
      <c r="EC603" s="52"/>
      <c r="ED603" s="52"/>
      <c r="EE603" s="52"/>
      <c r="EF603" s="52"/>
      <c r="EG603" s="52"/>
      <c r="EH603" s="52"/>
      <c r="EI603" s="52"/>
      <c r="EJ603" s="52"/>
      <c r="EK603" s="52"/>
      <c r="EL603" s="52"/>
      <c r="EM603" s="52"/>
      <c r="EN603" s="52"/>
      <c r="EO603" s="52"/>
      <c r="EP603" s="52"/>
      <c r="EQ603" s="52"/>
      <c r="ER603" s="52"/>
      <c r="ES603" s="52"/>
    </row>
    <row r="604" spans="1:149" ht="11.25">
      <c r="A604" s="8" t="s">
        <v>462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  <c r="EB604" s="52"/>
      <c r="EC604" s="52"/>
      <c r="ED604" s="52"/>
      <c r="EE604" s="52"/>
      <c r="EF604" s="52"/>
      <c r="EG604" s="52"/>
      <c r="EH604" s="52"/>
      <c r="EI604" s="52"/>
      <c r="EJ604" s="52"/>
      <c r="EK604" s="52"/>
      <c r="EL604" s="52"/>
      <c r="EM604" s="52"/>
      <c r="EN604" s="52"/>
      <c r="EO604" s="52"/>
      <c r="EP604" s="52"/>
      <c r="EQ604" s="52"/>
      <c r="ER604" s="52"/>
      <c r="ES604" s="52"/>
    </row>
    <row r="605" spans="1:149" ht="11.25">
      <c r="A605" s="8" t="s">
        <v>398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>
        <v>1</v>
      </c>
      <c r="O605" s="7"/>
      <c r="P605" s="7">
        <f>N605</f>
        <v>1</v>
      </c>
      <c r="Q605" s="24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  <c r="EB605" s="52"/>
      <c r="EC605" s="52"/>
      <c r="ED605" s="52"/>
      <c r="EE605" s="52"/>
      <c r="EF605" s="52"/>
      <c r="EG605" s="52"/>
      <c r="EH605" s="52"/>
      <c r="EI605" s="52"/>
      <c r="EJ605" s="52"/>
      <c r="EK605" s="52"/>
      <c r="EL605" s="52"/>
      <c r="EM605" s="52"/>
      <c r="EN605" s="52"/>
      <c r="EO605" s="52"/>
      <c r="EP605" s="52"/>
      <c r="EQ605" s="52"/>
      <c r="ER605" s="52"/>
      <c r="ES605" s="52"/>
    </row>
    <row r="606" spans="1:149" ht="11.25">
      <c r="A606" s="8" t="s">
        <v>463</v>
      </c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24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  <c r="EB606" s="52"/>
      <c r="EC606" s="52"/>
      <c r="ED606" s="52"/>
      <c r="EE606" s="52"/>
      <c r="EF606" s="52"/>
      <c r="EG606" s="52"/>
      <c r="EH606" s="52"/>
      <c r="EI606" s="52"/>
      <c r="EJ606" s="52"/>
      <c r="EK606" s="52"/>
      <c r="EL606" s="52"/>
      <c r="EM606" s="52"/>
      <c r="EN606" s="52"/>
      <c r="EO606" s="52"/>
      <c r="EP606" s="52"/>
      <c r="EQ606" s="52"/>
      <c r="ER606" s="52"/>
      <c r="ES606" s="52"/>
    </row>
    <row r="607" spans="1:149" ht="11.25">
      <c r="A607" s="8" t="s">
        <v>326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>
        <v>80000</v>
      </c>
      <c r="O607" s="7"/>
      <c r="P607" s="7">
        <f>N607</f>
        <v>80000</v>
      </c>
      <c r="Q607" s="24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  <c r="EB607" s="52"/>
      <c r="EC607" s="52"/>
      <c r="ED607" s="52"/>
      <c r="EE607" s="52"/>
      <c r="EF607" s="52"/>
      <c r="EG607" s="52"/>
      <c r="EH607" s="52"/>
      <c r="EI607" s="52"/>
      <c r="EJ607" s="52"/>
      <c r="EK607" s="52"/>
      <c r="EL607" s="52"/>
      <c r="EM607" s="52"/>
      <c r="EN607" s="52"/>
      <c r="EO607" s="52"/>
      <c r="EP607" s="52"/>
      <c r="EQ607" s="52"/>
      <c r="ER607" s="52"/>
      <c r="ES607" s="52"/>
    </row>
    <row r="608" spans="1:149" ht="11.25">
      <c r="A608" s="8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  <c r="EB608" s="52"/>
      <c r="EC608" s="52"/>
      <c r="ED608" s="52"/>
      <c r="EE608" s="52"/>
      <c r="EF608" s="52"/>
      <c r="EG608" s="52"/>
      <c r="EH608" s="52"/>
      <c r="EI608" s="52"/>
      <c r="EJ608" s="52"/>
      <c r="EK608" s="52"/>
      <c r="EL608" s="52"/>
      <c r="EM608" s="52"/>
      <c r="EN608" s="52"/>
      <c r="EO608" s="52"/>
      <c r="EP608" s="52"/>
      <c r="EQ608" s="52"/>
      <c r="ER608" s="52"/>
      <c r="ES608" s="52"/>
    </row>
    <row r="609" spans="1:149" ht="11.25">
      <c r="A609" s="8"/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  <c r="EB609" s="52"/>
      <c r="EC609" s="52"/>
      <c r="ED609" s="52"/>
      <c r="EE609" s="52"/>
      <c r="EF609" s="52"/>
      <c r="EG609" s="52"/>
      <c r="EH609" s="52"/>
      <c r="EI609" s="52"/>
      <c r="EJ609" s="52"/>
      <c r="EK609" s="52"/>
      <c r="EL609" s="52"/>
      <c r="EM609" s="52"/>
      <c r="EN609" s="52"/>
      <c r="EO609" s="52"/>
      <c r="EP609" s="52"/>
      <c r="EQ609" s="52"/>
      <c r="ER609" s="52"/>
      <c r="ES609" s="52"/>
    </row>
    <row r="610" spans="1:17" s="137" customFormat="1" ht="11.25">
      <c r="A610" s="150" t="s">
        <v>253</v>
      </c>
      <c r="B610" s="134"/>
      <c r="C610" s="134"/>
      <c r="D610" s="143">
        <f>D612</f>
        <v>1690000</v>
      </c>
      <c r="E610" s="143">
        <v>0</v>
      </c>
      <c r="F610" s="143">
        <f>D610</f>
        <v>1690000</v>
      </c>
      <c r="G610" s="143">
        <f>G612</f>
        <v>2330000.0025</v>
      </c>
      <c r="H610" s="143"/>
      <c r="I610" s="143">
        <f>I612</f>
        <v>0</v>
      </c>
      <c r="J610" s="143">
        <f>J612</f>
        <v>2330000.0025</v>
      </c>
      <c r="K610" s="143"/>
      <c r="L610" s="143"/>
      <c r="M610" s="143"/>
      <c r="N610" s="143">
        <f>N612</f>
        <v>2800000</v>
      </c>
      <c r="O610" s="143"/>
      <c r="P610" s="143">
        <f>P612</f>
        <v>2800000</v>
      </c>
      <c r="Q610" s="152"/>
    </row>
    <row r="611" spans="1:149" ht="65.25" customHeight="1">
      <c r="A611" s="8" t="s">
        <v>164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  <c r="EB611" s="52"/>
      <c r="EC611" s="52"/>
      <c r="ED611" s="52"/>
      <c r="EE611" s="52"/>
      <c r="EF611" s="52"/>
      <c r="EG611" s="52"/>
      <c r="EH611" s="52"/>
      <c r="EI611" s="52"/>
      <c r="EJ611" s="52"/>
      <c r="EK611" s="52"/>
      <c r="EL611" s="52"/>
      <c r="EM611" s="52"/>
      <c r="EN611" s="52"/>
      <c r="EO611" s="52"/>
      <c r="EP611" s="52"/>
      <c r="EQ611" s="52"/>
      <c r="ER611" s="52"/>
      <c r="ES611" s="52"/>
    </row>
    <row r="612" spans="1:17" s="75" customFormat="1" ht="22.5">
      <c r="A612" s="33" t="s">
        <v>464</v>
      </c>
      <c r="B612" s="36"/>
      <c r="C612" s="36"/>
      <c r="D612" s="56">
        <f>D613+D620</f>
        <v>1690000</v>
      </c>
      <c r="E612" s="56"/>
      <c r="F612" s="56">
        <f>D612</f>
        <v>1690000</v>
      </c>
      <c r="G612" s="29">
        <f>G613+G620</f>
        <v>2330000.0025</v>
      </c>
      <c r="H612" s="29"/>
      <c r="I612" s="29"/>
      <c r="J612" s="29">
        <f>G612</f>
        <v>2330000.0025</v>
      </c>
      <c r="K612" s="29"/>
      <c r="L612" s="29"/>
      <c r="M612" s="29"/>
      <c r="N612" s="29">
        <f>N613+N620</f>
        <v>2800000</v>
      </c>
      <c r="O612" s="29"/>
      <c r="P612" s="29">
        <f>N612</f>
        <v>2800000</v>
      </c>
      <c r="Q612" s="74"/>
    </row>
    <row r="613" spans="1:17" s="78" customFormat="1" ht="45">
      <c r="A613" s="76" t="s">
        <v>465</v>
      </c>
      <c r="B613" s="34"/>
      <c r="C613" s="34"/>
      <c r="D613" s="44">
        <f>D617*D619+100000</f>
        <v>1400000</v>
      </c>
      <c r="E613" s="44"/>
      <c r="F613" s="44">
        <f>D613+E613</f>
        <v>1400000</v>
      </c>
      <c r="G613" s="35">
        <f>G617*G619</f>
        <v>1500000</v>
      </c>
      <c r="H613" s="35">
        <f aca="true" t="shared" si="59" ref="H613:O613">H617*H619</f>
        <v>0</v>
      </c>
      <c r="I613" s="35">
        <f t="shared" si="59"/>
        <v>0</v>
      </c>
      <c r="J613" s="35">
        <f>G613</f>
        <v>1500000</v>
      </c>
      <c r="K613" s="35">
        <f t="shared" si="59"/>
        <v>0</v>
      </c>
      <c r="L613" s="35">
        <f t="shared" si="59"/>
        <v>0</v>
      </c>
      <c r="M613" s="35">
        <f t="shared" si="59"/>
        <v>0</v>
      </c>
      <c r="N613" s="35">
        <f>N617*N619</f>
        <v>1300000</v>
      </c>
      <c r="O613" s="35">
        <f t="shared" si="59"/>
        <v>0</v>
      </c>
      <c r="P613" s="35">
        <f>N613</f>
        <v>1300000</v>
      </c>
      <c r="Q613" s="77"/>
    </row>
    <row r="614" spans="1:17" s="51" customFormat="1" ht="11.25">
      <c r="A614" s="5" t="s">
        <v>4</v>
      </c>
      <c r="B614" s="36"/>
      <c r="C614" s="36"/>
      <c r="D614" s="79"/>
      <c r="E614" s="79"/>
      <c r="F614" s="80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74"/>
    </row>
    <row r="615" spans="1:17" s="51" customFormat="1" ht="27.75" customHeight="1">
      <c r="A615" s="8" t="s">
        <v>165</v>
      </c>
      <c r="B615" s="36"/>
      <c r="C615" s="36"/>
      <c r="D615" s="48">
        <v>520</v>
      </c>
      <c r="E615" s="79"/>
      <c r="F615" s="80"/>
      <c r="G615" s="7">
        <v>500</v>
      </c>
      <c r="H615" s="29"/>
      <c r="I615" s="29"/>
      <c r="J615" s="7">
        <f>G615+H615</f>
        <v>500</v>
      </c>
      <c r="K615" s="29"/>
      <c r="L615" s="29"/>
      <c r="M615" s="29"/>
      <c r="N615" s="7">
        <v>520</v>
      </c>
      <c r="O615" s="7"/>
      <c r="P615" s="7">
        <f>N615+O615</f>
        <v>520</v>
      </c>
      <c r="Q615" s="74"/>
    </row>
    <row r="616" spans="1:17" s="51" customFormat="1" ht="11.25">
      <c r="A616" s="5" t="s">
        <v>5</v>
      </c>
      <c r="B616" s="36"/>
      <c r="C616" s="36"/>
      <c r="D616" s="79"/>
      <c r="E616" s="79"/>
      <c r="F616" s="80"/>
      <c r="G616" s="29"/>
      <c r="H616" s="29"/>
      <c r="I616" s="29"/>
      <c r="J616" s="7"/>
      <c r="K616" s="29"/>
      <c r="L616" s="29"/>
      <c r="M616" s="29"/>
      <c r="N616" s="29"/>
      <c r="O616" s="29"/>
      <c r="P616" s="7"/>
      <c r="Q616" s="74"/>
    </row>
    <row r="617" spans="1:17" s="51" customFormat="1" ht="22.5">
      <c r="A617" s="8" t="s">
        <v>166</v>
      </c>
      <c r="B617" s="36"/>
      <c r="C617" s="36"/>
      <c r="D617" s="48">
        <v>520</v>
      </c>
      <c r="E617" s="79"/>
      <c r="F617" s="80"/>
      <c r="G617" s="7">
        <f>G615</f>
        <v>500</v>
      </c>
      <c r="H617" s="7"/>
      <c r="I617" s="7"/>
      <c r="J617" s="7">
        <f>G617+H617</f>
        <v>500</v>
      </c>
      <c r="K617" s="7">
        <f>K615</f>
        <v>0</v>
      </c>
      <c r="L617" s="7">
        <f>L615</f>
        <v>0</v>
      </c>
      <c r="M617" s="7">
        <f>M615</f>
        <v>0</v>
      </c>
      <c r="N617" s="7">
        <v>520</v>
      </c>
      <c r="O617" s="7"/>
      <c r="P617" s="7">
        <f>N617+O617</f>
        <v>520</v>
      </c>
      <c r="Q617" s="74"/>
    </row>
    <row r="618" spans="1:17" s="51" customFormat="1" ht="11.25">
      <c r="A618" s="5" t="s">
        <v>7</v>
      </c>
      <c r="B618" s="36"/>
      <c r="C618" s="36"/>
      <c r="D618" s="79"/>
      <c r="E618" s="79"/>
      <c r="F618" s="80"/>
      <c r="G618" s="29"/>
      <c r="H618" s="29"/>
      <c r="I618" s="29"/>
      <c r="J618" s="7"/>
      <c r="K618" s="29"/>
      <c r="L618" s="29"/>
      <c r="M618" s="29"/>
      <c r="N618" s="29"/>
      <c r="O618" s="29"/>
      <c r="P618" s="7"/>
      <c r="Q618" s="74"/>
    </row>
    <row r="619" spans="1:17" s="51" customFormat="1" ht="17.25" customHeight="1">
      <c r="A619" s="8" t="s">
        <v>167</v>
      </c>
      <c r="B619" s="36"/>
      <c r="C619" s="36"/>
      <c r="D619" s="79">
        <v>2500</v>
      </c>
      <c r="E619" s="79"/>
      <c r="F619" s="80"/>
      <c r="G619" s="7">
        <v>3000</v>
      </c>
      <c r="H619" s="29"/>
      <c r="I619" s="29"/>
      <c r="J619" s="7">
        <f>G619+H619</f>
        <v>3000</v>
      </c>
      <c r="K619" s="29"/>
      <c r="L619" s="29"/>
      <c r="M619" s="29"/>
      <c r="N619" s="7">
        <v>2500</v>
      </c>
      <c r="O619" s="7"/>
      <c r="P619" s="7">
        <f>N619+O619</f>
        <v>2500</v>
      </c>
      <c r="Q619" s="74"/>
    </row>
    <row r="620" spans="1:17" s="82" customFormat="1" ht="65.25" customHeight="1">
      <c r="A620" s="76" t="s">
        <v>466</v>
      </c>
      <c r="B620" s="33"/>
      <c r="C620" s="33"/>
      <c r="D620" s="44">
        <f>D624*D627+90000</f>
        <v>290000</v>
      </c>
      <c r="E620" s="44"/>
      <c r="F620" s="44">
        <f>D620+E620</f>
        <v>290000</v>
      </c>
      <c r="G620" s="35">
        <f>G624*G627</f>
        <v>830000.0025000001</v>
      </c>
      <c r="H620" s="35">
        <f aca="true" t="shared" si="60" ref="H620:P620">H624*H627</f>
        <v>0</v>
      </c>
      <c r="I620" s="35">
        <f t="shared" si="60"/>
        <v>0</v>
      </c>
      <c r="J620" s="35">
        <f t="shared" si="60"/>
        <v>830000.0025000001</v>
      </c>
      <c r="K620" s="35">
        <f t="shared" si="60"/>
        <v>0</v>
      </c>
      <c r="L620" s="35">
        <f t="shared" si="60"/>
        <v>0</v>
      </c>
      <c r="M620" s="35">
        <f t="shared" si="60"/>
        <v>0</v>
      </c>
      <c r="N620" s="35">
        <f>N624*N627</f>
        <v>1500000</v>
      </c>
      <c r="O620" s="35">
        <f t="shared" si="60"/>
        <v>0</v>
      </c>
      <c r="P620" s="35">
        <f t="shared" si="60"/>
        <v>1500000</v>
      </c>
      <c r="Q620" s="81"/>
    </row>
    <row r="621" spans="1:149" ht="11.25">
      <c r="A621" s="5" t="s">
        <v>4</v>
      </c>
      <c r="B621" s="6"/>
      <c r="C621" s="6"/>
      <c r="D621" s="83"/>
      <c r="E621" s="83"/>
      <c r="F621" s="8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  <c r="EB621" s="52"/>
      <c r="EC621" s="52"/>
      <c r="ED621" s="52"/>
      <c r="EE621" s="52"/>
      <c r="EF621" s="52"/>
      <c r="EG621" s="52"/>
      <c r="EH621" s="52"/>
      <c r="EI621" s="52"/>
      <c r="EJ621" s="52"/>
      <c r="EK621" s="52"/>
      <c r="EL621" s="52"/>
      <c r="EM621" s="52"/>
      <c r="EN621" s="52"/>
      <c r="EO621" s="52"/>
      <c r="EP621" s="52"/>
      <c r="EQ621" s="52"/>
      <c r="ER621" s="52"/>
      <c r="ES621" s="52"/>
    </row>
    <row r="622" spans="1:149" ht="33.75">
      <c r="A622" s="8" t="s">
        <v>165</v>
      </c>
      <c r="B622" s="6"/>
      <c r="C622" s="6"/>
      <c r="D622" s="43">
        <v>6</v>
      </c>
      <c r="E622" s="43"/>
      <c r="F622" s="43">
        <f>D622</f>
        <v>6</v>
      </c>
      <c r="G622" s="43">
        <v>9</v>
      </c>
      <c r="H622" s="43"/>
      <c r="I622" s="43"/>
      <c r="J622" s="7">
        <f>G622+H622</f>
        <v>9</v>
      </c>
      <c r="K622" s="43">
        <f>H622</f>
        <v>0</v>
      </c>
      <c r="L622" s="43">
        <f>J622</f>
        <v>9</v>
      </c>
      <c r="M622" s="43">
        <f>K622</f>
        <v>0</v>
      </c>
      <c r="N622" s="43">
        <v>16</v>
      </c>
      <c r="O622" s="43"/>
      <c r="P622" s="43">
        <f>N622</f>
        <v>16</v>
      </c>
      <c r="Q622" s="24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  <c r="EB622" s="52"/>
      <c r="EC622" s="52"/>
      <c r="ED622" s="52"/>
      <c r="EE622" s="52"/>
      <c r="EF622" s="52"/>
      <c r="EG622" s="52"/>
      <c r="EH622" s="52"/>
      <c r="EI622" s="52"/>
      <c r="EJ622" s="52"/>
      <c r="EK622" s="52"/>
      <c r="EL622" s="52"/>
      <c r="EM622" s="52"/>
      <c r="EN622" s="52"/>
      <c r="EO622" s="52"/>
      <c r="EP622" s="52"/>
      <c r="EQ622" s="52"/>
      <c r="ER622" s="52"/>
      <c r="ES622" s="52"/>
    </row>
    <row r="623" spans="1:149" ht="11.25">
      <c r="A623" s="5" t="s">
        <v>5</v>
      </c>
      <c r="B623" s="6"/>
      <c r="C623" s="6"/>
      <c r="D623" s="43"/>
      <c r="E623" s="43"/>
      <c r="F623" s="4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</row>
    <row r="624" spans="1:149" ht="32.25" customHeight="1">
      <c r="A624" s="8" t="s">
        <v>166</v>
      </c>
      <c r="B624" s="6"/>
      <c r="C624" s="6"/>
      <c r="D624" s="43">
        <v>6</v>
      </c>
      <c r="E624" s="43"/>
      <c r="F624" s="43">
        <f>D624</f>
        <v>6</v>
      </c>
      <c r="G624" s="7">
        <v>9</v>
      </c>
      <c r="H624" s="7"/>
      <c r="I624" s="7"/>
      <c r="J624" s="7">
        <f>G624+H624</f>
        <v>9</v>
      </c>
      <c r="K624" s="7"/>
      <c r="L624" s="7"/>
      <c r="M624" s="7"/>
      <c r="N624" s="7">
        <v>16</v>
      </c>
      <c r="O624" s="7"/>
      <c r="P624" s="7">
        <f>N624</f>
        <v>16</v>
      </c>
      <c r="Q624" s="24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</row>
    <row r="625" spans="1:149" ht="22.5">
      <c r="A625" s="8" t="s">
        <v>163</v>
      </c>
      <c r="B625" s="6"/>
      <c r="C625" s="6"/>
      <c r="D625" s="43"/>
      <c r="E625" s="43"/>
      <c r="F625" s="43">
        <f>D625</f>
        <v>0</v>
      </c>
      <c r="G625" s="7"/>
      <c r="H625" s="7"/>
      <c r="I625" s="7"/>
      <c r="J625" s="7">
        <f>G625+H625</f>
        <v>0</v>
      </c>
      <c r="K625" s="7"/>
      <c r="L625" s="7"/>
      <c r="M625" s="7"/>
      <c r="N625" s="7"/>
      <c r="O625" s="7"/>
      <c r="P625" s="7"/>
      <c r="Q625" s="24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  <c r="EB625" s="52"/>
      <c r="EC625" s="52"/>
      <c r="ED625" s="52"/>
      <c r="EE625" s="52"/>
      <c r="EF625" s="52"/>
      <c r="EG625" s="52"/>
      <c r="EH625" s="52"/>
      <c r="EI625" s="52"/>
      <c r="EJ625" s="52"/>
      <c r="EK625" s="52"/>
      <c r="EL625" s="52"/>
      <c r="EM625" s="52"/>
      <c r="EN625" s="52"/>
      <c r="EO625" s="52"/>
      <c r="EP625" s="52"/>
      <c r="EQ625" s="52"/>
      <c r="ER625" s="52"/>
      <c r="ES625" s="52"/>
    </row>
    <row r="626" spans="1:149" ht="11.25">
      <c r="A626" s="5" t="s">
        <v>7</v>
      </c>
      <c r="B626" s="6"/>
      <c r="C626" s="6"/>
      <c r="D626" s="43"/>
      <c r="E626" s="43"/>
      <c r="F626" s="4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  <c r="EB626" s="52"/>
      <c r="EC626" s="52"/>
      <c r="ED626" s="52"/>
      <c r="EE626" s="52"/>
      <c r="EF626" s="52"/>
      <c r="EG626" s="52"/>
      <c r="EH626" s="52"/>
      <c r="EI626" s="52"/>
      <c r="EJ626" s="52"/>
      <c r="EK626" s="52"/>
      <c r="EL626" s="52"/>
      <c r="EM626" s="52"/>
      <c r="EN626" s="52"/>
      <c r="EO626" s="52"/>
      <c r="EP626" s="52"/>
      <c r="EQ626" s="52"/>
      <c r="ER626" s="52"/>
      <c r="ES626" s="52"/>
    </row>
    <row r="627" spans="1:149" ht="22.5">
      <c r="A627" s="8" t="s">
        <v>167</v>
      </c>
      <c r="B627" s="6"/>
      <c r="C627" s="6"/>
      <c r="D627" s="43">
        <f>200000/6</f>
        <v>33333.333333333336</v>
      </c>
      <c r="E627" s="43"/>
      <c r="F627" s="43">
        <f>D627</f>
        <v>33333.333333333336</v>
      </c>
      <c r="G627" s="7">
        <v>92222.2225</v>
      </c>
      <c r="H627" s="7"/>
      <c r="I627" s="7"/>
      <c r="J627" s="7">
        <f>G627+H627</f>
        <v>92222.2225</v>
      </c>
      <c r="K627" s="7"/>
      <c r="L627" s="7"/>
      <c r="M627" s="7"/>
      <c r="N627" s="7">
        <v>93750</v>
      </c>
      <c r="O627" s="7"/>
      <c r="P627" s="7">
        <f>N627</f>
        <v>93750</v>
      </c>
      <c r="Q627" s="24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  <c r="EB627" s="52"/>
      <c r="EC627" s="52"/>
      <c r="ED627" s="52"/>
      <c r="EE627" s="52"/>
      <c r="EF627" s="52"/>
      <c r="EG627" s="52"/>
      <c r="EH627" s="52"/>
      <c r="EI627" s="52"/>
      <c r="EJ627" s="52"/>
      <c r="EK627" s="52"/>
      <c r="EL627" s="52"/>
      <c r="EM627" s="52"/>
      <c r="EN627" s="52"/>
      <c r="EO627" s="52"/>
      <c r="EP627" s="52"/>
      <c r="EQ627" s="52"/>
      <c r="ER627" s="52"/>
      <c r="ES627" s="52"/>
    </row>
    <row r="628" spans="1:149" ht="11.25">
      <c r="A628" s="36" t="s">
        <v>254</v>
      </c>
      <c r="B628" s="6"/>
      <c r="C628" s="6"/>
      <c r="D628" s="35">
        <f>D630</f>
        <v>0</v>
      </c>
      <c r="E628" s="35">
        <f>E630</f>
        <v>127913400</v>
      </c>
      <c r="F628" s="35">
        <f aca="true" t="shared" si="61" ref="F628:P628">F630</f>
        <v>127913400</v>
      </c>
      <c r="G628" s="35">
        <f t="shared" si="61"/>
        <v>0</v>
      </c>
      <c r="H628" s="35">
        <f t="shared" si="61"/>
        <v>88123272</v>
      </c>
      <c r="I628" s="35">
        <f t="shared" si="61"/>
        <v>0</v>
      </c>
      <c r="J628" s="35">
        <f t="shared" si="61"/>
        <v>88123272</v>
      </c>
      <c r="K628" s="35">
        <f t="shared" si="61"/>
        <v>0</v>
      </c>
      <c r="L628" s="35">
        <f t="shared" si="61"/>
        <v>0</v>
      </c>
      <c r="M628" s="35">
        <f t="shared" si="61"/>
        <v>0</v>
      </c>
      <c r="N628" s="35">
        <f t="shared" si="61"/>
        <v>0</v>
      </c>
      <c r="O628" s="35">
        <f t="shared" si="61"/>
        <v>7297400</v>
      </c>
      <c r="P628" s="35">
        <f t="shared" si="61"/>
        <v>7297400</v>
      </c>
      <c r="Q628" s="24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  <c r="EB628" s="52"/>
      <c r="EC628" s="52"/>
      <c r="ED628" s="52"/>
      <c r="EE628" s="52"/>
      <c r="EF628" s="52"/>
      <c r="EG628" s="52"/>
      <c r="EH628" s="52"/>
      <c r="EI628" s="52"/>
      <c r="EJ628" s="52"/>
      <c r="EK628" s="52"/>
      <c r="EL628" s="52"/>
      <c r="EM628" s="52"/>
      <c r="EN628" s="52"/>
      <c r="EO628" s="52"/>
      <c r="EP628" s="52"/>
      <c r="EQ628" s="52"/>
      <c r="ER628" s="52"/>
      <c r="ES628" s="52"/>
    </row>
    <row r="629" spans="1:149" ht="22.5">
      <c r="A629" s="8" t="s">
        <v>169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  <c r="EB629" s="52"/>
      <c r="EC629" s="52"/>
      <c r="ED629" s="52"/>
      <c r="EE629" s="52"/>
      <c r="EF629" s="52"/>
      <c r="EG629" s="52"/>
      <c r="EH629" s="52"/>
      <c r="EI629" s="52"/>
      <c r="EJ629" s="52"/>
      <c r="EK629" s="52"/>
      <c r="EL629" s="52"/>
      <c r="EM629" s="52"/>
      <c r="EN629" s="52"/>
      <c r="EO629" s="52"/>
      <c r="EP629" s="52"/>
      <c r="EQ629" s="52"/>
      <c r="ER629" s="52"/>
      <c r="ES629" s="52"/>
    </row>
    <row r="630" spans="1:17" s="155" customFormat="1" ht="33.75">
      <c r="A630" s="153" t="s">
        <v>467</v>
      </c>
      <c r="B630" s="139"/>
      <c r="C630" s="139"/>
      <c r="D630" s="143"/>
      <c r="E630" s="143">
        <f>E632</f>
        <v>127913400</v>
      </c>
      <c r="F630" s="143">
        <f>D630+E630</f>
        <v>127913400</v>
      </c>
      <c r="G630" s="143"/>
      <c r="H630" s="143">
        <f>H634*H636</f>
        <v>88123272</v>
      </c>
      <c r="I630" s="143">
        <f>I632</f>
        <v>0</v>
      </c>
      <c r="J630" s="143">
        <f>H630+I630</f>
        <v>88123272</v>
      </c>
      <c r="K630" s="143"/>
      <c r="L630" s="143"/>
      <c r="M630" s="143"/>
      <c r="N630" s="143"/>
      <c r="O630" s="143">
        <f>O634*O636</f>
        <v>7297400</v>
      </c>
      <c r="P630" s="143">
        <f>O630</f>
        <v>7297400</v>
      </c>
      <c r="Q630" s="154"/>
    </row>
    <row r="631" spans="1:149" ht="11.25">
      <c r="A631" s="5" t="s">
        <v>4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  <c r="EB631" s="52"/>
      <c r="EC631" s="52"/>
      <c r="ED631" s="52"/>
      <c r="EE631" s="52"/>
      <c r="EF631" s="52"/>
      <c r="EG631" s="52"/>
      <c r="EH631" s="52"/>
      <c r="EI631" s="52"/>
      <c r="EJ631" s="52"/>
      <c r="EK631" s="52"/>
      <c r="EL631" s="52"/>
      <c r="EM631" s="52"/>
      <c r="EN631" s="52"/>
      <c r="EO631" s="52"/>
      <c r="EP631" s="52"/>
      <c r="EQ631" s="52"/>
      <c r="ER631" s="52"/>
      <c r="ES631" s="52"/>
    </row>
    <row r="632" spans="1:149" ht="11.25">
      <c r="A632" s="8" t="s">
        <v>43</v>
      </c>
      <c r="B632" s="6"/>
      <c r="C632" s="6"/>
      <c r="D632" s="7"/>
      <c r="E632" s="7">
        <f>127784300+129100</f>
        <v>127913400</v>
      </c>
      <c r="F632" s="7">
        <f>D632+E632</f>
        <v>127913400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  <c r="EB632" s="52"/>
      <c r="EC632" s="52"/>
      <c r="ED632" s="52"/>
      <c r="EE632" s="52"/>
      <c r="EF632" s="52"/>
      <c r="EG632" s="52"/>
      <c r="EH632" s="52"/>
      <c r="EI632" s="52"/>
      <c r="EJ632" s="52"/>
      <c r="EK632" s="52"/>
      <c r="EL632" s="52"/>
      <c r="EM632" s="52"/>
      <c r="EN632" s="52"/>
      <c r="EO632" s="52"/>
      <c r="EP632" s="52"/>
      <c r="EQ632" s="52"/>
      <c r="ER632" s="52"/>
      <c r="ES632" s="52"/>
    </row>
    <row r="633" spans="1:149" ht="11.25">
      <c r="A633" s="5" t="s">
        <v>5</v>
      </c>
      <c r="B633" s="6"/>
      <c r="C633" s="6"/>
      <c r="D633" s="7"/>
      <c r="E633" s="7"/>
      <c r="F633" s="7">
        <f>D633+E633</f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  <c r="EB633" s="52"/>
      <c r="EC633" s="52"/>
      <c r="ED633" s="52"/>
      <c r="EE633" s="52"/>
      <c r="EF633" s="52"/>
      <c r="EG633" s="52"/>
      <c r="EH633" s="52"/>
      <c r="EI633" s="52"/>
      <c r="EJ633" s="52"/>
      <c r="EK633" s="52"/>
      <c r="EL633" s="52"/>
      <c r="EM633" s="52"/>
      <c r="EN633" s="52"/>
      <c r="EO633" s="52"/>
      <c r="EP633" s="52"/>
      <c r="EQ633" s="52"/>
      <c r="ER633" s="52"/>
      <c r="ES633" s="52"/>
    </row>
    <row r="634" spans="1:149" ht="33.75">
      <c r="A634" s="8" t="s">
        <v>170</v>
      </c>
      <c r="B634" s="6"/>
      <c r="C634" s="6"/>
      <c r="D634" s="7"/>
      <c r="E634" s="7">
        <v>10</v>
      </c>
      <c r="F634" s="7">
        <f>D634+E634</f>
        <v>10</v>
      </c>
      <c r="G634" s="7"/>
      <c r="H634" s="7">
        <v>5</v>
      </c>
      <c r="I634" s="7"/>
      <c r="J634" s="7">
        <v>5</v>
      </c>
      <c r="K634" s="7"/>
      <c r="L634" s="7"/>
      <c r="M634" s="7"/>
      <c r="N634" s="7"/>
      <c r="O634" s="7">
        <v>2</v>
      </c>
      <c r="P634" s="7"/>
      <c r="Q634" s="24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</row>
    <row r="635" spans="1:149" ht="11.25">
      <c r="A635" s="5" t="s">
        <v>7</v>
      </c>
      <c r="B635" s="6"/>
      <c r="C635" s="6"/>
      <c r="D635" s="7"/>
      <c r="E635" s="7"/>
      <c r="F635" s="7">
        <f>D635+E635</f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  <c r="EB635" s="52"/>
      <c r="EC635" s="52"/>
      <c r="ED635" s="52"/>
      <c r="EE635" s="52"/>
      <c r="EF635" s="52"/>
      <c r="EG635" s="52"/>
      <c r="EH635" s="52"/>
      <c r="EI635" s="52"/>
      <c r="EJ635" s="52"/>
      <c r="EK635" s="52"/>
      <c r="EL635" s="52"/>
      <c r="EM635" s="52"/>
      <c r="EN635" s="52"/>
      <c r="EO635" s="52"/>
      <c r="EP635" s="52"/>
      <c r="EQ635" s="52"/>
      <c r="ER635" s="52"/>
      <c r="ES635" s="52"/>
    </row>
    <row r="636" spans="1:149" ht="24.75" customHeight="1">
      <c r="A636" s="8" t="s">
        <v>171</v>
      </c>
      <c r="B636" s="6"/>
      <c r="C636" s="6"/>
      <c r="D636" s="7"/>
      <c r="E636" s="7">
        <f>399355600/9</f>
        <v>44372844.44444445</v>
      </c>
      <c r="F636" s="7">
        <f>D636+E636</f>
        <v>44372844.44444445</v>
      </c>
      <c r="G636" s="7"/>
      <c r="H636" s="7">
        <v>17624654.4</v>
      </c>
      <c r="I636" s="7"/>
      <c r="J636" s="7">
        <v>17604654.4</v>
      </c>
      <c r="K636" s="7"/>
      <c r="L636" s="7"/>
      <c r="M636" s="7"/>
      <c r="N636" s="7"/>
      <c r="O636" s="7">
        <v>3648700</v>
      </c>
      <c r="P636" s="84">
        <f>O636</f>
        <v>3648700</v>
      </c>
      <c r="Q636" s="24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  <c r="EB636" s="52"/>
      <c r="EC636" s="52"/>
      <c r="ED636" s="52"/>
      <c r="EE636" s="52"/>
      <c r="EF636" s="52"/>
      <c r="EG636" s="52"/>
      <c r="EH636" s="52"/>
      <c r="EI636" s="52"/>
      <c r="EJ636" s="52"/>
      <c r="EK636" s="52"/>
      <c r="EL636" s="52"/>
      <c r="EM636" s="52"/>
      <c r="EN636" s="52"/>
      <c r="EO636" s="52"/>
      <c r="EP636" s="52"/>
      <c r="EQ636" s="52"/>
      <c r="ER636" s="52"/>
      <c r="ES636" s="52"/>
    </row>
    <row r="637" spans="1:149" ht="11.25">
      <c r="A637" s="36" t="s">
        <v>255</v>
      </c>
      <c r="B637" s="6"/>
      <c r="C637" s="6"/>
      <c r="D637" s="35">
        <f>D639</f>
        <v>760000</v>
      </c>
      <c r="E637" s="35">
        <f aca="true" t="shared" si="62" ref="E637:P637">E639</f>
        <v>1220000</v>
      </c>
      <c r="F637" s="35">
        <f t="shared" si="62"/>
        <v>1980000</v>
      </c>
      <c r="G637" s="35">
        <f t="shared" si="62"/>
        <v>1960000</v>
      </c>
      <c r="H637" s="35">
        <f t="shared" si="62"/>
        <v>6032500</v>
      </c>
      <c r="I637" s="35">
        <f t="shared" si="62"/>
        <v>7992500</v>
      </c>
      <c r="J637" s="35">
        <f t="shared" si="62"/>
        <v>7992500</v>
      </c>
      <c r="K637" s="35">
        <f t="shared" si="62"/>
        <v>0</v>
      </c>
      <c r="L637" s="35">
        <f t="shared" si="62"/>
        <v>0</v>
      </c>
      <c r="M637" s="35">
        <f t="shared" si="62"/>
        <v>0</v>
      </c>
      <c r="N637" s="35">
        <f t="shared" si="62"/>
        <v>368000</v>
      </c>
      <c r="O637" s="35">
        <f t="shared" si="62"/>
        <v>7632000</v>
      </c>
      <c r="P637" s="35">
        <f t="shared" si="62"/>
        <v>8000000</v>
      </c>
      <c r="Q637" s="24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  <c r="EB637" s="52"/>
      <c r="EC637" s="52"/>
      <c r="ED637" s="52"/>
      <c r="EE637" s="52"/>
      <c r="EF637" s="52"/>
      <c r="EG637" s="52"/>
      <c r="EH637" s="52"/>
      <c r="EI637" s="52"/>
      <c r="EJ637" s="52"/>
      <c r="EK637" s="52"/>
      <c r="EL637" s="52"/>
      <c r="EM637" s="52"/>
      <c r="EN637" s="52"/>
      <c r="EO637" s="52"/>
      <c r="EP637" s="52"/>
      <c r="EQ637" s="52"/>
      <c r="ER637" s="52"/>
      <c r="ES637" s="52"/>
    </row>
    <row r="638" spans="1:149" ht="67.5">
      <c r="A638" s="8" t="s">
        <v>391</v>
      </c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  <c r="EB638" s="52"/>
      <c r="EC638" s="52"/>
      <c r="ED638" s="52"/>
      <c r="EE638" s="52"/>
      <c r="EF638" s="52"/>
      <c r="EG638" s="52"/>
      <c r="EH638" s="52"/>
      <c r="EI638" s="52"/>
      <c r="EJ638" s="52"/>
      <c r="EK638" s="52"/>
      <c r="EL638" s="52"/>
      <c r="EM638" s="52"/>
      <c r="EN638" s="52"/>
      <c r="EO638" s="52"/>
      <c r="EP638" s="52"/>
      <c r="EQ638" s="52"/>
      <c r="ER638" s="52"/>
      <c r="ES638" s="52"/>
    </row>
    <row r="639" spans="1:17" s="38" customFormat="1" ht="36" customHeight="1">
      <c r="A639" s="33" t="s">
        <v>468</v>
      </c>
      <c r="B639" s="34"/>
      <c r="C639" s="34"/>
      <c r="D639" s="35">
        <f>D641</f>
        <v>760000</v>
      </c>
      <c r="E639" s="35">
        <f>E641</f>
        <v>1220000</v>
      </c>
      <c r="F639" s="35">
        <f>D639+E639</f>
        <v>1980000</v>
      </c>
      <c r="G639" s="35">
        <f>G641</f>
        <v>1960000</v>
      </c>
      <c r="H639" s="35">
        <f>H641</f>
        <v>6032500</v>
      </c>
      <c r="I639" s="35">
        <f>G639+H639</f>
        <v>7992500</v>
      </c>
      <c r="J639" s="35">
        <f>G639+H639</f>
        <v>7992500</v>
      </c>
      <c r="K639" s="35"/>
      <c r="L639" s="35"/>
      <c r="M639" s="35"/>
      <c r="N639" s="35">
        <f>N643*N645</f>
        <v>368000</v>
      </c>
      <c r="O639" s="35">
        <f>O643*O645</f>
        <v>7632000</v>
      </c>
      <c r="P639" s="35">
        <f>N639+O639</f>
        <v>8000000</v>
      </c>
      <c r="Q639" s="77"/>
    </row>
    <row r="640" spans="1:149" ht="11.25">
      <c r="A640" s="5" t="s">
        <v>4</v>
      </c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  <c r="EB640" s="52"/>
      <c r="EC640" s="52"/>
      <c r="ED640" s="52"/>
      <c r="EE640" s="52"/>
      <c r="EF640" s="52"/>
      <c r="EG640" s="52"/>
      <c r="EH640" s="52"/>
      <c r="EI640" s="52"/>
      <c r="EJ640" s="52"/>
      <c r="EK640" s="52"/>
      <c r="EL640" s="52"/>
      <c r="EM640" s="52"/>
      <c r="EN640" s="52"/>
      <c r="EO640" s="52"/>
      <c r="EP640" s="52"/>
      <c r="EQ640" s="52"/>
      <c r="ER640" s="52"/>
      <c r="ES640" s="52"/>
    </row>
    <row r="641" spans="1:149" ht="11.25">
      <c r="A641" s="8" t="s">
        <v>43</v>
      </c>
      <c r="B641" s="6"/>
      <c r="C641" s="6"/>
      <c r="D641" s="7">
        <f>D643*D645</f>
        <v>760000</v>
      </c>
      <c r="E641" s="7">
        <f>E643*E645</f>
        <v>1220000</v>
      </c>
      <c r="F641" s="7">
        <f>D641+E641</f>
        <v>1980000</v>
      </c>
      <c r="G641" s="7">
        <f>G643*G645</f>
        <v>1960000</v>
      </c>
      <c r="H641" s="7">
        <f>H643*H645</f>
        <v>6032500</v>
      </c>
      <c r="I641" s="7"/>
      <c r="J641" s="7">
        <f>G641+H641</f>
        <v>7992500</v>
      </c>
      <c r="K641" s="7"/>
      <c r="L641" s="7"/>
      <c r="M641" s="7"/>
      <c r="N641" s="7">
        <f>N643*N645</f>
        <v>368000</v>
      </c>
      <c r="O641" s="7">
        <f>O643*O645</f>
        <v>7632000</v>
      </c>
      <c r="P641" s="7">
        <f>N641+O641</f>
        <v>8000000</v>
      </c>
      <c r="Q641" s="24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  <c r="EB641" s="52"/>
      <c r="EC641" s="52"/>
      <c r="ED641" s="52"/>
      <c r="EE641" s="52"/>
      <c r="EF641" s="52"/>
      <c r="EG641" s="52"/>
      <c r="EH641" s="52"/>
      <c r="EI641" s="52"/>
      <c r="EJ641" s="52"/>
      <c r="EK641" s="52"/>
      <c r="EL641" s="52"/>
      <c r="EM641" s="52"/>
      <c r="EN641" s="52"/>
      <c r="EO641" s="52"/>
      <c r="EP641" s="52"/>
      <c r="EQ641" s="52"/>
      <c r="ER641" s="52"/>
      <c r="ES641" s="52"/>
    </row>
    <row r="642" spans="1:149" ht="11.25">
      <c r="A642" s="5" t="s">
        <v>5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  <c r="EB642" s="52"/>
      <c r="EC642" s="52"/>
      <c r="ED642" s="52"/>
      <c r="EE642" s="52"/>
      <c r="EF642" s="52"/>
      <c r="EG642" s="52"/>
      <c r="EH642" s="52"/>
      <c r="EI642" s="52"/>
      <c r="EJ642" s="52"/>
      <c r="EK642" s="52"/>
      <c r="EL642" s="52"/>
      <c r="EM642" s="52"/>
      <c r="EN642" s="52"/>
      <c r="EO642" s="52"/>
      <c r="EP642" s="52"/>
      <c r="EQ642" s="52"/>
      <c r="ER642" s="52"/>
      <c r="ES642" s="52"/>
    </row>
    <row r="643" spans="1:149" ht="22.5">
      <c r="A643" s="8" t="s">
        <v>180</v>
      </c>
      <c r="B643" s="6"/>
      <c r="C643" s="6"/>
      <c r="D643" s="7">
        <v>1</v>
      </c>
      <c r="E643" s="7">
        <v>1</v>
      </c>
      <c r="F643" s="7">
        <f>D643+E643</f>
        <v>2</v>
      </c>
      <c r="G643" s="7">
        <v>1</v>
      </c>
      <c r="H643" s="7">
        <v>1</v>
      </c>
      <c r="I643" s="7"/>
      <c r="J643" s="7">
        <v>1</v>
      </c>
      <c r="K643" s="7"/>
      <c r="L643" s="7"/>
      <c r="M643" s="7"/>
      <c r="N643" s="7">
        <v>1</v>
      </c>
      <c r="O643" s="7">
        <v>1</v>
      </c>
      <c r="P643" s="7">
        <v>1</v>
      </c>
      <c r="Q643" s="24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  <c r="EB643" s="52"/>
      <c r="EC643" s="52"/>
      <c r="ED643" s="52"/>
      <c r="EE643" s="52"/>
      <c r="EF643" s="52"/>
      <c r="EG643" s="52"/>
      <c r="EH643" s="52"/>
      <c r="EI643" s="52"/>
      <c r="EJ643" s="52"/>
      <c r="EK643" s="52"/>
      <c r="EL643" s="52"/>
      <c r="EM643" s="52"/>
      <c r="EN643" s="52"/>
      <c r="EO643" s="52"/>
      <c r="EP643" s="52"/>
      <c r="EQ643" s="52"/>
      <c r="ER643" s="52"/>
      <c r="ES643" s="52"/>
    </row>
    <row r="644" spans="1:149" ht="11.25">
      <c r="A644" s="5" t="s">
        <v>7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  <c r="EB644" s="52"/>
      <c r="EC644" s="52"/>
      <c r="ED644" s="52"/>
      <c r="EE644" s="52"/>
      <c r="EF644" s="52"/>
      <c r="EG644" s="52"/>
      <c r="EH644" s="52"/>
      <c r="EI644" s="52"/>
      <c r="EJ644" s="52"/>
      <c r="EK644" s="52"/>
      <c r="EL644" s="52"/>
      <c r="EM644" s="52"/>
      <c r="EN644" s="52"/>
      <c r="EO644" s="52"/>
      <c r="EP644" s="52"/>
      <c r="EQ644" s="52"/>
      <c r="ER644" s="52"/>
      <c r="ES644" s="52"/>
    </row>
    <row r="645" spans="1:149" ht="22.5">
      <c r="A645" s="8" t="s">
        <v>181</v>
      </c>
      <c r="B645" s="6"/>
      <c r="C645" s="6"/>
      <c r="D645" s="7">
        <v>760000</v>
      </c>
      <c r="E645" s="7">
        <v>1220000</v>
      </c>
      <c r="F645" s="7">
        <f>D645+E645</f>
        <v>1980000</v>
      </c>
      <c r="G645" s="7">
        <v>1960000</v>
      </c>
      <c r="H645" s="7">
        <v>6032500</v>
      </c>
      <c r="I645" s="7"/>
      <c r="J645" s="23">
        <f>J641/J643</f>
        <v>7992500</v>
      </c>
      <c r="K645" s="23"/>
      <c r="L645" s="23"/>
      <c r="M645" s="23"/>
      <c r="N645" s="23">
        <v>368000</v>
      </c>
      <c r="O645" s="23">
        <v>7632000</v>
      </c>
      <c r="P645" s="7">
        <f>N645+O645</f>
        <v>8000000</v>
      </c>
      <c r="Q645" s="24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</row>
    <row r="646" spans="1:17" s="51" customFormat="1" ht="11.25">
      <c r="A646" s="36" t="s">
        <v>342</v>
      </c>
      <c r="B646" s="36"/>
      <c r="C646" s="36"/>
      <c r="D646" s="29">
        <f>D650</f>
        <v>0</v>
      </c>
      <c r="E646" s="29">
        <f>E650</f>
        <v>2275980</v>
      </c>
      <c r="F646" s="29">
        <f>D646+E646</f>
        <v>2275980</v>
      </c>
      <c r="G646" s="29">
        <v>0</v>
      </c>
      <c r="H646" s="29">
        <f>H648</f>
        <v>1108600</v>
      </c>
      <c r="I646" s="29" t="e">
        <f>#REF!</f>
        <v>#REF!</v>
      </c>
      <c r="J646" s="127">
        <f>J648</f>
        <v>1108600</v>
      </c>
      <c r="K646" s="127" t="e">
        <f>#REF!</f>
        <v>#REF!</v>
      </c>
      <c r="L646" s="127" t="e">
        <f>#REF!</f>
        <v>#REF!</v>
      </c>
      <c r="M646" s="127" t="e">
        <f>#REF!</f>
        <v>#REF!</v>
      </c>
      <c r="N646" s="127">
        <v>0</v>
      </c>
      <c r="O646" s="127">
        <f>O648</f>
        <v>54066467</v>
      </c>
      <c r="P646" s="29">
        <f>N646+O646</f>
        <v>54066467</v>
      </c>
      <c r="Q646" s="74" t="e">
        <f>#REF!</f>
        <v>#REF!</v>
      </c>
    </row>
    <row r="647" spans="1:149" ht="33.75">
      <c r="A647" s="8" t="s">
        <v>343</v>
      </c>
      <c r="B647" s="6"/>
      <c r="C647" s="6"/>
      <c r="D647" s="7"/>
      <c r="E647" s="7"/>
      <c r="F647" s="7"/>
      <c r="G647" s="7"/>
      <c r="H647" s="7"/>
      <c r="I647" s="7"/>
      <c r="J647" s="23"/>
      <c r="K647" s="23"/>
      <c r="L647" s="23"/>
      <c r="M647" s="23"/>
      <c r="N647" s="23"/>
      <c r="O647" s="23"/>
      <c r="P647" s="29"/>
      <c r="Q647" s="24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  <c r="EB647" s="52"/>
      <c r="EC647" s="52"/>
      <c r="ED647" s="52"/>
      <c r="EE647" s="52"/>
      <c r="EF647" s="52"/>
      <c r="EG647" s="52"/>
      <c r="EH647" s="52"/>
      <c r="EI647" s="52"/>
      <c r="EJ647" s="52"/>
      <c r="EK647" s="52"/>
      <c r="EL647" s="52"/>
      <c r="EM647" s="52"/>
      <c r="EN647" s="52"/>
      <c r="EO647" s="52"/>
      <c r="EP647" s="52"/>
      <c r="EQ647" s="52"/>
      <c r="ER647" s="52"/>
      <c r="ES647" s="52"/>
    </row>
    <row r="648" spans="1:17" s="51" customFormat="1" ht="22.5">
      <c r="A648" s="33" t="s">
        <v>469</v>
      </c>
      <c r="B648" s="36"/>
      <c r="C648" s="36"/>
      <c r="D648" s="29"/>
      <c r="E648" s="29">
        <v>2275980</v>
      </c>
      <c r="F648" s="29">
        <v>2275980</v>
      </c>
      <c r="G648" s="29"/>
      <c r="H648" s="29">
        <f>H650</f>
        <v>1108600</v>
      </c>
      <c r="I648" s="29"/>
      <c r="J648" s="127">
        <f>H648</f>
        <v>1108600</v>
      </c>
      <c r="K648" s="127"/>
      <c r="L648" s="127"/>
      <c r="M648" s="127"/>
      <c r="N648" s="127"/>
      <c r="O648" s="127">
        <f>O650</f>
        <v>54066467</v>
      </c>
      <c r="P648" s="29">
        <f aca="true" t="shared" si="63" ref="P648:P654">N648+O648</f>
        <v>54066467</v>
      </c>
      <c r="Q648" s="74"/>
    </row>
    <row r="649" spans="1:149" ht="11.25">
      <c r="A649" s="5" t="s">
        <v>4</v>
      </c>
      <c r="B649" s="6"/>
      <c r="C649" s="6"/>
      <c r="D649" s="7"/>
      <c r="E649" s="7"/>
      <c r="F649" s="7"/>
      <c r="G649" s="7"/>
      <c r="H649" s="7"/>
      <c r="I649" s="7"/>
      <c r="J649" s="23"/>
      <c r="K649" s="23"/>
      <c r="L649" s="23"/>
      <c r="M649" s="23"/>
      <c r="N649" s="23"/>
      <c r="O649" s="23"/>
      <c r="P649" s="29"/>
      <c r="Q649" s="24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  <c r="EB649" s="52"/>
      <c r="EC649" s="52"/>
      <c r="ED649" s="52"/>
      <c r="EE649" s="52"/>
      <c r="EF649" s="52"/>
      <c r="EG649" s="52"/>
      <c r="EH649" s="52"/>
      <c r="EI649" s="52"/>
      <c r="EJ649" s="52"/>
      <c r="EK649" s="52"/>
      <c r="EL649" s="52"/>
      <c r="EM649" s="52"/>
      <c r="EN649" s="52"/>
      <c r="EO649" s="52"/>
      <c r="EP649" s="52"/>
      <c r="EQ649" s="52"/>
      <c r="ER649" s="52"/>
      <c r="ES649" s="52"/>
    </row>
    <row r="650" spans="1:149" ht="11.25">
      <c r="A650" s="8" t="s">
        <v>43</v>
      </c>
      <c r="B650" s="6"/>
      <c r="C650" s="6"/>
      <c r="D650" s="7"/>
      <c r="E650" s="7">
        <f>2178000+97980</f>
        <v>2275980</v>
      </c>
      <c r="F650" s="7">
        <f>D650+E650</f>
        <v>2275980</v>
      </c>
      <c r="G650" s="7"/>
      <c r="H650" s="7">
        <v>1108600</v>
      </c>
      <c r="I650" s="7"/>
      <c r="J650" s="23">
        <f>H650</f>
        <v>1108600</v>
      </c>
      <c r="K650" s="23"/>
      <c r="L650" s="23"/>
      <c r="M650" s="23"/>
      <c r="N650" s="23"/>
      <c r="O650" s="23">
        <v>54066467</v>
      </c>
      <c r="P650" s="7">
        <f t="shared" si="63"/>
        <v>54066467</v>
      </c>
      <c r="Q650" s="24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  <c r="EB650" s="52"/>
      <c r="EC650" s="52"/>
      <c r="ED650" s="52"/>
      <c r="EE650" s="52"/>
      <c r="EF650" s="52"/>
      <c r="EG650" s="52"/>
      <c r="EH650" s="52"/>
      <c r="EI650" s="52"/>
      <c r="EJ650" s="52"/>
      <c r="EK650" s="52"/>
      <c r="EL650" s="52"/>
      <c r="EM650" s="52"/>
      <c r="EN650" s="52"/>
      <c r="EO650" s="52"/>
      <c r="EP650" s="52"/>
      <c r="EQ650" s="52"/>
      <c r="ER650" s="52"/>
      <c r="ES650" s="52"/>
    </row>
    <row r="651" spans="1:149" ht="11.25">
      <c r="A651" s="5" t="s">
        <v>5</v>
      </c>
      <c r="B651" s="6"/>
      <c r="C651" s="6"/>
      <c r="D651" s="7"/>
      <c r="E651" s="7"/>
      <c r="F651" s="7"/>
      <c r="G651" s="7"/>
      <c r="H651" s="7"/>
      <c r="I651" s="7"/>
      <c r="J651" s="23"/>
      <c r="K651" s="23"/>
      <c r="L651" s="23"/>
      <c r="M651" s="23"/>
      <c r="N651" s="23"/>
      <c r="O651" s="23"/>
      <c r="P651" s="7"/>
      <c r="Q651" s="24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  <c r="EB651" s="52"/>
      <c r="EC651" s="52"/>
      <c r="ED651" s="52"/>
      <c r="EE651" s="52"/>
      <c r="EF651" s="52"/>
      <c r="EG651" s="52"/>
      <c r="EH651" s="52"/>
      <c r="EI651" s="52"/>
      <c r="EJ651" s="52"/>
      <c r="EK651" s="52"/>
      <c r="EL651" s="52"/>
      <c r="EM651" s="52"/>
      <c r="EN651" s="52"/>
      <c r="EO651" s="52"/>
      <c r="EP651" s="52"/>
      <c r="EQ651" s="52"/>
      <c r="ER651" s="52"/>
      <c r="ES651" s="52"/>
    </row>
    <row r="652" spans="1:149" ht="22.5">
      <c r="A652" s="8" t="s">
        <v>344</v>
      </c>
      <c r="B652" s="6"/>
      <c r="C652" s="6"/>
      <c r="D652" s="7"/>
      <c r="E652" s="7">
        <v>63</v>
      </c>
      <c r="F652" s="7">
        <v>63</v>
      </c>
      <c r="G652" s="7"/>
      <c r="H652" s="7">
        <v>22</v>
      </c>
      <c r="I652" s="7"/>
      <c r="J652" s="23">
        <f>H652</f>
        <v>22</v>
      </c>
      <c r="K652" s="23"/>
      <c r="L652" s="23"/>
      <c r="M652" s="23"/>
      <c r="N652" s="23"/>
      <c r="O652" s="23">
        <v>1339</v>
      </c>
      <c r="P652" s="7">
        <f t="shared" si="63"/>
        <v>1339</v>
      </c>
      <c r="Q652" s="24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  <c r="EB652" s="52"/>
      <c r="EC652" s="52"/>
      <c r="ED652" s="52"/>
      <c r="EE652" s="52"/>
      <c r="EF652" s="52"/>
      <c r="EG652" s="52"/>
      <c r="EH652" s="52"/>
      <c r="EI652" s="52"/>
      <c r="EJ652" s="52"/>
      <c r="EK652" s="52"/>
      <c r="EL652" s="52"/>
      <c r="EM652" s="52"/>
      <c r="EN652" s="52"/>
      <c r="EO652" s="52"/>
      <c r="EP652" s="52"/>
      <c r="EQ652" s="52"/>
      <c r="ER652" s="52"/>
      <c r="ES652" s="52"/>
    </row>
    <row r="653" spans="1:149" ht="11.25">
      <c r="A653" s="5" t="s">
        <v>7</v>
      </c>
      <c r="B653" s="6"/>
      <c r="C653" s="6"/>
      <c r="D653" s="7"/>
      <c r="E653" s="7"/>
      <c r="F653" s="7"/>
      <c r="G653" s="7"/>
      <c r="H653" s="7"/>
      <c r="I653" s="7"/>
      <c r="J653" s="23"/>
      <c r="K653" s="23"/>
      <c r="L653" s="23"/>
      <c r="M653" s="23"/>
      <c r="N653" s="23"/>
      <c r="O653" s="23"/>
      <c r="P653" s="7"/>
      <c r="Q653" s="24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  <c r="EB653" s="52"/>
      <c r="EC653" s="52"/>
      <c r="ED653" s="52"/>
      <c r="EE653" s="52"/>
      <c r="EF653" s="52"/>
      <c r="EG653" s="52"/>
      <c r="EH653" s="52"/>
      <c r="EI653" s="52"/>
      <c r="EJ653" s="52"/>
      <c r="EK653" s="52"/>
      <c r="EL653" s="52"/>
      <c r="EM653" s="52"/>
      <c r="EN653" s="52"/>
      <c r="EO653" s="52"/>
      <c r="EP653" s="52"/>
      <c r="EQ653" s="52"/>
      <c r="ER653" s="52"/>
      <c r="ES653" s="52"/>
    </row>
    <row r="654" spans="1:149" ht="22.5">
      <c r="A654" s="8" t="s">
        <v>345</v>
      </c>
      <c r="B654" s="6"/>
      <c r="C654" s="6"/>
      <c r="D654" s="7"/>
      <c r="E654" s="7">
        <v>36300</v>
      </c>
      <c r="F654" s="7">
        <v>36300</v>
      </c>
      <c r="G654" s="7"/>
      <c r="H654" s="7">
        <v>50390.91</v>
      </c>
      <c r="I654" s="7"/>
      <c r="J654" s="23">
        <f>H654</f>
        <v>50390.91</v>
      </c>
      <c r="K654" s="23"/>
      <c r="L654" s="23"/>
      <c r="M654" s="23"/>
      <c r="N654" s="23"/>
      <c r="O654" s="23">
        <v>40378.24</v>
      </c>
      <c r="P654" s="7">
        <f t="shared" si="63"/>
        <v>40378.24</v>
      </c>
      <c r="Q654" s="24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  <c r="EB654" s="52"/>
      <c r="EC654" s="52"/>
      <c r="ED654" s="52"/>
      <c r="EE654" s="52"/>
      <c r="EF654" s="52"/>
      <c r="EG654" s="52"/>
      <c r="EH654" s="52"/>
      <c r="EI654" s="52"/>
      <c r="EJ654" s="52"/>
      <c r="EK654" s="52"/>
      <c r="EL654" s="52"/>
      <c r="EM654" s="52"/>
      <c r="EN654" s="52"/>
      <c r="EO654" s="52"/>
      <c r="EP654" s="52"/>
      <c r="EQ654" s="52"/>
      <c r="ER654" s="52"/>
      <c r="ES654" s="52"/>
    </row>
    <row r="655" spans="1:149" ht="11.25">
      <c r="A655" s="8"/>
      <c r="B655" s="6"/>
      <c r="C655" s="6"/>
      <c r="D655" s="7"/>
      <c r="E655" s="7"/>
      <c r="F655" s="7"/>
      <c r="G655" s="7"/>
      <c r="H655" s="7"/>
      <c r="I655" s="7"/>
      <c r="J655" s="23"/>
      <c r="K655" s="23"/>
      <c r="L655" s="23"/>
      <c r="M655" s="23"/>
      <c r="N655" s="23"/>
      <c r="O655" s="23"/>
      <c r="P655" s="7"/>
      <c r="Q655" s="24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  <c r="EB655" s="52"/>
      <c r="EC655" s="52"/>
      <c r="ED655" s="52"/>
      <c r="EE655" s="52"/>
      <c r="EF655" s="52"/>
      <c r="EG655" s="52"/>
      <c r="EH655" s="52"/>
      <c r="EI655" s="52"/>
      <c r="EJ655" s="52"/>
      <c r="EK655" s="52"/>
      <c r="EL655" s="52"/>
      <c r="EM655" s="52"/>
      <c r="EN655" s="52"/>
      <c r="EO655" s="52"/>
      <c r="EP655" s="52"/>
      <c r="EQ655" s="52"/>
      <c r="ER655" s="52"/>
      <c r="ES655" s="52"/>
    </row>
    <row r="656" spans="1:149" ht="11.25">
      <c r="A656" s="36" t="s">
        <v>327</v>
      </c>
      <c r="B656" s="6"/>
      <c r="C656" s="6"/>
      <c r="D656" s="35">
        <f>D658</f>
        <v>3000000</v>
      </c>
      <c r="E656" s="35">
        <f aca="true" t="shared" si="64" ref="E656:Q656">E658</f>
        <v>0</v>
      </c>
      <c r="F656" s="35">
        <f t="shared" si="64"/>
        <v>3000000</v>
      </c>
      <c r="G656" s="35">
        <f t="shared" si="64"/>
        <v>1714999.99773</v>
      </c>
      <c r="H656" s="35">
        <f t="shared" si="64"/>
        <v>0</v>
      </c>
      <c r="I656" s="35">
        <f t="shared" si="64"/>
        <v>0</v>
      </c>
      <c r="J656" s="35">
        <f t="shared" si="64"/>
        <v>1714999.99773</v>
      </c>
      <c r="K656" s="35">
        <f t="shared" si="64"/>
        <v>0</v>
      </c>
      <c r="L656" s="35">
        <f t="shared" si="64"/>
        <v>0</v>
      </c>
      <c r="M656" s="35">
        <f t="shared" si="64"/>
        <v>0</v>
      </c>
      <c r="N656" s="35">
        <f>N658</f>
        <v>9100000</v>
      </c>
      <c r="O656" s="35">
        <f t="shared" si="64"/>
        <v>0</v>
      </c>
      <c r="P656" s="35">
        <f t="shared" si="64"/>
        <v>9100000</v>
      </c>
      <c r="Q656" s="35">
        <f t="shared" si="64"/>
        <v>0</v>
      </c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  <c r="EB656" s="52"/>
      <c r="EC656" s="52"/>
      <c r="ED656" s="52"/>
      <c r="EE656" s="52"/>
      <c r="EF656" s="52"/>
      <c r="EG656" s="52"/>
      <c r="EH656" s="52"/>
      <c r="EI656" s="52"/>
      <c r="EJ656" s="52"/>
      <c r="EK656" s="52"/>
      <c r="EL656" s="52"/>
      <c r="EM656" s="52"/>
      <c r="EN656" s="52"/>
      <c r="EO656" s="52"/>
      <c r="EP656" s="52"/>
      <c r="EQ656" s="52"/>
      <c r="ER656" s="52"/>
      <c r="ES656" s="52"/>
    </row>
    <row r="657" spans="1:149" ht="22.5">
      <c r="A657" s="8" t="s">
        <v>258</v>
      </c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  <c r="EB657" s="52"/>
      <c r="EC657" s="52"/>
      <c r="ED657" s="52"/>
      <c r="EE657" s="52"/>
      <c r="EF657" s="52"/>
      <c r="EG657" s="52"/>
      <c r="EH657" s="52"/>
      <c r="EI657" s="52"/>
      <c r="EJ657" s="52"/>
      <c r="EK657" s="52"/>
      <c r="EL657" s="52"/>
      <c r="EM657" s="52"/>
      <c r="EN657" s="52"/>
      <c r="EO657" s="52"/>
      <c r="EP657" s="52"/>
      <c r="EQ657" s="52"/>
      <c r="ER657" s="52"/>
      <c r="ES657" s="52"/>
    </row>
    <row r="658" spans="1:17" s="38" customFormat="1" ht="37.5" customHeight="1">
      <c r="A658" s="33" t="s">
        <v>470</v>
      </c>
      <c r="B658" s="34"/>
      <c r="C658" s="34"/>
      <c r="D658" s="44">
        <f>D660</f>
        <v>3000000</v>
      </c>
      <c r="E658" s="44"/>
      <c r="F658" s="44">
        <f>D658+E658</f>
        <v>3000000</v>
      </c>
      <c r="G658" s="35">
        <f>G663*G665</f>
        <v>1714999.99773</v>
      </c>
      <c r="H658" s="35"/>
      <c r="I658" s="35"/>
      <c r="J658" s="35">
        <f>J660</f>
        <v>1714999.99773</v>
      </c>
      <c r="K658" s="35"/>
      <c r="L658" s="35"/>
      <c r="M658" s="35"/>
      <c r="N658" s="35">
        <f>N660</f>
        <v>9100000</v>
      </c>
      <c r="O658" s="35"/>
      <c r="P658" s="35">
        <f>N658</f>
        <v>9100000</v>
      </c>
      <c r="Q658" s="77"/>
    </row>
    <row r="659" spans="1:149" ht="11.25">
      <c r="A659" s="5" t="s">
        <v>4</v>
      </c>
      <c r="B659" s="6"/>
      <c r="C659" s="6"/>
      <c r="D659" s="83"/>
      <c r="E659" s="83"/>
      <c r="F659" s="8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  <c r="EB659" s="52"/>
      <c r="EC659" s="52"/>
      <c r="ED659" s="52"/>
      <c r="EE659" s="52"/>
      <c r="EF659" s="52"/>
      <c r="EG659" s="52"/>
      <c r="EH659" s="52"/>
      <c r="EI659" s="52"/>
      <c r="EJ659" s="52"/>
      <c r="EK659" s="52"/>
      <c r="EL659" s="52"/>
      <c r="EM659" s="52"/>
      <c r="EN659" s="52"/>
      <c r="EO659" s="52"/>
      <c r="EP659" s="52"/>
      <c r="EQ659" s="52"/>
      <c r="ER659" s="52"/>
      <c r="ES659" s="52"/>
    </row>
    <row r="660" spans="1:149" ht="10.5" customHeight="1">
      <c r="A660" s="8" t="s">
        <v>43</v>
      </c>
      <c r="B660" s="6"/>
      <c r="C660" s="6"/>
      <c r="D660" s="83">
        <f>D663*D665</f>
        <v>3000000</v>
      </c>
      <c r="E660" s="83"/>
      <c r="F660" s="83">
        <f>D660+E660</f>
        <v>3000000</v>
      </c>
      <c r="G660" s="7">
        <f>G663*G665</f>
        <v>1714999.99773</v>
      </c>
      <c r="H660" s="7"/>
      <c r="I660" s="7"/>
      <c r="J660" s="7">
        <f>G660+H660</f>
        <v>1714999.99773</v>
      </c>
      <c r="K660" s="7"/>
      <c r="L660" s="7"/>
      <c r="M660" s="7"/>
      <c r="N660" s="7">
        <f>100000+9000000</f>
        <v>9100000</v>
      </c>
      <c r="O660" s="7"/>
      <c r="P660" s="7">
        <f>P663*P665</f>
        <v>100003.5</v>
      </c>
      <c r="Q660" s="24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  <c r="EB660" s="52"/>
      <c r="EC660" s="52"/>
      <c r="ED660" s="52"/>
      <c r="EE660" s="52"/>
      <c r="EF660" s="52"/>
      <c r="EG660" s="52"/>
      <c r="EH660" s="52"/>
      <c r="EI660" s="52"/>
      <c r="EJ660" s="52"/>
      <c r="EK660" s="52"/>
      <c r="EL660" s="52"/>
      <c r="EM660" s="52"/>
      <c r="EN660" s="52"/>
      <c r="EO660" s="52"/>
      <c r="EP660" s="52"/>
      <c r="EQ660" s="52"/>
      <c r="ER660" s="52"/>
      <c r="ES660" s="52"/>
    </row>
    <row r="661" spans="1:149" ht="11.25">
      <c r="A661" s="5" t="s">
        <v>5</v>
      </c>
      <c r="B661" s="6"/>
      <c r="C661" s="6"/>
      <c r="D661" s="83"/>
      <c r="E661" s="83"/>
      <c r="F661" s="8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24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  <c r="EB661" s="52"/>
      <c r="EC661" s="52"/>
      <c r="ED661" s="52"/>
      <c r="EE661" s="52"/>
      <c r="EF661" s="52"/>
      <c r="EG661" s="52"/>
      <c r="EH661" s="52"/>
      <c r="EI661" s="52"/>
      <c r="EJ661" s="52"/>
      <c r="EK661" s="52"/>
      <c r="EL661" s="52"/>
      <c r="EM661" s="52"/>
      <c r="EN661" s="52"/>
      <c r="EO661" s="52"/>
      <c r="EP661" s="52"/>
      <c r="EQ661" s="52"/>
      <c r="ER661" s="52"/>
      <c r="ES661" s="52"/>
    </row>
    <row r="662" spans="1:149" ht="0.75" customHeight="1">
      <c r="A662" s="8" t="s">
        <v>168</v>
      </c>
      <c r="B662" s="6"/>
      <c r="C662" s="6"/>
      <c r="D662" s="83"/>
      <c r="E662" s="83"/>
      <c r="F662" s="83">
        <f>D662+E662</f>
        <v>0</v>
      </c>
      <c r="G662" s="83"/>
      <c r="H662" s="83"/>
      <c r="I662" s="83"/>
      <c r="J662" s="83"/>
      <c r="K662" s="7"/>
      <c r="L662" s="7"/>
      <c r="M662" s="7"/>
      <c r="N662" s="7"/>
      <c r="O662" s="7"/>
      <c r="P662" s="7"/>
      <c r="Q662" s="24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  <c r="EB662" s="52"/>
      <c r="EC662" s="52"/>
      <c r="ED662" s="52"/>
      <c r="EE662" s="52"/>
      <c r="EF662" s="52"/>
      <c r="EG662" s="52"/>
      <c r="EH662" s="52"/>
      <c r="EI662" s="52"/>
      <c r="EJ662" s="52"/>
      <c r="EK662" s="52"/>
      <c r="EL662" s="52"/>
      <c r="EM662" s="52"/>
      <c r="EN662" s="52"/>
      <c r="EO662" s="52"/>
      <c r="EP662" s="52"/>
      <c r="EQ662" s="52"/>
      <c r="ER662" s="52"/>
      <c r="ES662" s="52"/>
    </row>
    <row r="663" spans="1:149" ht="11.25">
      <c r="A663" s="8" t="s">
        <v>175</v>
      </c>
      <c r="B663" s="6"/>
      <c r="C663" s="6"/>
      <c r="D663" s="83">
        <v>667</v>
      </c>
      <c r="E663" s="83"/>
      <c r="F663" s="83">
        <f>D663+E663</f>
        <v>667</v>
      </c>
      <c r="G663" s="83">
        <v>381</v>
      </c>
      <c r="H663" s="83"/>
      <c r="I663" s="83"/>
      <c r="J663" s="83">
        <f>G663+H663</f>
        <v>381</v>
      </c>
      <c r="K663" s="7"/>
      <c r="L663" s="7"/>
      <c r="M663" s="7"/>
      <c r="N663" s="157">
        <v>14.085</v>
      </c>
      <c r="O663" s="7"/>
      <c r="P663" s="157">
        <f>N663</f>
        <v>14.085</v>
      </c>
      <c r="Q663" s="24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  <c r="EB663" s="52"/>
      <c r="EC663" s="52"/>
      <c r="ED663" s="52"/>
      <c r="EE663" s="52"/>
      <c r="EF663" s="52"/>
      <c r="EG663" s="52"/>
      <c r="EH663" s="52"/>
      <c r="EI663" s="52"/>
      <c r="EJ663" s="52"/>
      <c r="EK663" s="52"/>
      <c r="EL663" s="52"/>
      <c r="EM663" s="52"/>
      <c r="EN663" s="52"/>
      <c r="EO663" s="52"/>
      <c r="EP663" s="52"/>
      <c r="EQ663" s="52"/>
      <c r="ER663" s="52"/>
      <c r="ES663" s="52"/>
    </row>
    <row r="664" spans="1:149" ht="10.5" customHeight="1">
      <c r="A664" s="5" t="s">
        <v>7</v>
      </c>
      <c r="B664" s="6"/>
      <c r="C664" s="6"/>
      <c r="D664" s="83"/>
      <c r="E664" s="83"/>
      <c r="F664" s="8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  <c r="EB664" s="52"/>
      <c r="EC664" s="52"/>
      <c r="ED664" s="52"/>
      <c r="EE664" s="52"/>
      <c r="EF664" s="52"/>
      <c r="EG664" s="52"/>
      <c r="EH664" s="52"/>
      <c r="EI664" s="52"/>
      <c r="EJ664" s="52"/>
      <c r="EK664" s="52"/>
      <c r="EL664" s="52"/>
      <c r="EM664" s="52"/>
      <c r="EN664" s="52"/>
      <c r="EO664" s="52"/>
      <c r="EP664" s="52"/>
      <c r="EQ664" s="52"/>
      <c r="ER664" s="52"/>
      <c r="ES664" s="52"/>
    </row>
    <row r="665" spans="1:149" ht="22.5" customHeight="1">
      <c r="A665" s="8" t="s">
        <v>176</v>
      </c>
      <c r="B665" s="6"/>
      <c r="C665" s="6"/>
      <c r="D665" s="7">
        <f>3000000/667</f>
        <v>4497.751124437781</v>
      </c>
      <c r="E665" s="7"/>
      <c r="F665" s="83">
        <f>D665+E665</f>
        <v>4497.751124437781</v>
      </c>
      <c r="G665" s="7">
        <v>4501.31233</v>
      </c>
      <c r="H665" s="7"/>
      <c r="I665" s="7"/>
      <c r="J665" s="7">
        <f>G665+H665</f>
        <v>4501.31233</v>
      </c>
      <c r="K665" s="7"/>
      <c r="L665" s="7"/>
      <c r="M665" s="7"/>
      <c r="N665" s="7">
        <v>7100</v>
      </c>
      <c r="O665" s="7"/>
      <c r="P665" s="7">
        <f>N665</f>
        <v>7100</v>
      </c>
      <c r="Q665" s="24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  <c r="EB665" s="52"/>
      <c r="EC665" s="52"/>
      <c r="ED665" s="52"/>
      <c r="EE665" s="52"/>
      <c r="EF665" s="52"/>
      <c r="EG665" s="52"/>
      <c r="EH665" s="52"/>
      <c r="EI665" s="52"/>
      <c r="EJ665" s="52"/>
      <c r="EK665" s="52"/>
      <c r="EL665" s="52"/>
      <c r="EM665" s="52"/>
      <c r="EN665" s="52"/>
      <c r="EO665" s="52"/>
      <c r="EP665" s="52"/>
      <c r="EQ665" s="52"/>
      <c r="ER665" s="52"/>
      <c r="ES665" s="52"/>
    </row>
    <row r="666" spans="1:149" ht="11.25">
      <c r="A666" s="124" t="s">
        <v>328</v>
      </c>
      <c r="B666" s="6"/>
      <c r="C666" s="6"/>
      <c r="D666" s="29">
        <f>D667</f>
        <v>656000</v>
      </c>
      <c r="E666" s="29">
        <f>E667</f>
        <v>0</v>
      </c>
      <c r="F666" s="29">
        <f>F667</f>
        <v>656000</v>
      </c>
      <c r="G666" s="29">
        <f>G667</f>
        <v>819000</v>
      </c>
      <c r="H666" s="29"/>
      <c r="I666" s="29">
        <f>I667</f>
        <v>0</v>
      </c>
      <c r="J666" s="29">
        <f>G666</f>
        <v>819000</v>
      </c>
      <c r="K666" s="7"/>
      <c r="L666" s="7"/>
      <c r="M666" s="7"/>
      <c r="N666" s="29">
        <f>N667</f>
        <v>725000</v>
      </c>
      <c r="O666" s="29"/>
      <c r="P666" s="29">
        <f>N666</f>
        <v>725000</v>
      </c>
      <c r="Q666" s="24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  <c r="EB666" s="52"/>
      <c r="EC666" s="52"/>
      <c r="ED666" s="52"/>
      <c r="EE666" s="52"/>
      <c r="EF666" s="52"/>
      <c r="EG666" s="52"/>
      <c r="EH666" s="52"/>
      <c r="EI666" s="52"/>
      <c r="EJ666" s="52"/>
      <c r="EK666" s="52"/>
      <c r="EL666" s="52"/>
      <c r="EM666" s="52"/>
      <c r="EN666" s="52"/>
      <c r="EO666" s="52"/>
      <c r="EP666" s="52"/>
      <c r="EQ666" s="52"/>
      <c r="ER666" s="52"/>
      <c r="ES666" s="52"/>
    </row>
    <row r="667" spans="1:17" s="38" customFormat="1" ht="22.5">
      <c r="A667" s="33" t="s">
        <v>471</v>
      </c>
      <c r="B667" s="34"/>
      <c r="C667" s="34"/>
      <c r="D667" s="35">
        <f>D669</f>
        <v>656000</v>
      </c>
      <c r="E667" s="35"/>
      <c r="F667" s="7">
        <f>D667</f>
        <v>656000</v>
      </c>
      <c r="G667" s="35">
        <f>G671*G673</f>
        <v>819000</v>
      </c>
      <c r="H667" s="35"/>
      <c r="I667" s="35"/>
      <c r="J667" s="35">
        <f>G667</f>
        <v>819000</v>
      </c>
      <c r="K667" s="35"/>
      <c r="L667" s="35"/>
      <c r="M667" s="35"/>
      <c r="N667" s="35">
        <f>N671*N673</f>
        <v>725000</v>
      </c>
      <c r="O667" s="35"/>
      <c r="P667" s="29">
        <f>N667</f>
        <v>725000</v>
      </c>
      <c r="Q667" s="77"/>
    </row>
    <row r="668" spans="1:149" ht="11.25">
      <c r="A668" s="5" t="s">
        <v>4</v>
      </c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  <c r="EB668" s="52"/>
      <c r="EC668" s="52"/>
      <c r="ED668" s="52"/>
      <c r="EE668" s="52"/>
      <c r="EF668" s="52"/>
      <c r="EG668" s="52"/>
      <c r="EH668" s="52"/>
      <c r="EI668" s="52"/>
      <c r="EJ668" s="52"/>
      <c r="EK668" s="52"/>
      <c r="EL668" s="52"/>
      <c r="EM668" s="52"/>
      <c r="EN668" s="52"/>
      <c r="EO668" s="52"/>
      <c r="EP668" s="52"/>
      <c r="EQ668" s="52"/>
      <c r="ER668" s="52"/>
      <c r="ES668" s="52"/>
    </row>
    <row r="669" spans="1:149" ht="22.5">
      <c r="A669" s="8" t="s">
        <v>49</v>
      </c>
      <c r="B669" s="6"/>
      <c r="C669" s="6"/>
      <c r="D669" s="7">
        <f>D671*D673</f>
        <v>656000</v>
      </c>
      <c r="E669" s="7"/>
      <c r="F669" s="7">
        <f>D669</f>
        <v>656000</v>
      </c>
      <c r="G669" s="7">
        <v>819000</v>
      </c>
      <c r="H669" s="7"/>
      <c r="I669" s="7"/>
      <c r="J669" s="7">
        <f>G669</f>
        <v>819000</v>
      </c>
      <c r="K669" s="7"/>
      <c r="L669" s="7"/>
      <c r="M669" s="7"/>
      <c r="N669" s="7">
        <f>N671*N673</f>
        <v>725000</v>
      </c>
      <c r="O669" s="7"/>
      <c r="P669" s="7">
        <f>N669</f>
        <v>725000</v>
      </c>
      <c r="Q669" s="24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  <c r="EB669" s="52"/>
      <c r="EC669" s="52"/>
      <c r="ED669" s="52"/>
      <c r="EE669" s="52"/>
      <c r="EF669" s="52"/>
      <c r="EG669" s="52"/>
      <c r="EH669" s="52"/>
      <c r="EI669" s="52"/>
      <c r="EJ669" s="52"/>
      <c r="EK669" s="52"/>
      <c r="EL669" s="52"/>
      <c r="EM669" s="52"/>
      <c r="EN669" s="52"/>
      <c r="EO669" s="52"/>
      <c r="EP669" s="52"/>
      <c r="EQ669" s="52"/>
      <c r="ER669" s="52"/>
      <c r="ES669" s="52"/>
    </row>
    <row r="670" spans="1:149" ht="11.25">
      <c r="A670" s="5" t="s">
        <v>5</v>
      </c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24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  <c r="EB670" s="52"/>
      <c r="EC670" s="52"/>
      <c r="ED670" s="52"/>
      <c r="EE670" s="52"/>
      <c r="EF670" s="52"/>
      <c r="EG670" s="52"/>
      <c r="EH670" s="52"/>
      <c r="EI670" s="52"/>
      <c r="EJ670" s="52"/>
      <c r="EK670" s="52"/>
      <c r="EL670" s="52"/>
      <c r="EM670" s="52"/>
      <c r="EN670" s="52"/>
      <c r="EO670" s="52"/>
      <c r="EP670" s="52"/>
      <c r="EQ670" s="52"/>
      <c r="ER670" s="52"/>
      <c r="ES670" s="52"/>
    </row>
    <row r="671" spans="1:149" ht="27.75" customHeight="1">
      <c r="A671" s="8" t="s">
        <v>48</v>
      </c>
      <c r="B671" s="6"/>
      <c r="C671" s="6"/>
      <c r="D671" s="7">
        <v>16</v>
      </c>
      <c r="E671" s="7"/>
      <c r="F671" s="7">
        <f>D671</f>
        <v>16</v>
      </c>
      <c r="G671" s="7">
        <v>16</v>
      </c>
      <c r="H671" s="7"/>
      <c r="I671" s="7"/>
      <c r="J671" s="7">
        <f>G671</f>
        <v>16</v>
      </c>
      <c r="K671" s="7"/>
      <c r="L671" s="7"/>
      <c r="M671" s="7"/>
      <c r="N671" s="7">
        <v>16</v>
      </c>
      <c r="O671" s="7"/>
      <c r="P671" s="7">
        <f>N671</f>
        <v>16</v>
      </c>
      <c r="Q671" s="24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  <c r="EB671" s="52"/>
      <c r="EC671" s="52"/>
      <c r="ED671" s="52"/>
      <c r="EE671" s="52"/>
      <c r="EF671" s="52"/>
      <c r="EG671" s="52"/>
      <c r="EH671" s="52"/>
      <c r="EI671" s="52"/>
      <c r="EJ671" s="52"/>
      <c r="EK671" s="52"/>
      <c r="EL671" s="52"/>
      <c r="EM671" s="52"/>
      <c r="EN671" s="52"/>
      <c r="EO671" s="52"/>
      <c r="EP671" s="52"/>
      <c r="EQ671" s="52"/>
      <c r="ER671" s="52"/>
      <c r="ES671" s="52"/>
    </row>
    <row r="672" spans="1:149" ht="11.25">
      <c r="A672" s="5" t="s">
        <v>7</v>
      </c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24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  <c r="EB672" s="52"/>
      <c r="EC672" s="52"/>
      <c r="ED672" s="52"/>
      <c r="EE672" s="52"/>
      <c r="EF672" s="52"/>
      <c r="EG672" s="52"/>
      <c r="EH672" s="52"/>
      <c r="EI672" s="52"/>
      <c r="EJ672" s="52"/>
      <c r="EK672" s="52"/>
      <c r="EL672" s="52"/>
      <c r="EM672" s="52"/>
      <c r="EN672" s="52"/>
      <c r="EO672" s="52"/>
      <c r="EP672" s="52"/>
      <c r="EQ672" s="52"/>
      <c r="ER672" s="52"/>
      <c r="ES672" s="52"/>
    </row>
    <row r="673" spans="1:149" ht="33.75">
      <c r="A673" s="8" t="s">
        <v>50</v>
      </c>
      <c r="B673" s="6"/>
      <c r="C673" s="6"/>
      <c r="D673" s="7">
        <v>41000</v>
      </c>
      <c r="E673" s="7"/>
      <c r="F673" s="7">
        <v>41000</v>
      </c>
      <c r="G673" s="7">
        <v>51187.5</v>
      </c>
      <c r="H673" s="7"/>
      <c r="I673" s="7"/>
      <c r="J673" s="7">
        <f>G673</f>
        <v>51187.5</v>
      </c>
      <c r="K673" s="7"/>
      <c r="L673" s="7"/>
      <c r="M673" s="7"/>
      <c r="N673" s="7">
        <v>45312.5</v>
      </c>
      <c r="O673" s="7"/>
      <c r="P673" s="7">
        <f>N673</f>
        <v>45312.5</v>
      </c>
      <c r="Q673" s="24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  <c r="EB673" s="52"/>
      <c r="EC673" s="52"/>
      <c r="ED673" s="52"/>
      <c r="EE673" s="52"/>
      <c r="EF673" s="52"/>
      <c r="EG673" s="52"/>
      <c r="EH673" s="52"/>
      <c r="EI673" s="52"/>
      <c r="EJ673" s="52"/>
      <c r="EK673" s="52"/>
      <c r="EL673" s="52"/>
      <c r="EM673" s="52"/>
      <c r="EN673" s="52"/>
      <c r="EO673" s="52"/>
      <c r="EP673" s="52"/>
      <c r="EQ673" s="52"/>
      <c r="ER673" s="52"/>
      <c r="ES673" s="52"/>
    </row>
    <row r="674" spans="1:149" ht="11.25">
      <c r="A674" s="36" t="s">
        <v>355</v>
      </c>
      <c r="B674" s="6"/>
      <c r="C674" s="6"/>
      <c r="D674" s="35"/>
      <c r="E674" s="35">
        <f>E676+E689</f>
        <v>94580322</v>
      </c>
      <c r="F674" s="35">
        <f>D674+E674</f>
        <v>94580322</v>
      </c>
      <c r="G674" s="35">
        <f aca="true" t="shared" si="65" ref="G674:P674">G676+G689</f>
        <v>0</v>
      </c>
      <c r="H674" s="35">
        <f t="shared" si="65"/>
        <v>92000000</v>
      </c>
      <c r="I674" s="35">
        <f t="shared" si="65"/>
        <v>0</v>
      </c>
      <c r="J674" s="35">
        <f t="shared" si="65"/>
        <v>92000000</v>
      </c>
      <c r="K674" s="35">
        <f t="shared" si="65"/>
        <v>0</v>
      </c>
      <c r="L674" s="35">
        <f t="shared" si="65"/>
        <v>0</v>
      </c>
      <c r="M674" s="35">
        <f t="shared" si="65"/>
        <v>0</v>
      </c>
      <c r="N674" s="35">
        <f t="shared" si="65"/>
        <v>0</v>
      </c>
      <c r="O674" s="35">
        <f t="shared" si="65"/>
        <v>95000000</v>
      </c>
      <c r="P674" s="35">
        <f t="shared" si="65"/>
        <v>95000000</v>
      </c>
      <c r="Q674" s="24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  <c r="EB674" s="52"/>
      <c r="EC674" s="52"/>
      <c r="ED674" s="52"/>
      <c r="EE674" s="52"/>
      <c r="EF674" s="52"/>
      <c r="EG674" s="52"/>
      <c r="EH674" s="52"/>
      <c r="EI674" s="52"/>
      <c r="EJ674" s="52"/>
      <c r="EK674" s="52"/>
      <c r="EL674" s="52"/>
      <c r="EM674" s="52"/>
      <c r="EN674" s="52"/>
      <c r="EO674" s="52"/>
      <c r="EP674" s="52"/>
      <c r="EQ674" s="52"/>
      <c r="ER674" s="52"/>
      <c r="ES674" s="52"/>
    </row>
    <row r="675" spans="1:149" ht="22.5">
      <c r="A675" s="8" t="s">
        <v>200</v>
      </c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  <c r="EB675" s="52"/>
      <c r="EC675" s="52"/>
      <c r="ED675" s="52"/>
      <c r="EE675" s="52"/>
      <c r="EF675" s="52"/>
      <c r="EG675" s="52"/>
      <c r="EH675" s="52"/>
      <c r="EI675" s="52"/>
      <c r="EJ675" s="52"/>
      <c r="EK675" s="52"/>
      <c r="EL675" s="52"/>
      <c r="EM675" s="52"/>
      <c r="EN675" s="52"/>
      <c r="EO675" s="52"/>
      <c r="EP675" s="52"/>
      <c r="EQ675" s="52"/>
      <c r="ER675" s="52"/>
      <c r="ES675" s="52"/>
    </row>
    <row r="676" spans="1:17" s="38" customFormat="1" ht="22.5">
      <c r="A676" s="33" t="s">
        <v>472</v>
      </c>
      <c r="B676" s="34"/>
      <c r="C676" s="34"/>
      <c r="D676" s="85"/>
      <c r="E676" s="85">
        <f>E678+E684+E685+E686</f>
        <v>94580322</v>
      </c>
      <c r="F676" s="85">
        <f>D676+E676</f>
        <v>94580322</v>
      </c>
      <c r="G676" s="35">
        <f>G678</f>
        <v>0</v>
      </c>
      <c r="H676" s="35">
        <f>SUM(H678)</f>
        <v>92000000</v>
      </c>
      <c r="I676" s="35"/>
      <c r="J676" s="35">
        <f>G676+H676+I676</f>
        <v>92000000</v>
      </c>
      <c r="K676" s="35"/>
      <c r="L676" s="35"/>
      <c r="M676" s="35"/>
      <c r="N676" s="35"/>
      <c r="O676" s="35">
        <f>O678</f>
        <v>95000000</v>
      </c>
      <c r="P676" s="35">
        <f>N676+O676</f>
        <v>95000000</v>
      </c>
      <c r="Q676" s="77"/>
    </row>
    <row r="677" spans="1:17" s="38" customFormat="1" ht="11.25">
      <c r="A677" s="33" t="s">
        <v>4</v>
      </c>
      <c r="B677" s="34"/>
      <c r="C677" s="34"/>
      <c r="D677" s="85"/>
      <c r="E677" s="85"/>
      <c r="F677" s="8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77"/>
    </row>
    <row r="678" spans="1:17" s="38" customFormat="1" ht="11.25">
      <c r="A678" s="39" t="s">
        <v>43</v>
      </c>
      <c r="B678" s="40"/>
      <c r="C678" s="40"/>
      <c r="D678" s="79"/>
      <c r="E678" s="79">
        <f>E680*E682+1224322-0.03+30000+1000000+37400</f>
        <v>90291722</v>
      </c>
      <c r="F678" s="79">
        <f>F680*F682+1224322-0.03+30000+1000000</f>
        <v>90254322</v>
      </c>
      <c r="G678" s="86"/>
      <c r="H678" s="86">
        <v>92000000</v>
      </c>
      <c r="I678" s="86"/>
      <c r="J678" s="86">
        <f>H678</f>
        <v>92000000</v>
      </c>
      <c r="K678" s="86"/>
      <c r="L678" s="86"/>
      <c r="M678" s="86"/>
      <c r="N678" s="86"/>
      <c r="O678" s="86">
        <v>95000000</v>
      </c>
      <c r="P678" s="86">
        <f>O678</f>
        <v>95000000</v>
      </c>
      <c r="Q678" s="77"/>
    </row>
    <row r="679" spans="1:17" s="38" customFormat="1" ht="11.25">
      <c r="A679" s="33" t="s">
        <v>5</v>
      </c>
      <c r="B679" s="34"/>
      <c r="C679" s="34"/>
      <c r="D679" s="85"/>
      <c r="E679" s="85"/>
      <c r="F679" s="8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77"/>
    </row>
    <row r="680" spans="1:17" s="38" customFormat="1" ht="11.25">
      <c r="A680" s="39" t="s">
        <v>186</v>
      </c>
      <c r="B680" s="40"/>
      <c r="C680" s="40"/>
      <c r="D680" s="79"/>
      <c r="E680" s="79">
        <v>17</v>
      </c>
      <c r="F680" s="79">
        <v>17</v>
      </c>
      <c r="G680" s="86"/>
      <c r="H680" s="86">
        <v>11</v>
      </c>
      <c r="I680" s="86"/>
      <c r="J680" s="86">
        <f>H680</f>
        <v>11</v>
      </c>
      <c r="K680" s="86">
        <f>H680</f>
        <v>11</v>
      </c>
      <c r="L680" s="86">
        <f>J680</f>
        <v>11</v>
      </c>
      <c r="M680" s="86">
        <f>K680</f>
        <v>11</v>
      </c>
      <c r="N680" s="86"/>
      <c r="O680" s="86">
        <v>16</v>
      </c>
      <c r="P680" s="86">
        <f>O680</f>
        <v>16</v>
      </c>
      <c r="Q680" s="77"/>
    </row>
    <row r="681" spans="1:17" s="38" customFormat="1" ht="11.25">
      <c r="A681" s="39" t="s">
        <v>7</v>
      </c>
      <c r="B681" s="40"/>
      <c r="C681" s="40"/>
      <c r="D681" s="79"/>
      <c r="E681" s="79"/>
      <c r="F681" s="79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77"/>
    </row>
    <row r="682" spans="1:17" s="38" customFormat="1" ht="22.5">
      <c r="A682" s="39" t="s">
        <v>257</v>
      </c>
      <c r="B682" s="40"/>
      <c r="C682" s="40"/>
      <c r="D682" s="79"/>
      <c r="E682" s="86">
        <v>5176470.59</v>
      </c>
      <c r="F682" s="86">
        <v>5176470.59</v>
      </c>
      <c r="G682" s="86"/>
      <c r="H682" s="86">
        <f>SUM(H678)/H680</f>
        <v>8363636.363636363</v>
      </c>
      <c r="I682" s="86"/>
      <c r="J682" s="86">
        <f>SUM(J678)/J680</f>
        <v>8363636.363636363</v>
      </c>
      <c r="K682" s="86"/>
      <c r="L682" s="86"/>
      <c r="M682" s="86"/>
      <c r="N682" s="86"/>
      <c r="O682" s="86">
        <f>SUM(O678)/O680</f>
        <v>5937500</v>
      </c>
      <c r="P682" s="86">
        <f>SUM(P678)/P680</f>
        <v>5937500</v>
      </c>
      <c r="Q682" s="77"/>
    </row>
    <row r="683" spans="1:17" s="51" customFormat="1" ht="11.25">
      <c r="A683" s="33" t="s">
        <v>5</v>
      </c>
      <c r="B683" s="34"/>
      <c r="C683" s="34"/>
      <c r="D683" s="85"/>
      <c r="E683" s="85"/>
      <c r="F683" s="8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74"/>
    </row>
    <row r="684" spans="1:149" ht="33.75">
      <c r="A684" s="87" t="s">
        <v>276</v>
      </c>
      <c r="B684" s="28"/>
      <c r="C684" s="28"/>
      <c r="D684" s="88"/>
      <c r="E684" s="47">
        <v>621600</v>
      </c>
      <c r="F684" s="47">
        <v>621600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4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  <c r="EB684" s="52"/>
      <c r="EC684" s="52"/>
      <c r="ED684" s="52"/>
      <c r="EE684" s="52"/>
      <c r="EF684" s="52"/>
      <c r="EG684" s="52"/>
      <c r="EH684" s="52"/>
      <c r="EI684" s="52"/>
      <c r="EJ684" s="52"/>
      <c r="EK684" s="52"/>
      <c r="EL684" s="52"/>
      <c r="EM684" s="52"/>
      <c r="EN684" s="52"/>
      <c r="EO684" s="52"/>
      <c r="EP684" s="52"/>
      <c r="EQ684" s="52"/>
      <c r="ER684" s="52"/>
      <c r="ES684" s="52"/>
    </row>
    <row r="685" spans="1:149" ht="11.25">
      <c r="A685" s="87" t="s">
        <v>356</v>
      </c>
      <c r="B685" s="28"/>
      <c r="C685" s="28"/>
      <c r="D685" s="88"/>
      <c r="E685" s="47">
        <v>1247000</v>
      </c>
      <c r="F685" s="47">
        <f>E685</f>
        <v>1247000</v>
      </c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4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  <c r="EB685" s="52"/>
      <c r="EC685" s="52"/>
      <c r="ED685" s="52"/>
      <c r="EE685" s="52"/>
      <c r="EF685" s="52"/>
      <c r="EG685" s="52"/>
      <c r="EH685" s="52"/>
      <c r="EI685" s="52"/>
      <c r="EJ685" s="52"/>
      <c r="EK685" s="52"/>
      <c r="EL685" s="52"/>
      <c r="EM685" s="52"/>
      <c r="EN685" s="52"/>
      <c r="EO685" s="52"/>
      <c r="EP685" s="52"/>
      <c r="EQ685" s="52"/>
      <c r="ER685" s="52"/>
      <c r="ES685" s="52"/>
    </row>
    <row r="686" spans="1:149" ht="33.75">
      <c r="A686" s="87" t="s">
        <v>364</v>
      </c>
      <c r="B686" s="28"/>
      <c r="C686" s="28"/>
      <c r="D686" s="88"/>
      <c r="E686" s="47">
        <v>2420000</v>
      </c>
      <c r="F686" s="47">
        <f>E686</f>
        <v>2420000</v>
      </c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4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  <c r="EB686" s="52"/>
      <c r="EC686" s="52"/>
      <c r="ED686" s="52"/>
      <c r="EE686" s="52"/>
      <c r="EF686" s="52"/>
      <c r="EG686" s="52"/>
      <c r="EH686" s="52"/>
      <c r="EI686" s="52"/>
      <c r="EJ686" s="52"/>
      <c r="EK686" s="52"/>
      <c r="EL686" s="52"/>
      <c r="EM686" s="52"/>
      <c r="EN686" s="52"/>
      <c r="EO686" s="52"/>
      <c r="EP686" s="52"/>
      <c r="EQ686" s="52"/>
      <c r="ER686" s="52"/>
      <c r="ES686" s="52"/>
    </row>
    <row r="687" spans="1:17" s="90" customFormat="1" ht="13.5" customHeight="1">
      <c r="A687" s="36" t="s">
        <v>329</v>
      </c>
      <c r="B687" s="36"/>
      <c r="C687" s="36"/>
      <c r="D687" s="80">
        <f>SUM(D689)</f>
        <v>0</v>
      </c>
      <c r="E687" s="80"/>
      <c r="F687" s="80">
        <f>SUM(F689)</f>
        <v>0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89"/>
    </row>
    <row r="688" spans="1:17" s="22" customFormat="1" ht="20.25" customHeight="1">
      <c r="A688" s="8" t="s">
        <v>331</v>
      </c>
      <c r="B688" s="6"/>
      <c r="C688" s="6"/>
      <c r="D688" s="83"/>
      <c r="E688" s="83"/>
      <c r="F688" s="8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3"/>
    </row>
    <row r="689" spans="1:17" s="94" customFormat="1" ht="16.5" customHeight="1">
      <c r="A689" s="91" t="s">
        <v>473</v>
      </c>
      <c r="B689" s="92"/>
      <c r="C689" s="92"/>
      <c r="D689" s="93">
        <f>SUM(D691)</f>
        <v>0</v>
      </c>
      <c r="E689" s="93">
        <f>SUM(E691)</f>
        <v>0</v>
      </c>
      <c r="F689" s="93">
        <f>SUM(F691)</f>
        <v>0</v>
      </c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77"/>
    </row>
    <row r="690" spans="1:149" ht="11.25">
      <c r="A690" s="33" t="s">
        <v>4</v>
      </c>
      <c r="B690" s="6"/>
      <c r="C690" s="6"/>
      <c r="D690" s="83"/>
      <c r="E690" s="83"/>
      <c r="F690" s="8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24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  <c r="EB690" s="52"/>
      <c r="EC690" s="52"/>
      <c r="ED690" s="52"/>
      <c r="EE690" s="52"/>
      <c r="EF690" s="52"/>
      <c r="EG690" s="52"/>
      <c r="EH690" s="52"/>
      <c r="EI690" s="52"/>
      <c r="EJ690" s="52"/>
      <c r="EK690" s="52"/>
      <c r="EL690" s="52"/>
      <c r="EM690" s="52"/>
      <c r="EN690" s="52"/>
      <c r="EO690" s="52"/>
      <c r="EP690" s="52"/>
      <c r="EQ690" s="52"/>
      <c r="ER690" s="52"/>
      <c r="ES690" s="52"/>
    </row>
    <row r="691" spans="1:149" ht="15" customHeight="1">
      <c r="A691" s="39" t="s">
        <v>43</v>
      </c>
      <c r="B691" s="6"/>
      <c r="C691" s="6"/>
      <c r="D691" s="83">
        <v>0</v>
      </c>
      <c r="E691" s="83"/>
      <c r="F691" s="83">
        <f>SUM(D691:E691)</f>
        <v>0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24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  <c r="EB691" s="52"/>
      <c r="EC691" s="52"/>
      <c r="ED691" s="52"/>
      <c r="EE691" s="52"/>
      <c r="EF691" s="52"/>
      <c r="EG691" s="52"/>
      <c r="EH691" s="52"/>
      <c r="EI691" s="52"/>
      <c r="EJ691" s="52"/>
      <c r="EK691" s="52"/>
      <c r="EL691" s="52"/>
      <c r="EM691" s="52"/>
      <c r="EN691" s="52"/>
      <c r="EO691" s="52"/>
      <c r="EP691" s="52"/>
      <c r="EQ691" s="52"/>
      <c r="ER691" s="52"/>
      <c r="ES691" s="52"/>
    </row>
    <row r="692" spans="1:17" s="51" customFormat="1" ht="11.25">
      <c r="A692" s="33" t="s">
        <v>5</v>
      </c>
      <c r="B692" s="36"/>
      <c r="C692" s="36"/>
      <c r="D692" s="80"/>
      <c r="E692" s="80"/>
      <c r="F692" s="80">
        <f>SUM(D692:E692)</f>
        <v>0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74"/>
    </row>
    <row r="693" spans="1:149" ht="13.5" customHeight="1">
      <c r="A693" s="33" t="s">
        <v>332</v>
      </c>
      <c r="B693" s="6"/>
      <c r="C693" s="6"/>
      <c r="D693" s="83">
        <v>0</v>
      </c>
      <c r="E693" s="83"/>
      <c r="F693" s="83">
        <f>SUM(D693:E693)</f>
        <v>0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24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  <c r="EB693" s="52"/>
      <c r="EC693" s="52"/>
      <c r="ED693" s="52"/>
      <c r="EE693" s="52"/>
      <c r="EF693" s="52"/>
      <c r="EG693" s="52"/>
      <c r="EH693" s="52"/>
      <c r="EI693" s="52"/>
      <c r="EJ693" s="52"/>
      <c r="EK693" s="52"/>
      <c r="EL693" s="52"/>
      <c r="EM693" s="52"/>
      <c r="EN693" s="52"/>
      <c r="EO693" s="52"/>
      <c r="EP693" s="52"/>
      <c r="EQ693" s="52"/>
      <c r="ER693" s="52"/>
      <c r="ES693" s="52"/>
    </row>
    <row r="694" spans="1:17" s="51" customFormat="1" ht="16.5" customHeight="1">
      <c r="A694" s="33" t="s">
        <v>7</v>
      </c>
      <c r="B694" s="36"/>
      <c r="C694" s="36"/>
      <c r="D694" s="80"/>
      <c r="E694" s="80"/>
      <c r="F694" s="80"/>
      <c r="G694" s="80"/>
      <c r="H694" s="80"/>
      <c r="I694" s="80"/>
      <c r="J694" s="29"/>
      <c r="K694" s="80"/>
      <c r="L694" s="80"/>
      <c r="M694" s="80"/>
      <c r="N694" s="80"/>
      <c r="O694" s="80"/>
      <c r="P694" s="80"/>
      <c r="Q694" s="74"/>
    </row>
    <row r="695" spans="1:149" ht="11.25">
      <c r="A695" s="33" t="s">
        <v>330</v>
      </c>
      <c r="B695" s="6"/>
      <c r="C695" s="6"/>
      <c r="D695" s="83">
        <v>0</v>
      </c>
      <c r="E695" s="83"/>
      <c r="F695" s="83">
        <f>SUM(D695:E695)</f>
        <v>0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24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  <c r="EB695" s="52"/>
      <c r="EC695" s="52"/>
      <c r="ED695" s="52"/>
      <c r="EE695" s="52"/>
      <c r="EF695" s="52"/>
      <c r="EG695" s="52"/>
      <c r="EH695" s="52"/>
      <c r="EI695" s="52"/>
      <c r="EJ695" s="52"/>
      <c r="EK695" s="52"/>
      <c r="EL695" s="52"/>
      <c r="EM695" s="52"/>
      <c r="EN695" s="52"/>
      <c r="EO695" s="52"/>
      <c r="EP695" s="52"/>
      <c r="EQ695" s="52"/>
      <c r="ER695" s="52"/>
      <c r="ES695" s="52"/>
    </row>
    <row r="696" spans="1:149" ht="11.25">
      <c r="A696" s="36" t="s">
        <v>256</v>
      </c>
      <c r="B696" s="6"/>
      <c r="C696" s="6"/>
      <c r="D696" s="80">
        <f>D698</f>
        <v>0</v>
      </c>
      <c r="E696" s="80">
        <f>E698</f>
        <v>-20000</v>
      </c>
      <c r="F696" s="80">
        <f>F698</f>
        <v>-20000</v>
      </c>
      <c r="G696" s="80">
        <f aca="true" t="shared" si="66" ref="G696:Q696">G698</f>
        <v>0</v>
      </c>
      <c r="H696" s="80">
        <f t="shared" si="66"/>
        <v>0</v>
      </c>
      <c r="I696" s="80">
        <f t="shared" si="66"/>
        <v>0</v>
      </c>
      <c r="J696" s="80">
        <f t="shared" si="66"/>
        <v>0</v>
      </c>
      <c r="K696" s="80">
        <f t="shared" si="66"/>
        <v>0</v>
      </c>
      <c r="L696" s="80">
        <f t="shared" si="66"/>
        <v>0</v>
      </c>
      <c r="M696" s="80">
        <f t="shared" si="66"/>
        <v>0</v>
      </c>
      <c r="N696" s="80">
        <f t="shared" si="66"/>
        <v>0</v>
      </c>
      <c r="O696" s="80">
        <f t="shared" si="66"/>
        <v>-2054092</v>
      </c>
      <c r="P696" s="80">
        <f t="shared" si="66"/>
        <v>-2054092</v>
      </c>
      <c r="Q696" s="80">
        <f t="shared" si="66"/>
        <v>0</v>
      </c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  <c r="EB696" s="52"/>
      <c r="EC696" s="52"/>
      <c r="ED696" s="52"/>
      <c r="EE696" s="52"/>
      <c r="EF696" s="52"/>
      <c r="EG696" s="52"/>
      <c r="EH696" s="52"/>
      <c r="EI696" s="52"/>
      <c r="EJ696" s="52"/>
      <c r="EK696" s="52"/>
      <c r="EL696" s="52"/>
      <c r="EM696" s="52"/>
      <c r="EN696" s="52"/>
      <c r="EO696" s="52"/>
      <c r="EP696" s="52"/>
      <c r="EQ696" s="52"/>
      <c r="ER696" s="52"/>
      <c r="ES696" s="52"/>
    </row>
    <row r="697" spans="1:149" ht="17.25" customHeight="1">
      <c r="A697" s="8" t="s">
        <v>197</v>
      </c>
      <c r="B697" s="6"/>
      <c r="C697" s="6"/>
      <c r="D697" s="83"/>
      <c r="E697" s="83"/>
      <c r="F697" s="8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24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  <c r="EB697" s="52"/>
      <c r="EC697" s="52"/>
      <c r="ED697" s="52"/>
      <c r="EE697" s="52"/>
      <c r="EF697" s="52"/>
      <c r="EG697" s="52"/>
      <c r="EH697" s="52"/>
      <c r="EI697" s="52"/>
      <c r="EJ697" s="52"/>
      <c r="EK697" s="52"/>
      <c r="EL697" s="52"/>
      <c r="EM697" s="52"/>
      <c r="EN697" s="52"/>
      <c r="EO697" s="52"/>
      <c r="EP697" s="52"/>
      <c r="EQ697" s="52"/>
      <c r="ER697" s="52"/>
      <c r="ES697" s="52"/>
    </row>
    <row r="698" spans="1:17" s="51" customFormat="1" ht="22.5">
      <c r="A698" s="33" t="s">
        <v>425</v>
      </c>
      <c r="B698" s="36"/>
      <c r="C698" s="36"/>
      <c r="D698" s="80"/>
      <c r="E698" s="80">
        <f>E700</f>
        <v>-20000</v>
      </c>
      <c r="F698" s="80">
        <f>D698+E698</f>
        <v>-20000</v>
      </c>
      <c r="G698" s="29"/>
      <c r="H698" s="35">
        <f>H700</f>
        <v>0</v>
      </c>
      <c r="I698" s="35"/>
      <c r="J698" s="35">
        <f>H698</f>
        <v>0</v>
      </c>
      <c r="K698" s="35"/>
      <c r="L698" s="35"/>
      <c r="M698" s="35"/>
      <c r="N698" s="35"/>
      <c r="O698" s="35">
        <f>O700</f>
        <v>-2054092</v>
      </c>
      <c r="P698" s="35">
        <f>O698</f>
        <v>-2054092</v>
      </c>
      <c r="Q698" s="74"/>
    </row>
    <row r="699" spans="1:149" ht="11.25">
      <c r="A699" s="5" t="s">
        <v>4</v>
      </c>
      <c r="B699" s="6"/>
      <c r="C699" s="6"/>
      <c r="D699" s="83"/>
      <c r="E699" s="83"/>
      <c r="F699" s="8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24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  <c r="EB699" s="52"/>
      <c r="EC699" s="52"/>
      <c r="ED699" s="52"/>
      <c r="EE699" s="52"/>
      <c r="EF699" s="52"/>
      <c r="EG699" s="52"/>
      <c r="EH699" s="52"/>
      <c r="EI699" s="52"/>
      <c r="EJ699" s="52"/>
      <c r="EK699" s="52"/>
      <c r="EL699" s="52"/>
      <c r="EM699" s="52"/>
      <c r="EN699" s="52"/>
      <c r="EO699" s="52"/>
      <c r="EP699" s="52"/>
      <c r="EQ699" s="52"/>
      <c r="ER699" s="52"/>
      <c r="ES699" s="52"/>
    </row>
    <row r="700" spans="1:149" ht="22.5">
      <c r="A700" s="8" t="s">
        <v>199</v>
      </c>
      <c r="B700" s="6"/>
      <c r="C700" s="6"/>
      <c r="D700" s="48"/>
      <c r="E700" s="48">
        <f>E702*E704</f>
        <v>-20000</v>
      </c>
      <c r="F700" s="48">
        <f>F702*F704</f>
        <v>-20000</v>
      </c>
      <c r="G700" s="86"/>
      <c r="H700" s="86">
        <f>H702*H704</f>
        <v>0</v>
      </c>
      <c r="I700" s="86"/>
      <c r="J700" s="86">
        <f>H700</f>
        <v>0</v>
      </c>
      <c r="K700" s="86"/>
      <c r="L700" s="86"/>
      <c r="M700" s="86"/>
      <c r="N700" s="86"/>
      <c r="O700" s="86">
        <f>O702*O704</f>
        <v>-2054092</v>
      </c>
      <c r="P700" s="86">
        <f>P702*P704</f>
        <v>-2054092</v>
      </c>
      <c r="Q700" s="24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  <c r="EB700" s="52"/>
      <c r="EC700" s="52"/>
      <c r="ED700" s="52"/>
      <c r="EE700" s="52"/>
      <c r="EF700" s="52"/>
      <c r="EG700" s="52"/>
      <c r="EH700" s="52"/>
      <c r="EI700" s="52"/>
      <c r="EJ700" s="52"/>
      <c r="EK700" s="52"/>
      <c r="EL700" s="52"/>
      <c r="EM700" s="52"/>
      <c r="EN700" s="52"/>
      <c r="EO700" s="52"/>
      <c r="EP700" s="52"/>
      <c r="EQ700" s="52"/>
      <c r="ER700" s="52"/>
      <c r="ES700" s="52"/>
    </row>
    <row r="701" spans="1:149" ht="11.25">
      <c r="A701" s="5" t="s">
        <v>5</v>
      </c>
      <c r="B701" s="6"/>
      <c r="C701" s="6"/>
      <c r="D701" s="48"/>
      <c r="E701" s="48"/>
      <c r="F701" s="48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24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  <c r="EB701" s="52"/>
      <c r="EC701" s="52"/>
      <c r="ED701" s="52"/>
      <c r="EE701" s="52"/>
      <c r="EF701" s="52"/>
      <c r="EG701" s="52"/>
      <c r="EH701" s="52"/>
      <c r="EI701" s="52"/>
      <c r="EJ701" s="52"/>
      <c r="EK701" s="52"/>
      <c r="EL701" s="52"/>
      <c r="EM701" s="52"/>
      <c r="EN701" s="52"/>
      <c r="EO701" s="52"/>
      <c r="EP701" s="52"/>
      <c r="EQ701" s="52"/>
      <c r="ER701" s="52"/>
      <c r="ES701" s="52"/>
    </row>
    <row r="702" spans="1:149" ht="22.5">
      <c r="A702" s="8" t="s">
        <v>198</v>
      </c>
      <c r="B702" s="6"/>
      <c r="C702" s="6"/>
      <c r="D702" s="48"/>
      <c r="E702" s="48">
        <v>1</v>
      </c>
      <c r="F702" s="48">
        <f>D702+E702</f>
        <v>1</v>
      </c>
      <c r="G702" s="86"/>
      <c r="H702" s="95">
        <f>1-1</f>
        <v>0</v>
      </c>
      <c r="I702" s="86"/>
      <c r="J702" s="95">
        <f>H702</f>
        <v>0</v>
      </c>
      <c r="K702" s="86"/>
      <c r="L702" s="86"/>
      <c r="M702" s="86"/>
      <c r="N702" s="86"/>
      <c r="O702" s="95">
        <v>1</v>
      </c>
      <c r="P702" s="95">
        <v>1</v>
      </c>
      <c r="Q702" s="24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  <c r="EB702" s="52"/>
      <c r="EC702" s="52"/>
      <c r="ED702" s="52"/>
      <c r="EE702" s="52"/>
      <c r="EF702" s="52"/>
      <c r="EG702" s="52"/>
      <c r="EH702" s="52"/>
      <c r="EI702" s="52"/>
      <c r="EJ702" s="52"/>
      <c r="EK702" s="52"/>
      <c r="EL702" s="52"/>
      <c r="EM702" s="52"/>
      <c r="EN702" s="52"/>
      <c r="EO702" s="52"/>
      <c r="EP702" s="52"/>
      <c r="EQ702" s="52"/>
      <c r="ER702" s="52"/>
      <c r="ES702" s="52"/>
    </row>
    <row r="703" spans="1:149" ht="11.25">
      <c r="A703" s="33" t="s">
        <v>7</v>
      </c>
      <c r="B703" s="6"/>
      <c r="C703" s="6"/>
      <c r="D703" s="48"/>
      <c r="E703" s="48"/>
      <c r="F703" s="48"/>
      <c r="G703" s="86"/>
      <c r="H703" s="95"/>
      <c r="I703" s="86"/>
      <c r="J703" s="95"/>
      <c r="K703" s="86"/>
      <c r="L703" s="86"/>
      <c r="M703" s="86"/>
      <c r="N703" s="86"/>
      <c r="O703" s="95"/>
      <c r="P703" s="95"/>
      <c r="Q703" s="24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  <c r="EB703" s="52"/>
      <c r="EC703" s="52"/>
      <c r="ED703" s="52"/>
      <c r="EE703" s="52"/>
      <c r="EF703" s="52"/>
      <c r="EG703" s="52"/>
      <c r="EH703" s="52"/>
      <c r="EI703" s="52"/>
      <c r="EJ703" s="52"/>
      <c r="EK703" s="52"/>
      <c r="EL703" s="52"/>
      <c r="EM703" s="52"/>
      <c r="EN703" s="52"/>
      <c r="EO703" s="52"/>
      <c r="EP703" s="52"/>
      <c r="EQ703" s="52"/>
      <c r="ER703" s="52"/>
      <c r="ES703" s="52"/>
    </row>
    <row r="704" spans="1:149" ht="22.5">
      <c r="A704" s="39" t="s">
        <v>338</v>
      </c>
      <c r="B704" s="6"/>
      <c r="C704" s="6"/>
      <c r="D704" s="48"/>
      <c r="E704" s="48">
        <v>-20000</v>
      </c>
      <c r="F704" s="48">
        <f>E704</f>
        <v>-20000</v>
      </c>
      <c r="G704" s="86"/>
      <c r="H704" s="86">
        <f>-2054092+2054092</f>
        <v>0</v>
      </c>
      <c r="I704" s="86"/>
      <c r="J704" s="86">
        <f>H704</f>
        <v>0</v>
      </c>
      <c r="K704" s="86"/>
      <c r="L704" s="86"/>
      <c r="M704" s="86"/>
      <c r="N704" s="86"/>
      <c r="O704" s="95">
        <v>-2054092</v>
      </c>
      <c r="P704" s="95">
        <v>-2054092</v>
      </c>
      <c r="Q704" s="24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  <c r="EB704" s="52"/>
      <c r="EC704" s="52"/>
      <c r="ED704" s="52"/>
      <c r="EE704" s="52"/>
      <c r="EF704" s="52"/>
      <c r="EG704" s="52"/>
      <c r="EH704" s="52"/>
      <c r="EI704" s="52"/>
      <c r="EJ704" s="52"/>
      <c r="EK704" s="52"/>
      <c r="EL704" s="52"/>
      <c r="EM704" s="52"/>
      <c r="EN704" s="52"/>
      <c r="EO704" s="52"/>
      <c r="EP704" s="52"/>
      <c r="EQ704" s="52"/>
      <c r="ER704" s="52"/>
      <c r="ES704" s="52"/>
    </row>
    <row r="705" spans="1:149" ht="11.25">
      <c r="A705" s="36" t="s">
        <v>301</v>
      </c>
      <c r="B705" s="6"/>
      <c r="C705" s="6"/>
      <c r="D705" s="48"/>
      <c r="E705" s="48"/>
      <c r="F705" s="48"/>
      <c r="G705" s="80">
        <f>G707</f>
        <v>0</v>
      </c>
      <c r="H705" s="80">
        <f>H707</f>
        <v>0</v>
      </c>
      <c r="I705" s="80">
        <f>I707</f>
        <v>0</v>
      </c>
      <c r="J705" s="80">
        <f>J707</f>
        <v>0</v>
      </c>
      <c r="K705" s="86"/>
      <c r="L705" s="86"/>
      <c r="M705" s="86"/>
      <c r="N705" s="86"/>
      <c r="O705" s="160">
        <f>O707</f>
        <v>-740000</v>
      </c>
      <c r="P705" s="160">
        <f>P707</f>
        <v>-740000</v>
      </c>
      <c r="Q705" s="24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  <c r="EB705" s="52"/>
      <c r="EC705" s="52"/>
      <c r="ED705" s="52"/>
      <c r="EE705" s="52"/>
      <c r="EF705" s="52"/>
      <c r="EG705" s="52"/>
      <c r="EH705" s="52"/>
      <c r="EI705" s="52"/>
      <c r="EJ705" s="52"/>
      <c r="EK705" s="52"/>
      <c r="EL705" s="52"/>
      <c r="EM705" s="52"/>
      <c r="EN705" s="52"/>
      <c r="EO705" s="52"/>
      <c r="EP705" s="52"/>
      <c r="EQ705" s="52"/>
      <c r="ER705" s="52"/>
      <c r="ES705" s="52"/>
    </row>
    <row r="706" spans="1:149" ht="11.25">
      <c r="A706" s="8" t="s">
        <v>197</v>
      </c>
      <c r="B706" s="6"/>
      <c r="C706" s="6"/>
      <c r="D706" s="48"/>
      <c r="E706" s="48"/>
      <c r="F706" s="48"/>
      <c r="G706" s="7"/>
      <c r="H706" s="7"/>
      <c r="I706" s="7"/>
      <c r="J706" s="7"/>
      <c r="K706" s="86"/>
      <c r="L706" s="86"/>
      <c r="M706" s="86"/>
      <c r="N706" s="86"/>
      <c r="O706" s="95"/>
      <c r="P706" s="95"/>
      <c r="Q706" s="24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</row>
    <row r="707" spans="1:149" ht="22.5">
      <c r="A707" s="33" t="s">
        <v>474</v>
      </c>
      <c r="B707" s="6"/>
      <c r="C707" s="6"/>
      <c r="D707" s="48"/>
      <c r="E707" s="48"/>
      <c r="F707" s="48"/>
      <c r="G707" s="29"/>
      <c r="H707" s="35">
        <f>H709</f>
        <v>0</v>
      </c>
      <c r="I707" s="35"/>
      <c r="J707" s="35">
        <f>H707</f>
        <v>0</v>
      </c>
      <c r="K707" s="86"/>
      <c r="L707" s="86"/>
      <c r="M707" s="86"/>
      <c r="N707" s="86"/>
      <c r="O707" s="159">
        <f>O709</f>
        <v>-740000</v>
      </c>
      <c r="P707" s="159">
        <f>P709</f>
        <v>-740000</v>
      </c>
      <c r="Q707" s="24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  <c r="EB707" s="52"/>
      <c r="EC707" s="52"/>
      <c r="ED707" s="52"/>
      <c r="EE707" s="52"/>
      <c r="EF707" s="52"/>
      <c r="EG707" s="52"/>
      <c r="EH707" s="52"/>
      <c r="EI707" s="52"/>
      <c r="EJ707" s="52"/>
      <c r="EK707" s="52"/>
      <c r="EL707" s="52"/>
      <c r="EM707" s="52"/>
      <c r="EN707" s="52"/>
      <c r="EO707" s="52"/>
      <c r="EP707" s="52"/>
      <c r="EQ707" s="52"/>
      <c r="ER707" s="52"/>
      <c r="ES707" s="52"/>
    </row>
    <row r="708" spans="1:149" ht="11.25">
      <c r="A708" s="5" t="s">
        <v>4</v>
      </c>
      <c r="B708" s="6"/>
      <c r="C708" s="6"/>
      <c r="D708" s="48"/>
      <c r="E708" s="48"/>
      <c r="F708" s="48"/>
      <c r="G708" s="7"/>
      <c r="H708" s="7"/>
      <c r="I708" s="7"/>
      <c r="J708" s="7"/>
      <c r="K708" s="86"/>
      <c r="L708" s="86"/>
      <c r="M708" s="86"/>
      <c r="N708" s="86"/>
      <c r="O708" s="95"/>
      <c r="P708" s="95"/>
      <c r="Q708" s="24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  <c r="EB708" s="52"/>
      <c r="EC708" s="52"/>
      <c r="ED708" s="52"/>
      <c r="EE708" s="52"/>
      <c r="EF708" s="52"/>
      <c r="EG708" s="52"/>
      <c r="EH708" s="52"/>
      <c r="EI708" s="52"/>
      <c r="EJ708" s="52"/>
      <c r="EK708" s="52"/>
      <c r="EL708" s="52"/>
      <c r="EM708" s="52"/>
      <c r="EN708" s="52"/>
      <c r="EO708" s="52"/>
      <c r="EP708" s="52"/>
      <c r="EQ708" s="52"/>
      <c r="ER708" s="52"/>
      <c r="ES708" s="52"/>
    </row>
    <row r="709" spans="1:149" ht="22.5">
      <c r="A709" s="8" t="s">
        <v>199</v>
      </c>
      <c r="B709" s="6"/>
      <c r="C709" s="6"/>
      <c r="D709" s="48"/>
      <c r="E709" s="48"/>
      <c r="F709" s="48"/>
      <c r="G709" s="86"/>
      <c r="H709" s="86">
        <f>H711*H713</f>
        <v>0</v>
      </c>
      <c r="I709" s="86"/>
      <c r="J709" s="86">
        <f>H709</f>
        <v>0</v>
      </c>
      <c r="K709" s="86"/>
      <c r="L709" s="86"/>
      <c r="M709" s="86"/>
      <c r="N709" s="86"/>
      <c r="O709" s="95">
        <f>O711*O713</f>
        <v>-740000</v>
      </c>
      <c r="P709" s="95">
        <f>P711*P713</f>
        <v>-740000</v>
      </c>
      <c r="Q709" s="24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  <c r="EB709" s="52"/>
      <c r="EC709" s="52"/>
      <c r="ED709" s="52"/>
      <c r="EE709" s="52"/>
      <c r="EF709" s="52"/>
      <c r="EG709" s="52"/>
      <c r="EH709" s="52"/>
      <c r="EI709" s="52"/>
      <c r="EJ709" s="52"/>
      <c r="EK709" s="52"/>
      <c r="EL709" s="52"/>
      <c r="EM709" s="52"/>
      <c r="EN709" s="52"/>
      <c r="EO709" s="52"/>
      <c r="EP709" s="52"/>
      <c r="EQ709" s="52"/>
      <c r="ER709" s="52"/>
      <c r="ES709" s="52"/>
    </row>
    <row r="710" spans="1:149" ht="11.25">
      <c r="A710" s="5" t="s">
        <v>5</v>
      </c>
      <c r="B710" s="6"/>
      <c r="C710" s="6"/>
      <c r="D710" s="48"/>
      <c r="E710" s="48"/>
      <c r="F710" s="48"/>
      <c r="G710" s="86"/>
      <c r="H710" s="86"/>
      <c r="I710" s="86"/>
      <c r="J710" s="86"/>
      <c r="K710" s="86"/>
      <c r="L710" s="86"/>
      <c r="M710" s="86"/>
      <c r="N710" s="86"/>
      <c r="O710" s="95"/>
      <c r="P710" s="95"/>
      <c r="Q710" s="24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  <c r="EB710" s="52"/>
      <c r="EC710" s="52"/>
      <c r="ED710" s="52"/>
      <c r="EE710" s="52"/>
      <c r="EF710" s="52"/>
      <c r="EG710" s="52"/>
      <c r="EH710" s="52"/>
      <c r="EI710" s="52"/>
      <c r="EJ710" s="52"/>
      <c r="EK710" s="52"/>
      <c r="EL710" s="52"/>
      <c r="EM710" s="52"/>
      <c r="EN710" s="52"/>
      <c r="EO710" s="52"/>
      <c r="EP710" s="52"/>
      <c r="EQ710" s="52"/>
      <c r="ER710" s="52"/>
      <c r="ES710" s="52"/>
    </row>
    <row r="711" spans="1:149" ht="22.5">
      <c r="A711" s="8" t="s">
        <v>198</v>
      </c>
      <c r="B711" s="6"/>
      <c r="C711" s="6"/>
      <c r="D711" s="48"/>
      <c r="E711" s="48"/>
      <c r="F711" s="48"/>
      <c r="G711" s="86"/>
      <c r="H711" s="95">
        <f>1-1</f>
        <v>0</v>
      </c>
      <c r="I711" s="86"/>
      <c r="J711" s="95">
        <f>H711</f>
        <v>0</v>
      </c>
      <c r="K711" s="86"/>
      <c r="L711" s="86"/>
      <c r="M711" s="86"/>
      <c r="N711" s="86"/>
      <c r="O711" s="95">
        <v>1</v>
      </c>
      <c r="P711" s="95">
        <v>1</v>
      </c>
      <c r="Q711" s="24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  <c r="EB711" s="52"/>
      <c r="EC711" s="52"/>
      <c r="ED711" s="52"/>
      <c r="EE711" s="52"/>
      <c r="EF711" s="52"/>
      <c r="EG711" s="52"/>
      <c r="EH711" s="52"/>
      <c r="EI711" s="52"/>
      <c r="EJ711" s="52"/>
      <c r="EK711" s="52"/>
      <c r="EL711" s="52"/>
      <c r="EM711" s="52"/>
      <c r="EN711" s="52"/>
      <c r="EO711" s="52"/>
      <c r="EP711" s="52"/>
      <c r="EQ711" s="52"/>
      <c r="ER711" s="52"/>
      <c r="ES711" s="52"/>
    </row>
    <row r="712" spans="1:149" ht="11.25">
      <c r="A712" s="33" t="s">
        <v>7</v>
      </c>
      <c r="B712" s="6"/>
      <c r="C712" s="6"/>
      <c r="D712" s="48"/>
      <c r="E712" s="48"/>
      <c r="F712" s="48"/>
      <c r="G712" s="86"/>
      <c r="H712" s="95"/>
      <c r="I712" s="86"/>
      <c r="J712" s="95"/>
      <c r="K712" s="86"/>
      <c r="L712" s="86"/>
      <c r="M712" s="86"/>
      <c r="N712" s="86"/>
      <c r="O712" s="95"/>
      <c r="P712" s="95"/>
      <c r="Q712" s="24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</row>
    <row r="713" spans="1:149" ht="22.5">
      <c r="A713" s="39" t="s">
        <v>338</v>
      </c>
      <c r="B713" s="6"/>
      <c r="C713" s="6"/>
      <c r="D713" s="48"/>
      <c r="E713" s="48"/>
      <c r="F713" s="48"/>
      <c r="G713" s="86"/>
      <c r="H713" s="86">
        <f>-740000+740000</f>
        <v>0</v>
      </c>
      <c r="I713" s="86"/>
      <c r="J713" s="86">
        <f>H713</f>
        <v>0</v>
      </c>
      <c r="K713" s="86"/>
      <c r="L713" s="86"/>
      <c r="M713" s="86"/>
      <c r="N713" s="86"/>
      <c r="O713" s="95">
        <v>-740000</v>
      </c>
      <c r="P713" s="95">
        <v>-740000</v>
      </c>
      <c r="Q713" s="24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  <c r="EB713" s="52"/>
      <c r="EC713" s="52"/>
      <c r="ED713" s="52"/>
      <c r="EE713" s="52"/>
      <c r="EF713" s="52"/>
      <c r="EG713" s="52"/>
      <c r="EH713" s="52"/>
      <c r="EI713" s="52"/>
      <c r="EJ713" s="52"/>
      <c r="EK713" s="52"/>
      <c r="EL713" s="52"/>
      <c r="EM713" s="52"/>
      <c r="EN713" s="52"/>
      <c r="EO713" s="52"/>
      <c r="EP713" s="52"/>
      <c r="EQ713" s="52"/>
      <c r="ER713" s="52"/>
      <c r="ES713" s="52"/>
    </row>
    <row r="714" spans="1:149" ht="13.5" customHeight="1">
      <c r="A714" s="36" t="s">
        <v>263</v>
      </c>
      <c r="B714" s="6"/>
      <c r="C714" s="6"/>
      <c r="D714" s="80">
        <f>D716</f>
        <v>0</v>
      </c>
      <c r="E714" s="80">
        <f aca="true" t="shared" si="67" ref="E714:P714">E716</f>
        <v>74070200</v>
      </c>
      <c r="F714" s="80">
        <f t="shared" si="67"/>
        <v>74070200</v>
      </c>
      <c r="G714" s="80">
        <f t="shared" si="67"/>
        <v>0</v>
      </c>
      <c r="H714" s="80">
        <f t="shared" si="67"/>
        <v>0</v>
      </c>
      <c r="I714" s="80">
        <f t="shared" si="67"/>
        <v>0</v>
      </c>
      <c r="J714" s="80">
        <f t="shared" si="67"/>
        <v>0</v>
      </c>
      <c r="K714" s="80">
        <f t="shared" si="67"/>
        <v>0</v>
      </c>
      <c r="L714" s="80">
        <f t="shared" si="67"/>
        <v>0</v>
      </c>
      <c r="M714" s="80">
        <f t="shared" si="67"/>
        <v>0</v>
      </c>
      <c r="N714" s="80">
        <f t="shared" si="67"/>
        <v>0</v>
      </c>
      <c r="O714" s="80">
        <f t="shared" si="67"/>
        <v>0</v>
      </c>
      <c r="P714" s="80">
        <f t="shared" si="67"/>
        <v>0</v>
      </c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  <c r="EB714" s="52"/>
      <c r="EC714" s="52"/>
      <c r="ED714" s="52"/>
      <c r="EE714" s="52"/>
      <c r="EF714" s="52"/>
      <c r="EG714" s="52"/>
      <c r="EH714" s="52"/>
      <c r="EI714" s="52"/>
      <c r="EJ714" s="52"/>
      <c r="EK714" s="52"/>
      <c r="EL714" s="52"/>
      <c r="EM714" s="52"/>
      <c r="EN714" s="52"/>
      <c r="EO714" s="52"/>
      <c r="EP714" s="52"/>
      <c r="EQ714" s="52"/>
      <c r="ER714" s="52"/>
      <c r="ES714" s="52"/>
    </row>
    <row r="715" spans="1:149" ht="21.75" customHeight="1">
      <c r="A715" s="8" t="s">
        <v>259</v>
      </c>
      <c r="B715" s="6"/>
      <c r="C715" s="6"/>
      <c r="D715" s="83"/>
      <c r="E715" s="83"/>
      <c r="F715" s="83"/>
      <c r="G715" s="7"/>
      <c r="H715" s="7"/>
      <c r="I715" s="7"/>
      <c r="J715" s="7"/>
      <c r="K715" s="7"/>
      <c r="L715" s="7"/>
      <c r="M715" s="7"/>
      <c r="N715" s="7"/>
      <c r="O715" s="7"/>
      <c r="P715" s="7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</row>
    <row r="716" spans="1:149" ht="21.75" customHeight="1">
      <c r="A716" s="33" t="s">
        <v>475</v>
      </c>
      <c r="B716" s="36"/>
      <c r="C716" s="36"/>
      <c r="D716" s="80"/>
      <c r="E716" s="80">
        <f>E718</f>
        <v>74070200</v>
      </c>
      <c r="F716" s="80">
        <f>D716+E716</f>
        <v>74070200</v>
      </c>
      <c r="G716" s="29"/>
      <c r="H716" s="35">
        <f>H718</f>
        <v>0</v>
      </c>
      <c r="I716" s="35"/>
      <c r="J716" s="35">
        <f>H716</f>
        <v>0</v>
      </c>
      <c r="K716" s="35"/>
      <c r="L716" s="35"/>
      <c r="M716" s="35"/>
      <c r="N716" s="35"/>
      <c r="O716" s="35">
        <f>O718</f>
        <v>0</v>
      </c>
      <c r="P716" s="35">
        <f>O716</f>
        <v>0</v>
      </c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  <c r="EB716" s="52"/>
      <c r="EC716" s="52"/>
      <c r="ED716" s="52"/>
      <c r="EE716" s="52"/>
      <c r="EF716" s="52"/>
      <c r="EG716" s="52"/>
      <c r="EH716" s="52"/>
      <c r="EI716" s="52"/>
      <c r="EJ716" s="52"/>
      <c r="EK716" s="52"/>
      <c r="EL716" s="52"/>
      <c r="EM716" s="52"/>
      <c r="EN716" s="52"/>
      <c r="EO716" s="52"/>
      <c r="EP716" s="52"/>
      <c r="EQ716" s="52"/>
      <c r="ER716" s="52"/>
      <c r="ES716" s="52"/>
    </row>
    <row r="717" spans="1:149" ht="21.75" customHeight="1">
      <c r="A717" s="5" t="s">
        <v>4</v>
      </c>
      <c r="B717" s="6"/>
      <c r="C717" s="6"/>
      <c r="D717" s="83"/>
      <c r="E717" s="83"/>
      <c r="F717" s="83"/>
      <c r="G717" s="7"/>
      <c r="H717" s="7"/>
      <c r="I717" s="7"/>
      <c r="J717" s="7"/>
      <c r="K717" s="7"/>
      <c r="L717" s="7"/>
      <c r="M717" s="7"/>
      <c r="N717" s="7"/>
      <c r="O717" s="7"/>
      <c r="P717" s="7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  <c r="EB717" s="52"/>
      <c r="EC717" s="52"/>
      <c r="ED717" s="52"/>
      <c r="EE717" s="52"/>
      <c r="EF717" s="52"/>
      <c r="EG717" s="52"/>
      <c r="EH717" s="52"/>
      <c r="EI717" s="52"/>
      <c r="EJ717" s="52"/>
      <c r="EK717" s="52"/>
      <c r="EL717" s="52"/>
      <c r="EM717" s="52"/>
      <c r="EN717" s="52"/>
      <c r="EO717" s="52"/>
      <c r="EP717" s="52"/>
      <c r="EQ717" s="52"/>
      <c r="ER717" s="52"/>
      <c r="ES717" s="52"/>
    </row>
    <row r="718" spans="1:149" ht="21.75" customHeight="1">
      <c r="A718" s="8" t="s">
        <v>262</v>
      </c>
      <c r="B718" s="6"/>
      <c r="C718" s="6"/>
      <c r="D718" s="48"/>
      <c r="E718" s="48">
        <v>74070200</v>
      </c>
      <c r="F718" s="48">
        <f>D718+E718</f>
        <v>74070200</v>
      </c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  <c r="EB718" s="52"/>
      <c r="EC718" s="52"/>
      <c r="ED718" s="52"/>
      <c r="EE718" s="52"/>
      <c r="EF718" s="52"/>
      <c r="EG718" s="52"/>
      <c r="EH718" s="52"/>
      <c r="EI718" s="52"/>
      <c r="EJ718" s="52"/>
      <c r="EK718" s="52"/>
      <c r="EL718" s="52"/>
      <c r="EM718" s="52"/>
      <c r="EN718" s="52"/>
      <c r="EO718" s="52"/>
      <c r="EP718" s="52"/>
      <c r="EQ718" s="52"/>
      <c r="ER718" s="52"/>
      <c r="ES718" s="52"/>
    </row>
    <row r="719" spans="1:149" ht="21.75" customHeight="1">
      <c r="A719" s="5" t="s">
        <v>5</v>
      </c>
      <c r="B719" s="6"/>
      <c r="C719" s="6"/>
      <c r="D719" s="48"/>
      <c r="E719" s="48"/>
      <c r="F719" s="48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  <c r="EB719" s="52"/>
      <c r="EC719" s="52"/>
      <c r="ED719" s="52"/>
      <c r="EE719" s="52"/>
      <c r="EF719" s="52"/>
      <c r="EG719" s="52"/>
      <c r="EH719" s="52"/>
      <c r="EI719" s="52"/>
      <c r="EJ719" s="52"/>
      <c r="EK719" s="52"/>
      <c r="EL719" s="52"/>
      <c r="EM719" s="52"/>
      <c r="EN719" s="52"/>
      <c r="EO719" s="52"/>
      <c r="EP719" s="52"/>
      <c r="EQ719" s="52"/>
      <c r="ER719" s="52"/>
      <c r="ES719" s="52"/>
    </row>
    <row r="720" spans="1:149" ht="21.75" customHeight="1">
      <c r="A720" s="8" t="s">
        <v>260</v>
      </c>
      <c r="B720" s="6"/>
      <c r="C720" s="6"/>
      <c r="D720" s="48"/>
      <c r="E720" s="48">
        <v>1</v>
      </c>
      <c r="F720" s="48">
        <f>D720+E720</f>
        <v>1</v>
      </c>
      <c r="G720" s="86"/>
      <c r="H720" s="95"/>
      <c r="I720" s="86"/>
      <c r="J720" s="95"/>
      <c r="K720" s="86"/>
      <c r="L720" s="86"/>
      <c r="M720" s="86"/>
      <c r="N720" s="86"/>
      <c r="O720" s="95"/>
      <c r="P720" s="95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  <c r="EB720" s="52"/>
      <c r="EC720" s="52"/>
      <c r="ED720" s="52"/>
      <c r="EE720" s="52"/>
      <c r="EF720" s="52"/>
      <c r="EG720" s="52"/>
      <c r="EH720" s="52"/>
      <c r="EI720" s="52"/>
      <c r="EJ720" s="52"/>
      <c r="EK720" s="52"/>
      <c r="EL720" s="52"/>
      <c r="EM720" s="52"/>
      <c r="EN720" s="52"/>
      <c r="EO720" s="52"/>
      <c r="EP720" s="52"/>
      <c r="EQ720" s="52"/>
      <c r="ER720" s="52"/>
      <c r="ES720" s="52"/>
    </row>
    <row r="721" spans="1:149" ht="21.75" customHeight="1">
      <c r="A721" s="5" t="s">
        <v>7</v>
      </c>
      <c r="B721" s="6"/>
      <c r="C721" s="6"/>
      <c r="D721" s="48"/>
      <c r="E721" s="48"/>
      <c r="F721" s="48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  <c r="EB721" s="52"/>
      <c r="EC721" s="52"/>
      <c r="ED721" s="52"/>
      <c r="EE721" s="52"/>
      <c r="EF721" s="52"/>
      <c r="EG721" s="52"/>
      <c r="EH721" s="52"/>
      <c r="EI721" s="52"/>
      <c r="EJ721" s="52"/>
      <c r="EK721" s="52"/>
      <c r="EL721" s="52"/>
      <c r="EM721" s="52"/>
      <c r="EN721" s="52"/>
      <c r="EO721" s="52"/>
      <c r="EP721" s="52"/>
      <c r="EQ721" s="52"/>
      <c r="ER721" s="52"/>
      <c r="ES721" s="52"/>
    </row>
    <row r="722" spans="1:149" ht="21.75" customHeight="1">
      <c r="A722" s="8" t="s">
        <v>261</v>
      </c>
      <c r="B722" s="125"/>
      <c r="C722" s="125"/>
      <c r="D722" s="35"/>
      <c r="E722" s="86">
        <f>E718/E720</f>
        <v>74070200</v>
      </c>
      <c r="F722" s="48">
        <f>D722+E722</f>
        <v>74070200</v>
      </c>
      <c r="G722" s="126"/>
      <c r="H722" s="126"/>
      <c r="I722" s="126"/>
      <c r="J722" s="29"/>
      <c r="K722" s="29"/>
      <c r="L722" s="29"/>
      <c r="M722" s="29"/>
      <c r="N722" s="29"/>
      <c r="O722" s="29"/>
      <c r="P722" s="29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</row>
    <row r="723" spans="1:149" ht="11.25" customHeight="1">
      <c r="A723" s="96"/>
      <c r="B723" s="97"/>
      <c r="C723" s="97"/>
      <c r="D723" s="98"/>
      <c r="E723" s="4"/>
      <c r="F723" s="4"/>
      <c r="G723" s="4"/>
      <c r="H723" s="4"/>
      <c r="I723" s="4"/>
      <c r="J723" s="99"/>
      <c r="K723" s="99"/>
      <c r="L723" s="99"/>
      <c r="M723" s="99"/>
      <c r="N723" s="99"/>
      <c r="O723" s="99"/>
      <c r="P723" s="99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  <c r="EB723" s="52"/>
      <c r="EC723" s="52"/>
      <c r="ED723" s="52"/>
      <c r="EE723" s="52"/>
      <c r="EF723" s="52"/>
      <c r="EG723" s="52"/>
      <c r="EH723" s="52"/>
      <c r="EI723" s="52"/>
      <c r="EJ723" s="52"/>
      <c r="EK723" s="52"/>
      <c r="EL723" s="52"/>
      <c r="EM723" s="52"/>
      <c r="EN723" s="52"/>
      <c r="EO723" s="52"/>
      <c r="EP723" s="52"/>
      <c r="EQ723" s="52"/>
      <c r="ER723" s="52"/>
      <c r="ES723" s="52"/>
    </row>
    <row r="724" spans="1:149" ht="6.75" customHeight="1">
      <c r="A724" s="97"/>
      <c r="B724" s="97"/>
      <c r="C724" s="97"/>
      <c r="D724" s="98"/>
      <c r="E724" s="2"/>
      <c r="F724" s="2"/>
      <c r="G724" s="2"/>
      <c r="H724" s="2"/>
      <c r="I724" s="2"/>
      <c r="J724" s="99"/>
      <c r="K724" s="99"/>
      <c r="L724" s="99"/>
      <c r="M724" s="99"/>
      <c r="N724" s="99"/>
      <c r="O724" s="99"/>
      <c r="P724" s="99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  <c r="EB724" s="52"/>
      <c r="EC724" s="52"/>
      <c r="ED724" s="52"/>
      <c r="EE724" s="52"/>
      <c r="EF724" s="52"/>
      <c r="EG724" s="52"/>
      <c r="EH724" s="52"/>
      <c r="EI724" s="52"/>
      <c r="EJ724" s="52"/>
      <c r="EK724" s="52"/>
      <c r="EL724" s="52"/>
      <c r="EM724" s="52"/>
      <c r="EN724" s="52"/>
      <c r="EO724" s="52"/>
      <c r="EP724" s="52"/>
      <c r="EQ724" s="52"/>
      <c r="ER724" s="52"/>
      <c r="ES724" s="52"/>
    </row>
    <row r="725" spans="1:149" ht="20.25" customHeight="1">
      <c r="A725" s="163" t="s">
        <v>485</v>
      </c>
      <c r="B725" s="163"/>
      <c r="C725" s="163"/>
      <c r="D725" s="163"/>
      <c r="E725" s="101"/>
      <c r="F725" s="102"/>
      <c r="G725" s="103"/>
      <c r="H725" s="103"/>
      <c r="I725" s="103"/>
      <c r="J725" s="104"/>
      <c r="K725" s="104"/>
      <c r="L725" s="104"/>
      <c r="M725" s="104"/>
      <c r="N725" s="103"/>
      <c r="O725" s="167" t="s">
        <v>486</v>
      </c>
      <c r="P725" s="167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  <c r="EB725" s="52"/>
      <c r="EC725" s="52"/>
      <c r="ED725" s="52"/>
      <c r="EE725" s="52"/>
      <c r="EF725" s="52"/>
      <c r="EG725" s="52"/>
      <c r="EH725" s="52"/>
      <c r="EI725" s="52"/>
      <c r="EJ725" s="52"/>
      <c r="EK725" s="52"/>
      <c r="EL725" s="52"/>
      <c r="EM725" s="52"/>
      <c r="EN725" s="52"/>
      <c r="EO725" s="52"/>
      <c r="EP725" s="52"/>
      <c r="EQ725" s="52"/>
      <c r="ER725" s="52"/>
      <c r="ES725" s="52"/>
    </row>
    <row r="726" spans="1:149" ht="8.25" customHeight="1">
      <c r="A726" s="100"/>
      <c r="B726" s="100"/>
      <c r="C726" s="100"/>
      <c r="D726" s="101"/>
      <c r="E726" s="101"/>
      <c r="F726" s="102"/>
      <c r="G726" s="103"/>
      <c r="H726" s="103"/>
      <c r="I726" s="103"/>
      <c r="J726" s="104"/>
      <c r="K726" s="104"/>
      <c r="L726" s="104"/>
      <c r="M726" s="104"/>
      <c r="N726" s="103"/>
      <c r="O726" s="105"/>
      <c r="P726" s="105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  <c r="EB726" s="52"/>
      <c r="EC726" s="52"/>
      <c r="ED726" s="52"/>
      <c r="EE726" s="52"/>
      <c r="EF726" s="52"/>
      <c r="EG726" s="52"/>
      <c r="EH726" s="52"/>
      <c r="EI726" s="52"/>
      <c r="EJ726" s="52"/>
      <c r="EK726" s="52"/>
      <c r="EL726" s="52"/>
      <c r="EM726" s="52"/>
      <c r="EN726" s="52"/>
      <c r="EO726" s="52"/>
      <c r="EP726" s="52"/>
      <c r="EQ726" s="52"/>
      <c r="ER726" s="52"/>
      <c r="ES726" s="52"/>
    </row>
    <row r="727" spans="1:149" ht="6.75" customHeight="1">
      <c r="A727" s="100"/>
      <c r="B727" s="100"/>
      <c r="C727" s="100"/>
      <c r="D727" s="101"/>
      <c r="E727" s="101"/>
      <c r="F727" s="102"/>
      <c r="G727" s="103"/>
      <c r="H727" s="103"/>
      <c r="I727" s="103"/>
      <c r="J727" s="104"/>
      <c r="K727" s="104"/>
      <c r="L727" s="104"/>
      <c r="M727" s="104"/>
      <c r="N727" s="103"/>
      <c r="O727" s="105"/>
      <c r="P727" s="105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  <c r="EB727" s="52"/>
      <c r="EC727" s="52"/>
      <c r="ED727" s="52"/>
      <c r="EE727" s="52"/>
      <c r="EF727" s="52"/>
      <c r="EG727" s="52"/>
      <c r="EH727" s="52"/>
      <c r="EI727" s="52"/>
      <c r="EJ727" s="52"/>
      <c r="EK727" s="52"/>
      <c r="EL727" s="52"/>
      <c r="EM727" s="52"/>
      <c r="EN727" s="52"/>
      <c r="EO727" s="52"/>
      <c r="EP727" s="52"/>
      <c r="EQ727" s="52"/>
      <c r="ER727" s="52"/>
      <c r="ES727" s="52"/>
    </row>
    <row r="728" spans="1:149" ht="18.75" customHeight="1">
      <c r="A728" s="176" t="s">
        <v>443</v>
      </c>
      <c r="B728" s="176"/>
      <c r="C728" s="106"/>
      <c r="D728" s="107"/>
      <c r="E728" s="101"/>
      <c r="F728" s="103"/>
      <c r="G728" s="101"/>
      <c r="H728" s="101"/>
      <c r="I728" s="101"/>
      <c r="J728" s="108"/>
      <c r="K728" s="108"/>
      <c r="L728" s="108"/>
      <c r="M728" s="108"/>
      <c r="N728" s="108"/>
      <c r="O728" s="108"/>
      <c r="P728" s="108"/>
      <c r="Q728" s="109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  <c r="EB728" s="52"/>
      <c r="EC728" s="52"/>
      <c r="ED728" s="52"/>
      <c r="EE728" s="52"/>
      <c r="EF728" s="52"/>
      <c r="EG728" s="52"/>
      <c r="EH728" s="52"/>
      <c r="EI728" s="52"/>
      <c r="EJ728" s="52"/>
      <c r="EK728" s="52"/>
      <c r="EL728" s="52"/>
      <c r="EM728" s="52"/>
      <c r="EN728" s="52"/>
      <c r="EO728" s="52"/>
      <c r="EP728" s="52"/>
      <c r="EQ728" s="52"/>
      <c r="ER728" s="52"/>
      <c r="ES728" s="52"/>
    </row>
    <row r="729" spans="1:149" ht="0.75" customHeight="1">
      <c r="A729" s="27" t="s">
        <v>149</v>
      </c>
      <c r="B729" s="27"/>
      <c r="C729" s="110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  <c r="EB729" s="52"/>
      <c r="EC729" s="52"/>
      <c r="ED729" s="52"/>
      <c r="EE729" s="52"/>
      <c r="EF729" s="52"/>
      <c r="EG729" s="52"/>
      <c r="EH729" s="52"/>
      <c r="EI729" s="52"/>
      <c r="EJ729" s="52"/>
      <c r="EK729" s="52"/>
      <c r="EL729" s="52"/>
      <c r="EM729" s="52"/>
      <c r="EN729" s="52"/>
      <c r="EO729" s="52"/>
      <c r="EP729" s="52"/>
      <c r="EQ729" s="52"/>
      <c r="ER729" s="52"/>
      <c r="ES729" s="52"/>
    </row>
    <row r="730" spans="1:149" ht="28.5" customHeight="1">
      <c r="A730" s="111"/>
      <c r="B730" s="112"/>
      <c r="C730" s="113"/>
      <c r="D730" s="114"/>
      <c r="E730" s="114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  <c r="EB730" s="52"/>
      <c r="EC730" s="52"/>
      <c r="ED730" s="52"/>
      <c r="EE730" s="52"/>
      <c r="EF730" s="52"/>
      <c r="EG730" s="52"/>
      <c r="EH730" s="52"/>
      <c r="EI730" s="52"/>
      <c r="EJ730" s="52"/>
      <c r="EK730" s="52"/>
      <c r="EL730" s="52"/>
      <c r="EM730" s="52"/>
      <c r="EN730" s="52"/>
      <c r="EO730" s="52"/>
      <c r="EP730" s="52"/>
      <c r="EQ730" s="52"/>
      <c r="ER730" s="52"/>
      <c r="ES730" s="52"/>
    </row>
    <row r="731" spans="1:149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  <c r="EB731" s="52"/>
      <c r="EC731" s="52"/>
      <c r="ED731" s="52"/>
      <c r="EE731" s="52"/>
      <c r="EF731" s="52"/>
      <c r="EG731" s="52"/>
      <c r="EH731" s="52"/>
      <c r="EI731" s="52"/>
      <c r="EJ731" s="52"/>
      <c r="EK731" s="52"/>
      <c r="EL731" s="52"/>
      <c r="EM731" s="52"/>
      <c r="EN731" s="52"/>
      <c r="EO731" s="52"/>
      <c r="EP731" s="52"/>
      <c r="EQ731" s="52"/>
      <c r="ER731" s="52"/>
      <c r="ES731" s="52"/>
    </row>
    <row r="732" spans="1:149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  <c r="EB732" s="52"/>
      <c r="EC732" s="52"/>
      <c r="ED732" s="52"/>
      <c r="EE732" s="52"/>
      <c r="EF732" s="52"/>
      <c r="EG732" s="52"/>
      <c r="EH732" s="52"/>
      <c r="EI732" s="52"/>
      <c r="EJ732" s="52"/>
      <c r="EK732" s="52"/>
      <c r="EL732" s="52"/>
      <c r="EM732" s="52"/>
      <c r="EN732" s="52"/>
      <c r="EO732" s="52"/>
      <c r="EP732" s="52"/>
      <c r="EQ732" s="52"/>
      <c r="ER732" s="52"/>
      <c r="ES732" s="52"/>
    </row>
    <row r="733" spans="1:149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  <c r="EB733" s="52"/>
      <c r="EC733" s="52"/>
      <c r="ED733" s="52"/>
      <c r="EE733" s="52"/>
      <c r="EF733" s="52"/>
      <c r="EG733" s="52"/>
      <c r="EH733" s="52"/>
      <c r="EI733" s="52"/>
      <c r="EJ733" s="52"/>
      <c r="EK733" s="52"/>
      <c r="EL733" s="52"/>
      <c r="EM733" s="52"/>
      <c r="EN733" s="52"/>
      <c r="EO733" s="52"/>
      <c r="EP733" s="52"/>
      <c r="EQ733" s="52"/>
      <c r="ER733" s="52"/>
      <c r="ES733" s="52"/>
    </row>
    <row r="734" spans="1:149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  <c r="EB734" s="52"/>
      <c r="EC734" s="52"/>
      <c r="ED734" s="52"/>
      <c r="EE734" s="52"/>
      <c r="EF734" s="52"/>
      <c r="EG734" s="52"/>
      <c r="EH734" s="52"/>
      <c r="EI734" s="52"/>
      <c r="EJ734" s="52"/>
      <c r="EK734" s="52"/>
      <c r="EL734" s="52"/>
      <c r="EM734" s="52"/>
      <c r="EN734" s="52"/>
      <c r="EO734" s="52"/>
      <c r="EP734" s="52"/>
      <c r="EQ734" s="52"/>
      <c r="ER734" s="52"/>
      <c r="ES734" s="52"/>
    </row>
    <row r="735" spans="1:149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  <c r="EB735" s="52"/>
      <c r="EC735" s="52"/>
      <c r="ED735" s="52"/>
      <c r="EE735" s="52"/>
      <c r="EF735" s="52"/>
      <c r="EG735" s="52"/>
      <c r="EH735" s="52"/>
      <c r="EI735" s="52"/>
      <c r="EJ735" s="52"/>
      <c r="EK735" s="52"/>
      <c r="EL735" s="52"/>
      <c r="EM735" s="52"/>
      <c r="EN735" s="52"/>
      <c r="EO735" s="52"/>
      <c r="EP735" s="52"/>
      <c r="EQ735" s="52"/>
      <c r="ER735" s="52"/>
      <c r="ES735" s="52"/>
    </row>
    <row r="736" spans="1:149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  <c r="EB736" s="52"/>
      <c r="EC736" s="52"/>
      <c r="ED736" s="52"/>
      <c r="EE736" s="52"/>
      <c r="EF736" s="52"/>
      <c r="EG736" s="52"/>
      <c r="EH736" s="52"/>
      <c r="EI736" s="52"/>
      <c r="EJ736" s="52"/>
      <c r="EK736" s="52"/>
      <c r="EL736" s="52"/>
      <c r="EM736" s="52"/>
      <c r="EN736" s="52"/>
      <c r="EO736" s="52"/>
      <c r="EP736" s="52"/>
      <c r="EQ736" s="52"/>
      <c r="ER736" s="52"/>
      <c r="ES736" s="52"/>
    </row>
    <row r="737" spans="1:149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  <c r="EB737" s="52"/>
      <c r="EC737" s="52"/>
      <c r="ED737" s="52"/>
      <c r="EE737" s="52"/>
      <c r="EF737" s="52"/>
      <c r="EG737" s="52"/>
      <c r="EH737" s="52"/>
      <c r="EI737" s="52"/>
      <c r="EJ737" s="52"/>
      <c r="EK737" s="52"/>
      <c r="EL737" s="52"/>
      <c r="EM737" s="52"/>
      <c r="EN737" s="52"/>
      <c r="EO737" s="52"/>
      <c r="EP737" s="52"/>
      <c r="EQ737" s="52"/>
      <c r="ER737" s="52"/>
      <c r="ES737" s="52"/>
    </row>
    <row r="738" spans="1:149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  <c r="EB738" s="52"/>
      <c r="EC738" s="52"/>
      <c r="ED738" s="52"/>
      <c r="EE738" s="52"/>
      <c r="EF738" s="52"/>
      <c r="EG738" s="52"/>
      <c r="EH738" s="52"/>
      <c r="EI738" s="52"/>
      <c r="EJ738" s="52"/>
      <c r="EK738" s="52"/>
      <c r="EL738" s="52"/>
      <c r="EM738" s="52"/>
      <c r="EN738" s="52"/>
      <c r="EO738" s="52"/>
      <c r="EP738" s="52"/>
      <c r="EQ738" s="52"/>
      <c r="ER738" s="52"/>
      <c r="ES738" s="52"/>
    </row>
    <row r="739" spans="1:149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  <c r="EB739" s="52"/>
      <c r="EC739" s="52"/>
      <c r="ED739" s="52"/>
      <c r="EE739" s="52"/>
      <c r="EF739" s="52"/>
      <c r="EG739" s="52"/>
      <c r="EH739" s="52"/>
      <c r="EI739" s="52"/>
      <c r="EJ739" s="52"/>
      <c r="EK739" s="52"/>
      <c r="EL739" s="52"/>
      <c r="EM739" s="52"/>
      <c r="EN739" s="52"/>
      <c r="EO739" s="52"/>
      <c r="EP739" s="52"/>
      <c r="EQ739" s="52"/>
      <c r="ER739" s="52"/>
      <c r="ES739" s="52"/>
    </row>
    <row r="740" spans="1:149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  <c r="EB740" s="52"/>
      <c r="EC740" s="52"/>
      <c r="ED740" s="52"/>
      <c r="EE740" s="52"/>
      <c r="EF740" s="52"/>
      <c r="EG740" s="52"/>
      <c r="EH740" s="52"/>
      <c r="EI740" s="52"/>
      <c r="EJ740" s="52"/>
      <c r="EK740" s="52"/>
      <c r="EL740" s="52"/>
      <c r="EM740" s="52"/>
      <c r="EN740" s="52"/>
      <c r="EO740" s="52"/>
      <c r="EP740" s="52"/>
      <c r="EQ740" s="52"/>
      <c r="ER740" s="52"/>
      <c r="ES740" s="52"/>
    </row>
    <row r="741" spans="1:149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  <c r="EB741" s="52"/>
      <c r="EC741" s="52"/>
      <c r="ED741" s="52"/>
      <c r="EE741" s="52"/>
      <c r="EF741" s="52"/>
      <c r="EG741" s="52"/>
      <c r="EH741" s="52"/>
      <c r="EI741" s="52"/>
      <c r="EJ741" s="52"/>
      <c r="EK741" s="52"/>
      <c r="EL741" s="52"/>
      <c r="EM741" s="52"/>
      <c r="EN741" s="52"/>
      <c r="EO741" s="52"/>
      <c r="EP741" s="52"/>
      <c r="EQ741" s="52"/>
      <c r="ER741" s="52"/>
      <c r="ES741" s="52"/>
    </row>
    <row r="742" spans="1:149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  <c r="EB742" s="52"/>
      <c r="EC742" s="52"/>
      <c r="ED742" s="52"/>
      <c r="EE742" s="52"/>
      <c r="EF742" s="52"/>
      <c r="EG742" s="52"/>
      <c r="EH742" s="52"/>
      <c r="EI742" s="52"/>
      <c r="EJ742" s="52"/>
      <c r="EK742" s="52"/>
      <c r="EL742" s="52"/>
      <c r="EM742" s="52"/>
      <c r="EN742" s="52"/>
      <c r="EO742" s="52"/>
      <c r="EP742" s="52"/>
      <c r="EQ742" s="52"/>
      <c r="ER742" s="52"/>
      <c r="ES742" s="52"/>
    </row>
    <row r="743" spans="1:149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3"/>
      <c r="O743" s="103"/>
      <c r="P743" s="103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  <c r="EB743" s="52"/>
      <c r="EC743" s="52"/>
      <c r="ED743" s="52"/>
      <c r="EE743" s="52"/>
      <c r="EF743" s="52"/>
      <c r="EG743" s="52"/>
      <c r="EH743" s="52"/>
      <c r="EI743" s="52"/>
      <c r="EJ743" s="52"/>
      <c r="EK743" s="52"/>
      <c r="EL743" s="52"/>
      <c r="EM743" s="52"/>
      <c r="EN743" s="52"/>
      <c r="EO743" s="52"/>
      <c r="EP743" s="52"/>
      <c r="EQ743" s="52"/>
      <c r="ER743" s="52"/>
      <c r="ES743" s="52"/>
    </row>
    <row r="744" spans="1:149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3"/>
      <c r="O744" s="103"/>
      <c r="P744" s="103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  <c r="EB744" s="52"/>
      <c r="EC744" s="52"/>
      <c r="ED744" s="52"/>
      <c r="EE744" s="52"/>
      <c r="EF744" s="52"/>
      <c r="EG744" s="52"/>
      <c r="EH744" s="52"/>
      <c r="EI744" s="52"/>
      <c r="EJ744" s="52"/>
      <c r="EK744" s="52"/>
      <c r="EL744" s="52"/>
      <c r="EM744" s="52"/>
      <c r="EN744" s="52"/>
      <c r="EO744" s="52"/>
      <c r="EP744" s="52"/>
      <c r="EQ744" s="52"/>
      <c r="ER744" s="52"/>
      <c r="ES744" s="52"/>
    </row>
    <row r="745" spans="1:149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3"/>
      <c r="O745" s="103"/>
      <c r="P745" s="103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  <c r="EB745" s="52"/>
      <c r="EC745" s="52"/>
      <c r="ED745" s="52"/>
      <c r="EE745" s="52"/>
      <c r="EF745" s="52"/>
      <c r="EG745" s="52"/>
      <c r="EH745" s="52"/>
      <c r="EI745" s="52"/>
      <c r="EJ745" s="52"/>
      <c r="EK745" s="52"/>
      <c r="EL745" s="52"/>
      <c r="EM745" s="52"/>
      <c r="EN745" s="52"/>
      <c r="EO745" s="52"/>
      <c r="EP745" s="52"/>
      <c r="EQ745" s="52"/>
      <c r="ER745" s="52"/>
      <c r="ES745" s="52"/>
    </row>
    <row r="746" spans="1:149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3"/>
      <c r="O746" s="103"/>
      <c r="P746" s="103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  <c r="EB746" s="52"/>
      <c r="EC746" s="52"/>
      <c r="ED746" s="52"/>
      <c r="EE746" s="52"/>
      <c r="EF746" s="52"/>
      <c r="EG746" s="52"/>
      <c r="EH746" s="52"/>
      <c r="EI746" s="52"/>
      <c r="EJ746" s="52"/>
      <c r="EK746" s="52"/>
      <c r="EL746" s="52"/>
      <c r="EM746" s="52"/>
      <c r="EN746" s="52"/>
      <c r="EO746" s="52"/>
      <c r="EP746" s="52"/>
      <c r="EQ746" s="52"/>
      <c r="ER746" s="52"/>
      <c r="ES746" s="52"/>
    </row>
    <row r="747" spans="1:149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3"/>
      <c r="O747" s="103"/>
      <c r="P747" s="103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  <c r="EB747" s="52"/>
      <c r="EC747" s="52"/>
      <c r="ED747" s="52"/>
      <c r="EE747" s="52"/>
      <c r="EF747" s="52"/>
      <c r="EG747" s="52"/>
      <c r="EH747" s="52"/>
      <c r="EI747" s="52"/>
      <c r="EJ747" s="52"/>
      <c r="EK747" s="52"/>
      <c r="EL747" s="52"/>
      <c r="EM747" s="52"/>
      <c r="EN747" s="52"/>
      <c r="EO747" s="52"/>
      <c r="EP747" s="52"/>
      <c r="EQ747" s="52"/>
      <c r="ER747" s="52"/>
      <c r="ES747" s="52"/>
    </row>
    <row r="748" spans="1:149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3"/>
      <c r="O748" s="103"/>
      <c r="P748" s="103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  <c r="EB748" s="52"/>
      <c r="EC748" s="52"/>
      <c r="ED748" s="52"/>
      <c r="EE748" s="52"/>
      <c r="EF748" s="52"/>
      <c r="EG748" s="52"/>
      <c r="EH748" s="52"/>
      <c r="EI748" s="52"/>
      <c r="EJ748" s="52"/>
      <c r="EK748" s="52"/>
      <c r="EL748" s="52"/>
      <c r="EM748" s="52"/>
      <c r="EN748" s="52"/>
      <c r="EO748" s="52"/>
      <c r="EP748" s="52"/>
      <c r="EQ748" s="52"/>
      <c r="ER748" s="52"/>
      <c r="ES748" s="52"/>
    </row>
    <row r="749" spans="1:149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3"/>
      <c r="O749" s="103"/>
      <c r="P749" s="103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</row>
    <row r="750" spans="1:149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3"/>
      <c r="O750" s="103"/>
      <c r="P750" s="103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  <c r="EB750" s="52"/>
      <c r="EC750" s="52"/>
      <c r="ED750" s="52"/>
      <c r="EE750" s="52"/>
      <c r="EF750" s="52"/>
      <c r="EG750" s="52"/>
      <c r="EH750" s="52"/>
      <c r="EI750" s="52"/>
      <c r="EJ750" s="52"/>
      <c r="EK750" s="52"/>
      <c r="EL750" s="52"/>
      <c r="EM750" s="52"/>
      <c r="EN750" s="52"/>
      <c r="EO750" s="52"/>
      <c r="EP750" s="52"/>
      <c r="EQ750" s="52"/>
      <c r="ER750" s="52"/>
      <c r="ES750" s="52"/>
    </row>
    <row r="751" spans="1:149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3"/>
      <c r="O751" s="103"/>
      <c r="P751" s="103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  <c r="EB751" s="52"/>
      <c r="EC751" s="52"/>
      <c r="ED751" s="52"/>
      <c r="EE751" s="52"/>
      <c r="EF751" s="52"/>
      <c r="EG751" s="52"/>
      <c r="EH751" s="52"/>
      <c r="EI751" s="52"/>
      <c r="EJ751" s="52"/>
      <c r="EK751" s="52"/>
      <c r="EL751" s="52"/>
      <c r="EM751" s="52"/>
      <c r="EN751" s="52"/>
      <c r="EO751" s="52"/>
      <c r="EP751" s="52"/>
      <c r="EQ751" s="52"/>
      <c r="ER751" s="52"/>
      <c r="ES751" s="52"/>
    </row>
    <row r="752" spans="1:149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3"/>
      <c r="O752" s="103"/>
      <c r="P752" s="103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  <c r="EB752" s="52"/>
      <c r="EC752" s="52"/>
      <c r="ED752" s="52"/>
      <c r="EE752" s="52"/>
      <c r="EF752" s="52"/>
      <c r="EG752" s="52"/>
      <c r="EH752" s="52"/>
      <c r="EI752" s="52"/>
      <c r="EJ752" s="52"/>
      <c r="EK752" s="52"/>
      <c r="EL752" s="52"/>
      <c r="EM752" s="52"/>
      <c r="EN752" s="52"/>
      <c r="EO752" s="52"/>
      <c r="EP752" s="52"/>
      <c r="EQ752" s="52"/>
      <c r="ER752" s="52"/>
      <c r="ES752" s="52"/>
    </row>
    <row r="753" spans="1:149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3"/>
      <c r="O753" s="103"/>
      <c r="P753" s="103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  <c r="EB753" s="52"/>
      <c r="EC753" s="52"/>
      <c r="ED753" s="52"/>
      <c r="EE753" s="52"/>
      <c r="EF753" s="52"/>
      <c r="EG753" s="52"/>
      <c r="EH753" s="52"/>
      <c r="EI753" s="52"/>
      <c r="EJ753" s="52"/>
      <c r="EK753" s="52"/>
      <c r="EL753" s="52"/>
      <c r="EM753" s="52"/>
      <c r="EN753" s="52"/>
      <c r="EO753" s="52"/>
      <c r="EP753" s="52"/>
      <c r="EQ753" s="52"/>
      <c r="ER753" s="52"/>
      <c r="ES753" s="52"/>
    </row>
    <row r="754" spans="1:149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3"/>
      <c r="O754" s="103"/>
      <c r="P754" s="103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  <c r="EB754" s="52"/>
      <c r="EC754" s="52"/>
      <c r="ED754" s="52"/>
      <c r="EE754" s="52"/>
      <c r="EF754" s="52"/>
      <c r="EG754" s="52"/>
      <c r="EH754" s="52"/>
      <c r="EI754" s="52"/>
      <c r="EJ754" s="52"/>
      <c r="EK754" s="52"/>
      <c r="EL754" s="52"/>
      <c r="EM754" s="52"/>
      <c r="EN754" s="52"/>
      <c r="EO754" s="52"/>
      <c r="EP754" s="52"/>
      <c r="EQ754" s="52"/>
      <c r="ER754" s="52"/>
      <c r="ES754" s="52"/>
    </row>
    <row r="755" spans="1:149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3"/>
      <c r="O755" s="103"/>
      <c r="P755" s="103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  <c r="EB755" s="52"/>
      <c r="EC755" s="52"/>
      <c r="ED755" s="52"/>
      <c r="EE755" s="52"/>
      <c r="EF755" s="52"/>
      <c r="EG755" s="52"/>
      <c r="EH755" s="52"/>
      <c r="EI755" s="52"/>
      <c r="EJ755" s="52"/>
      <c r="EK755" s="52"/>
      <c r="EL755" s="52"/>
      <c r="EM755" s="52"/>
      <c r="EN755" s="52"/>
      <c r="EO755" s="52"/>
      <c r="EP755" s="52"/>
      <c r="EQ755" s="52"/>
      <c r="ER755" s="52"/>
      <c r="ES755" s="52"/>
    </row>
    <row r="756" spans="1:149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3"/>
      <c r="O756" s="103"/>
      <c r="P756" s="103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  <c r="EB756" s="52"/>
      <c r="EC756" s="52"/>
      <c r="ED756" s="52"/>
      <c r="EE756" s="52"/>
      <c r="EF756" s="52"/>
      <c r="EG756" s="52"/>
      <c r="EH756" s="52"/>
      <c r="EI756" s="52"/>
      <c r="EJ756" s="52"/>
      <c r="EK756" s="52"/>
      <c r="EL756" s="52"/>
      <c r="EM756" s="52"/>
      <c r="EN756" s="52"/>
      <c r="EO756" s="52"/>
      <c r="EP756" s="52"/>
      <c r="EQ756" s="52"/>
      <c r="ER756" s="52"/>
      <c r="ES756" s="52"/>
    </row>
    <row r="757" spans="1:149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3"/>
      <c r="O757" s="103"/>
      <c r="P757" s="103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  <c r="EB757" s="52"/>
      <c r="EC757" s="52"/>
      <c r="ED757" s="52"/>
      <c r="EE757" s="52"/>
      <c r="EF757" s="52"/>
      <c r="EG757" s="52"/>
      <c r="EH757" s="52"/>
      <c r="EI757" s="52"/>
      <c r="EJ757" s="52"/>
      <c r="EK757" s="52"/>
      <c r="EL757" s="52"/>
      <c r="EM757" s="52"/>
      <c r="EN757" s="52"/>
      <c r="EO757" s="52"/>
      <c r="EP757" s="52"/>
      <c r="EQ757" s="52"/>
      <c r="ER757" s="52"/>
      <c r="ES757" s="52"/>
    </row>
    <row r="758" spans="1:149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3"/>
      <c r="O758" s="103"/>
      <c r="P758" s="103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  <c r="EB758" s="52"/>
      <c r="EC758" s="52"/>
      <c r="ED758" s="52"/>
      <c r="EE758" s="52"/>
      <c r="EF758" s="52"/>
      <c r="EG758" s="52"/>
      <c r="EH758" s="52"/>
      <c r="EI758" s="52"/>
      <c r="EJ758" s="52"/>
      <c r="EK758" s="52"/>
      <c r="EL758" s="52"/>
      <c r="EM758" s="52"/>
      <c r="EN758" s="52"/>
      <c r="EO758" s="52"/>
      <c r="EP758" s="52"/>
      <c r="EQ758" s="52"/>
      <c r="ER758" s="52"/>
      <c r="ES758" s="52"/>
    </row>
    <row r="759" spans="1:149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3"/>
      <c r="O759" s="103"/>
      <c r="P759" s="103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  <c r="EB759" s="52"/>
      <c r="EC759" s="52"/>
      <c r="ED759" s="52"/>
      <c r="EE759" s="52"/>
      <c r="EF759" s="52"/>
      <c r="EG759" s="52"/>
      <c r="EH759" s="52"/>
      <c r="EI759" s="52"/>
      <c r="EJ759" s="52"/>
      <c r="EK759" s="52"/>
      <c r="EL759" s="52"/>
      <c r="EM759" s="52"/>
      <c r="EN759" s="52"/>
      <c r="EO759" s="52"/>
      <c r="EP759" s="52"/>
      <c r="EQ759" s="52"/>
      <c r="ER759" s="52"/>
      <c r="ES759" s="52"/>
    </row>
    <row r="760" spans="1:149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3"/>
      <c r="O760" s="103"/>
      <c r="P760" s="103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  <c r="EB760" s="52"/>
      <c r="EC760" s="52"/>
      <c r="ED760" s="52"/>
      <c r="EE760" s="52"/>
      <c r="EF760" s="52"/>
      <c r="EG760" s="52"/>
      <c r="EH760" s="52"/>
      <c r="EI760" s="52"/>
      <c r="EJ760" s="52"/>
      <c r="EK760" s="52"/>
      <c r="EL760" s="52"/>
      <c r="EM760" s="52"/>
      <c r="EN760" s="52"/>
      <c r="EO760" s="52"/>
      <c r="EP760" s="52"/>
      <c r="EQ760" s="52"/>
      <c r="ER760" s="52"/>
      <c r="ES760" s="52"/>
    </row>
    <row r="761" spans="1:149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3"/>
      <c r="O761" s="103"/>
      <c r="P761" s="103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  <c r="EB761" s="52"/>
      <c r="EC761" s="52"/>
      <c r="ED761" s="52"/>
      <c r="EE761" s="52"/>
      <c r="EF761" s="52"/>
      <c r="EG761" s="52"/>
      <c r="EH761" s="52"/>
      <c r="EI761" s="52"/>
      <c r="EJ761" s="52"/>
      <c r="EK761" s="52"/>
      <c r="EL761" s="52"/>
      <c r="EM761" s="52"/>
      <c r="EN761" s="52"/>
      <c r="EO761" s="52"/>
      <c r="EP761" s="52"/>
      <c r="EQ761" s="52"/>
      <c r="ER761" s="52"/>
      <c r="ES761" s="52"/>
    </row>
    <row r="762" spans="1:149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3"/>
      <c r="O762" s="103"/>
      <c r="P762" s="103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  <c r="EB762" s="52"/>
      <c r="EC762" s="52"/>
      <c r="ED762" s="52"/>
      <c r="EE762" s="52"/>
      <c r="EF762" s="52"/>
      <c r="EG762" s="52"/>
      <c r="EH762" s="52"/>
      <c r="EI762" s="52"/>
      <c r="EJ762" s="52"/>
      <c r="EK762" s="52"/>
      <c r="EL762" s="52"/>
      <c r="EM762" s="52"/>
      <c r="EN762" s="52"/>
      <c r="EO762" s="52"/>
      <c r="EP762" s="52"/>
      <c r="EQ762" s="52"/>
      <c r="ER762" s="52"/>
      <c r="ES762" s="52"/>
    </row>
    <row r="763" spans="1:149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3"/>
      <c r="O763" s="103"/>
      <c r="P763" s="103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  <c r="EB763" s="52"/>
      <c r="EC763" s="52"/>
      <c r="ED763" s="52"/>
      <c r="EE763" s="52"/>
      <c r="EF763" s="52"/>
      <c r="EG763" s="52"/>
      <c r="EH763" s="52"/>
      <c r="EI763" s="52"/>
      <c r="EJ763" s="52"/>
      <c r="EK763" s="52"/>
      <c r="EL763" s="52"/>
      <c r="EM763" s="52"/>
      <c r="EN763" s="52"/>
      <c r="EO763" s="52"/>
      <c r="EP763" s="52"/>
      <c r="EQ763" s="52"/>
      <c r="ER763" s="52"/>
      <c r="ES763" s="52"/>
    </row>
    <row r="764" spans="1:149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3"/>
      <c r="O764" s="103"/>
      <c r="P764" s="103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  <c r="EB764" s="52"/>
      <c r="EC764" s="52"/>
      <c r="ED764" s="52"/>
      <c r="EE764" s="52"/>
      <c r="EF764" s="52"/>
      <c r="EG764" s="52"/>
      <c r="EH764" s="52"/>
      <c r="EI764" s="52"/>
      <c r="EJ764" s="52"/>
      <c r="EK764" s="52"/>
      <c r="EL764" s="52"/>
      <c r="EM764" s="52"/>
      <c r="EN764" s="52"/>
      <c r="EO764" s="52"/>
      <c r="EP764" s="52"/>
      <c r="EQ764" s="52"/>
      <c r="ER764" s="52"/>
      <c r="ES764" s="52"/>
    </row>
    <row r="765" spans="1:149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3"/>
      <c r="O765" s="103"/>
      <c r="P765" s="103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  <c r="EB765" s="52"/>
      <c r="EC765" s="52"/>
      <c r="ED765" s="52"/>
      <c r="EE765" s="52"/>
      <c r="EF765" s="52"/>
      <c r="EG765" s="52"/>
      <c r="EH765" s="52"/>
      <c r="EI765" s="52"/>
      <c r="EJ765" s="52"/>
      <c r="EK765" s="52"/>
      <c r="EL765" s="52"/>
      <c r="EM765" s="52"/>
      <c r="EN765" s="52"/>
      <c r="EO765" s="52"/>
      <c r="EP765" s="52"/>
      <c r="EQ765" s="52"/>
      <c r="ER765" s="52"/>
      <c r="ES765" s="52"/>
    </row>
    <row r="766" spans="1:149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3"/>
      <c r="O766" s="103"/>
      <c r="P766" s="103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  <c r="EB766" s="52"/>
      <c r="EC766" s="52"/>
      <c r="ED766" s="52"/>
      <c r="EE766" s="52"/>
      <c r="EF766" s="52"/>
      <c r="EG766" s="52"/>
      <c r="EH766" s="52"/>
      <c r="EI766" s="52"/>
      <c r="EJ766" s="52"/>
      <c r="EK766" s="52"/>
      <c r="EL766" s="52"/>
      <c r="EM766" s="52"/>
      <c r="EN766" s="52"/>
      <c r="EO766" s="52"/>
      <c r="EP766" s="52"/>
      <c r="EQ766" s="52"/>
      <c r="ER766" s="52"/>
      <c r="ES766" s="52"/>
    </row>
    <row r="767" spans="1:149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3"/>
      <c r="O767" s="103"/>
      <c r="P767" s="103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</row>
    <row r="768" spans="1:149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3"/>
      <c r="O768" s="103"/>
      <c r="P768" s="103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  <c r="EB768" s="52"/>
      <c r="EC768" s="52"/>
      <c r="ED768" s="52"/>
      <c r="EE768" s="52"/>
      <c r="EF768" s="52"/>
      <c r="EG768" s="52"/>
      <c r="EH768" s="52"/>
      <c r="EI768" s="52"/>
      <c r="EJ768" s="52"/>
      <c r="EK768" s="52"/>
      <c r="EL768" s="52"/>
      <c r="EM768" s="52"/>
      <c r="EN768" s="52"/>
      <c r="EO768" s="52"/>
      <c r="EP768" s="52"/>
      <c r="EQ768" s="52"/>
      <c r="ER768" s="52"/>
      <c r="ES768" s="52"/>
    </row>
    <row r="769" spans="1:149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3"/>
      <c r="O769" s="103"/>
      <c r="P769" s="103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  <c r="EB769" s="52"/>
      <c r="EC769" s="52"/>
      <c r="ED769" s="52"/>
      <c r="EE769" s="52"/>
      <c r="EF769" s="52"/>
      <c r="EG769" s="52"/>
      <c r="EH769" s="52"/>
      <c r="EI769" s="52"/>
      <c r="EJ769" s="52"/>
      <c r="EK769" s="52"/>
      <c r="EL769" s="52"/>
      <c r="EM769" s="52"/>
      <c r="EN769" s="52"/>
      <c r="EO769" s="52"/>
      <c r="EP769" s="52"/>
      <c r="EQ769" s="52"/>
      <c r="ER769" s="52"/>
      <c r="ES769" s="52"/>
    </row>
    <row r="770" spans="1:149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3"/>
      <c r="O770" s="103"/>
      <c r="P770" s="103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  <c r="EB770" s="52"/>
      <c r="EC770" s="52"/>
      <c r="ED770" s="52"/>
      <c r="EE770" s="52"/>
      <c r="EF770" s="52"/>
      <c r="EG770" s="52"/>
      <c r="EH770" s="52"/>
      <c r="EI770" s="52"/>
      <c r="EJ770" s="52"/>
      <c r="EK770" s="52"/>
      <c r="EL770" s="52"/>
      <c r="EM770" s="52"/>
      <c r="EN770" s="52"/>
      <c r="EO770" s="52"/>
      <c r="EP770" s="52"/>
      <c r="EQ770" s="52"/>
      <c r="ER770" s="52"/>
      <c r="ES770" s="52"/>
    </row>
    <row r="771" spans="1:149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3"/>
      <c r="O771" s="103"/>
      <c r="P771" s="103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  <c r="EB771" s="52"/>
      <c r="EC771" s="52"/>
      <c r="ED771" s="52"/>
      <c r="EE771" s="52"/>
      <c r="EF771" s="52"/>
      <c r="EG771" s="52"/>
      <c r="EH771" s="52"/>
      <c r="EI771" s="52"/>
      <c r="EJ771" s="52"/>
      <c r="EK771" s="52"/>
      <c r="EL771" s="52"/>
      <c r="EM771" s="52"/>
      <c r="EN771" s="52"/>
      <c r="EO771" s="52"/>
      <c r="EP771" s="52"/>
      <c r="EQ771" s="52"/>
      <c r="ER771" s="52"/>
      <c r="ES771" s="52"/>
    </row>
    <row r="772" spans="1:149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3"/>
      <c r="O772" s="103"/>
      <c r="P772" s="103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  <c r="EB772" s="52"/>
      <c r="EC772" s="52"/>
      <c r="ED772" s="52"/>
      <c r="EE772" s="52"/>
      <c r="EF772" s="52"/>
      <c r="EG772" s="52"/>
      <c r="EH772" s="52"/>
      <c r="EI772" s="52"/>
      <c r="EJ772" s="52"/>
      <c r="EK772" s="52"/>
      <c r="EL772" s="52"/>
      <c r="EM772" s="52"/>
      <c r="EN772" s="52"/>
      <c r="EO772" s="52"/>
      <c r="EP772" s="52"/>
      <c r="EQ772" s="52"/>
      <c r="ER772" s="52"/>
      <c r="ES772" s="52"/>
    </row>
    <row r="773" spans="1:149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3"/>
      <c r="O773" s="103"/>
      <c r="P773" s="103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  <c r="EB773" s="52"/>
      <c r="EC773" s="52"/>
      <c r="ED773" s="52"/>
      <c r="EE773" s="52"/>
      <c r="EF773" s="52"/>
      <c r="EG773" s="52"/>
      <c r="EH773" s="52"/>
      <c r="EI773" s="52"/>
      <c r="EJ773" s="52"/>
      <c r="EK773" s="52"/>
      <c r="EL773" s="52"/>
      <c r="EM773" s="52"/>
      <c r="EN773" s="52"/>
      <c r="EO773" s="52"/>
      <c r="EP773" s="52"/>
      <c r="EQ773" s="52"/>
      <c r="ER773" s="52"/>
      <c r="ES773" s="52"/>
    </row>
    <row r="774" spans="1:149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3"/>
      <c r="O774" s="103"/>
      <c r="P774" s="103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  <c r="EB774" s="52"/>
      <c r="EC774" s="52"/>
      <c r="ED774" s="52"/>
      <c r="EE774" s="52"/>
      <c r="EF774" s="52"/>
      <c r="EG774" s="52"/>
      <c r="EH774" s="52"/>
      <c r="EI774" s="52"/>
      <c r="EJ774" s="52"/>
      <c r="EK774" s="52"/>
      <c r="EL774" s="52"/>
      <c r="EM774" s="52"/>
      <c r="EN774" s="52"/>
      <c r="EO774" s="52"/>
      <c r="EP774" s="52"/>
      <c r="EQ774" s="52"/>
      <c r="ER774" s="52"/>
      <c r="ES774" s="52"/>
    </row>
    <row r="775" spans="1:149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3"/>
      <c r="O775" s="103"/>
      <c r="P775" s="103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  <c r="EB775" s="52"/>
      <c r="EC775" s="52"/>
      <c r="ED775" s="52"/>
      <c r="EE775" s="52"/>
      <c r="EF775" s="52"/>
      <c r="EG775" s="52"/>
      <c r="EH775" s="52"/>
      <c r="EI775" s="52"/>
      <c r="EJ775" s="52"/>
      <c r="EK775" s="52"/>
      <c r="EL775" s="52"/>
      <c r="EM775" s="52"/>
      <c r="EN775" s="52"/>
      <c r="EO775" s="52"/>
      <c r="EP775" s="52"/>
      <c r="EQ775" s="52"/>
      <c r="ER775" s="52"/>
      <c r="ES775" s="52"/>
    </row>
    <row r="776" spans="1:149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3"/>
      <c r="O776" s="103"/>
      <c r="P776" s="103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  <c r="EB776" s="52"/>
      <c r="EC776" s="52"/>
      <c r="ED776" s="52"/>
      <c r="EE776" s="52"/>
      <c r="EF776" s="52"/>
      <c r="EG776" s="52"/>
      <c r="EH776" s="52"/>
      <c r="EI776" s="52"/>
      <c r="EJ776" s="52"/>
      <c r="EK776" s="52"/>
      <c r="EL776" s="52"/>
      <c r="EM776" s="52"/>
      <c r="EN776" s="52"/>
      <c r="EO776" s="52"/>
      <c r="EP776" s="52"/>
      <c r="EQ776" s="52"/>
      <c r="ER776" s="52"/>
      <c r="ES776" s="52"/>
    </row>
    <row r="777" spans="1:149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3"/>
      <c r="O777" s="103"/>
      <c r="P777" s="103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  <c r="EB777" s="52"/>
      <c r="EC777" s="52"/>
      <c r="ED777" s="52"/>
      <c r="EE777" s="52"/>
      <c r="EF777" s="52"/>
      <c r="EG777" s="52"/>
      <c r="EH777" s="52"/>
      <c r="EI777" s="52"/>
      <c r="EJ777" s="52"/>
      <c r="EK777" s="52"/>
      <c r="EL777" s="52"/>
      <c r="EM777" s="52"/>
      <c r="EN777" s="52"/>
      <c r="EO777" s="52"/>
      <c r="EP777" s="52"/>
      <c r="EQ777" s="52"/>
      <c r="ER777" s="52"/>
      <c r="ES777" s="52"/>
    </row>
    <row r="778" spans="1:149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3"/>
      <c r="O778" s="103"/>
      <c r="P778" s="103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  <c r="EB778" s="52"/>
      <c r="EC778" s="52"/>
      <c r="ED778" s="52"/>
      <c r="EE778" s="52"/>
      <c r="EF778" s="52"/>
      <c r="EG778" s="52"/>
      <c r="EH778" s="52"/>
      <c r="EI778" s="52"/>
      <c r="EJ778" s="52"/>
      <c r="EK778" s="52"/>
      <c r="EL778" s="52"/>
      <c r="EM778" s="52"/>
      <c r="EN778" s="52"/>
      <c r="EO778" s="52"/>
      <c r="EP778" s="52"/>
      <c r="EQ778" s="52"/>
      <c r="ER778" s="52"/>
      <c r="ES778" s="52"/>
    </row>
    <row r="779" spans="1:149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3"/>
      <c r="O779" s="103"/>
      <c r="P779" s="103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  <c r="EB779" s="52"/>
      <c r="EC779" s="52"/>
      <c r="ED779" s="52"/>
      <c r="EE779" s="52"/>
      <c r="EF779" s="52"/>
      <c r="EG779" s="52"/>
      <c r="EH779" s="52"/>
      <c r="EI779" s="52"/>
      <c r="EJ779" s="52"/>
      <c r="EK779" s="52"/>
      <c r="EL779" s="52"/>
      <c r="EM779" s="52"/>
      <c r="EN779" s="52"/>
      <c r="EO779" s="52"/>
      <c r="EP779" s="52"/>
      <c r="EQ779" s="52"/>
      <c r="ER779" s="52"/>
      <c r="ES779" s="52"/>
    </row>
    <row r="780" spans="1:149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3"/>
      <c r="O780" s="103"/>
      <c r="P780" s="103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  <c r="EB780" s="52"/>
      <c r="EC780" s="52"/>
      <c r="ED780" s="52"/>
      <c r="EE780" s="52"/>
      <c r="EF780" s="52"/>
      <c r="EG780" s="52"/>
      <c r="EH780" s="52"/>
      <c r="EI780" s="52"/>
      <c r="EJ780" s="52"/>
      <c r="EK780" s="52"/>
      <c r="EL780" s="52"/>
      <c r="EM780" s="52"/>
      <c r="EN780" s="52"/>
      <c r="EO780" s="52"/>
      <c r="EP780" s="52"/>
      <c r="EQ780" s="52"/>
      <c r="ER780" s="52"/>
      <c r="ES780" s="52"/>
    </row>
    <row r="781" spans="1:149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3"/>
      <c r="O781" s="103"/>
      <c r="P781" s="103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  <c r="EB781" s="52"/>
      <c r="EC781" s="52"/>
      <c r="ED781" s="52"/>
      <c r="EE781" s="52"/>
      <c r="EF781" s="52"/>
      <c r="EG781" s="52"/>
      <c r="EH781" s="52"/>
      <c r="EI781" s="52"/>
      <c r="EJ781" s="52"/>
      <c r="EK781" s="52"/>
      <c r="EL781" s="52"/>
      <c r="EM781" s="52"/>
      <c r="EN781" s="52"/>
      <c r="EO781" s="52"/>
      <c r="EP781" s="52"/>
      <c r="EQ781" s="52"/>
      <c r="ER781" s="52"/>
      <c r="ES781" s="52"/>
    </row>
    <row r="782" spans="1:149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3"/>
      <c r="O782" s="103"/>
      <c r="P782" s="103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  <c r="EB782" s="52"/>
      <c r="EC782" s="52"/>
      <c r="ED782" s="52"/>
      <c r="EE782" s="52"/>
      <c r="EF782" s="52"/>
      <c r="EG782" s="52"/>
      <c r="EH782" s="52"/>
      <c r="EI782" s="52"/>
      <c r="EJ782" s="52"/>
      <c r="EK782" s="52"/>
      <c r="EL782" s="52"/>
      <c r="EM782" s="52"/>
      <c r="EN782" s="52"/>
      <c r="EO782" s="52"/>
      <c r="EP782" s="52"/>
      <c r="EQ782" s="52"/>
      <c r="ER782" s="52"/>
      <c r="ES782" s="52"/>
    </row>
    <row r="783" spans="1:149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3"/>
      <c r="O783" s="103"/>
      <c r="P783" s="103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  <c r="EB783" s="52"/>
      <c r="EC783" s="52"/>
      <c r="ED783" s="52"/>
      <c r="EE783" s="52"/>
      <c r="EF783" s="52"/>
      <c r="EG783" s="52"/>
      <c r="EH783" s="52"/>
      <c r="EI783" s="52"/>
      <c r="EJ783" s="52"/>
      <c r="EK783" s="52"/>
      <c r="EL783" s="52"/>
      <c r="EM783" s="52"/>
      <c r="EN783" s="52"/>
      <c r="EO783" s="52"/>
      <c r="EP783" s="52"/>
      <c r="EQ783" s="52"/>
      <c r="ER783" s="52"/>
      <c r="ES783" s="52"/>
    </row>
    <row r="784" spans="1:149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3"/>
      <c r="O784" s="103"/>
      <c r="P784" s="103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  <c r="EB784" s="52"/>
      <c r="EC784" s="52"/>
      <c r="ED784" s="52"/>
      <c r="EE784" s="52"/>
      <c r="EF784" s="52"/>
      <c r="EG784" s="52"/>
      <c r="EH784" s="52"/>
      <c r="EI784" s="52"/>
      <c r="EJ784" s="52"/>
      <c r="EK784" s="52"/>
      <c r="EL784" s="52"/>
      <c r="EM784" s="52"/>
      <c r="EN784" s="52"/>
      <c r="EO784" s="52"/>
      <c r="EP784" s="52"/>
      <c r="EQ784" s="52"/>
      <c r="ER784" s="52"/>
      <c r="ES784" s="52"/>
    </row>
    <row r="785" spans="1:149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3"/>
      <c r="O785" s="103"/>
      <c r="P785" s="103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  <c r="EB785" s="52"/>
      <c r="EC785" s="52"/>
      <c r="ED785" s="52"/>
      <c r="EE785" s="52"/>
      <c r="EF785" s="52"/>
      <c r="EG785" s="52"/>
      <c r="EH785" s="52"/>
      <c r="EI785" s="52"/>
      <c r="EJ785" s="52"/>
      <c r="EK785" s="52"/>
      <c r="EL785" s="52"/>
      <c r="EM785" s="52"/>
      <c r="EN785" s="52"/>
      <c r="EO785" s="52"/>
      <c r="EP785" s="52"/>
      <c r="EQ785" s="52"/>
      <c r="ER785" s="52"/>
      <c r="ES785" s="52"/>
    </row>
    <row r="786" spans="1:149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3"/>
      <c r="O786" s="103"/>
      <c r="P786" s="103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  <c r="EB786" s="52"/>
      <c r="EC786" s="52"/>
      <c r="ED786" s="52"/>
      <c r="EE786" s="52"/>
      <c r="EF786" s="52"/>
      <c r="EG786" s="52"/>
      <c r="EH786" s="52"/>
      <c r="EI786" s="52"/>
      <c r="EJ786" s="52"/>
      <c r="EK786" s="52"/>
      <c r="EL786" s="52"/>
      <c r="EM786" s="52"/>
      <c r="EN786" s="52"/>
      <c r="EO786" s="52"/>
      <c r="EP786" s="52"/>
      <c r="EQ786" s="52"/>
      <c r="ER786" s="52"/>
      <c r="ES786" s="52"/>
    </row>
    <row r="787" spans="1:149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3"/>
      <c r="O787" s="103"/>
      <c r="P787" s="103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  <c r="EB787" s="52"/>
      <c r="EC787" s="52"/>
      <c r="ED787" s="52"/>
      <c r="EE787" s="52"/>
      <c r="EF787" s="52"/>
      <c r="EG787" s="52"/>
      <c r="EH787" s="52"/>
      <c r="EI787" s="52"/>
      <c r="EJ787" s="52"/>
      <c r="EK787" s="52"/>
      <c r="EL787" s="52"/>
      <c r="EM787" s="52"/>
      <c r="EN787" s="52"/>
      <c r="EO787" s="52"/>
      <c r="EP787" s="52"/>
      <c r="EQ787" s="52"/>
      <c r="ER787" s="52"/>
      <c r="ES787" s="52"/>
    </row>
    <row r="788" spans="1:149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3"/>
      <c r="O788" s="103"/>
      <c r="P788" s="103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  <c r="EB788" s="52"/>
      <c r="EC788" s="52"/>
      <c r="ED788" s="52"/>
      <c r="EE788" s="52"/>
      <c r="EF788" s="52"/>
      <c r="EG788" s="52"/>
      <c r="EH788" s="52"/>
      <c r="EI788" s="52"/>
      <c r="EJ788" s="52"/>
      <c r="EK788" s="52"/>
      <c r="EL788" s="52"/>
      <c r="EM788" s="52"/>
      <c r="EN788" s="52"/>
      <c r="EO788" s="52"/>
      <c r="EP788" s="52"/>
      <c r="EQ788" s="52"/>
      <c r="ER788" s="52"/>
      <c r="ES788" s="52"/>
    </row>
    <row r="789" spans="1:149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3"/>
      <c r="O789" s="103"/>
      <c r="P789" s="103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  <c r="EB789" s="52"/>
      <c r="EC789" s="52"/>
      <c r="ED789" s="52"/>
      <c r="EE789" s="52"/>
      <c r="EF789" s="52"/>
      <c r="EG789" s="52"/>
      <c r="EH789" s="52"/>
      <c r="EI789" s="52"/>
      <c r="EJ789" s="52"/>
      <c r="EK789" s="52"/>
      <c r="EL789" s="52"/>
      <c r="EM789" s="52"/>
      <c r="EN789" s="52"/>
      <c r="EO789" s="52"/>
      <c r="EP789" s="52"/>
      <c r="EQ789" s="52"/>
      <c r="ER789" s="52"/>
      <c r="ES789" s="52"/>
    </row>
    <row r="790" spans="1:149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3"/>
      <c r="O790" s="103"/>
      <c r="P790" s="103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  <c r="EB790" s="52"/>
      <c r="EC790" s="52"/>
      <c r="ED790" s="52"/>
      <c r="EE790" s="52"/>
      <c r="EF790" s="52"/>
      <c r="EG790" s="52"/>
      <c r="EH790" s="52"/>
      <c r="EI790" s="52"/>
      <c r="EJ790" s="52"/>
      <c r="EK790" s="52"/>
      <c r="EL790" s="52"/>
      <c r="EM790" s="52"/>
      <c r="EN790" s="52"/>
      <c r="EO790" s="52"/>
      <c r="EP790" s="52"/>
      <c r="EQ790" s="52"/>
      <c r="ER790" s="52"/>
      <c r="ES790" s="52"/>
    </row>
    <row r="791" spans="1:149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3"/>
      <c r="O791" s="103"/>
      <c r="P791" s="103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  <c r="EB791" s="52"/>
      <c r="EC791" s="52"/>
      <c r="ED791" s="52"/>
      <c r="EE791" s="52"/>
      <c r="EF791" s="52"/>
      <c r="EG791" s="52"/>
      <c r="EH791" s="52"/>
      <c r="EI791" s="52"/>
      <c r="EJ791" s="52"/>
      <c r="EK791" s="52"/>
      <c r="EL791" s="52"/>
      <c r="EM791" s="52"/>
      <c r="EN791" s="52"/>
      <c r="EO791" s="52"/>
      <c r="EP791" s="52"/>
      <c r="EQ791" s="52"/>
      <c r="ER791" s="52"/>
      <c r="ES791" s="52"/>
    </row>
    <row r="792" spans="1:149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3"/>
      <c r="O792" s="103"/>
      <c r="P792" s="103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  <c r="EB792" s="52"/>
      <c r="EC792" s="52"/>
      <c r="ED792" s="52"/>
      <c r="EE792" s="52"/>
      <c r="EF792" s="52"/>
      <c r="EG792" s="52"/>
      <c r="EH792" s="52"/>
      <c r="EI792" s="52"/>
      <c r="EJ792" s="52"/>
      <c r="EK792" s="52"/>
      <c r="EL792" s="52"/>
      <c r="EM792" s="52"/>
      <c r="EN792" s="52"/>
      <c r="EO792" s="52"/>
      <c r="EP792" s="52"/>
      <c r="EQ792" s="52"/>
      <c r="ER792" s="52"/>
      <c r="ES792" s="52"/>
    </row>
    <row r="793" spans="1:149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3"/>
      <c r="O793" s="103"/>
      <c r="P793" s="103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  <c r="EB793" s="52"/>
      <c r="EC793" s="52"/>
      <c r="ED793" s="52"/>
      <c r="EE793" s="52"/>
      <c r="EF793" s="52"/>
      <c r="EG793" s="52"/>
      <c r="EH793" s="52"/>
      <c r="EI793" s="52"/>
      <c r="EJ793" s="52"/>
      <c r="EK793" s="52"/>
      <c r="EL793" s="52"/>
      <c r="EM793" s="52"/>
      <c r="EN793" s="52"/>
      <c r="EO793" s="52"/>
      <c r="EP793" s="52"/>
      <c r="EQ793" s="52"/>
      <c r="ER793" s="52"/>
      <c r="ES793" s="52"/>
    </row>
    <row r="794" spans="1:149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3"/>
      <c r="O794" s="103"/>
      <c r="P794" s="103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  <c r="EB794" s="52"/>
      <c r="EC794" s="52"/>
      <c r="ED794" s="52"/>
      <c r="EE794" s="52"/>
      <c r="EF794" s="52"/>
      <c r="EG794" s="52"/>
      <c r="EH794" s="52"/>
      <c r="EI794" s="52"/>
      <c r="EJ794" s="52"/>
      <c r="EK794" s="52"/>
      <c r="EL794" s="52"/>
      <c r="EM794" s="52"/>
      <c r="EN794" s="52"/>
      <c r="EO794" s="52"/>
      <c r="EP794" s="52"/>
      <c r="EQ794" s="52"/>
      <c r="ER794" s="52"/>
      <c r="ES794" s="52"/>
    </row>
    <row r="795" spans="1:149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3"/>
      <c r="O795" s="103"/>
      <c r="P795" s="103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  <c r="EB795" s="52"/>
      <c r="EC795" s="52"/>
      <c r="ED795" s="52"/>
      <c r="EE795" s="52"/>
      <c r="EF795" s="52"/>
      <c r="EG795" s="52"/>
      <c r="EH795" s="52"/>
      <c r="EI795" s="52"/>
      <c r="EJ795" s="52"/>
      <c r="EK795" s="52"/>
      <c r="EL795" s="52"/>
      <c r="EM795" s="52"/>
      <c r="EN795" s="52"/>
      <c r="EO795" s="52"/>
      <c r="EP795" s="52"/>
      <c r="EQ795" s="52"/>
      <c r="ER795" s="52"/>
      <c r="ES795" s="52"/>
    </row>
    <row r="796" spans="1:149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3"/>
      <c r="O796" s="103"/>
      <c r="P796" s="103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  <c r="EB796" s="52"/>
      <c r="EC796" s="52"/>
      <c r="ED796" s="52"/>
      <c r="EE796" s="52"/>
      <c r="EF796" s="52"/>
      <c r="EG796" s="52"/>
      <c r="EH796" s="52"/>
      <c r="EI796" s="52"/>
      <c r="EJ796" s="52"/>
      <c r="EK796" s="52"/>
      <c r="EL796" s="52"/>
      <c r="EM796" s="52"/>
      <c r="EN796" s="52"/>
      <c r="EO796" s="52"/>
      <c r="EP796" s="52"/>
      <c r="EQ796" s="52"/>
      <c r="ER796" s="52"/>
      <c r="ES796" s="52"/>
    </row>
    <row r="797" spans="1:149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3"/>
      <c r="O797" s="103"/>
      <c r="P797" s="103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  <c r="EB797" s="52"/>
      <c r="EC797" s="52"/>
      <c r="ED797" s="52"/>
      <c r="EE797" s="52"/>
      <c r="EF797" s="52"/>
      <c r="EG797" s="52"/>
      <c r="EH797" s="52"/>
      <c r="EI797" s="52"/>
      <c r="EJ797" s="52"/>
      <c r="EK797" s="52"/>
      <c r="EL797" s="52"/>
      <c r="EM797" s="52"/>
      <c r="EN797" s="52"/>
      <c r="EO797" s="52"/>
      <c r="EP797" s="52"/>
      <c r="EQ797" s="52"/>
      <c r="ER797" s="52"/>
      <c r="ES797" s="52"/>
    </row>
    <row r="798" spans="1:149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3"/>
      <c r="O798" s="103"/>
      <c r="P798" s="103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  <c r="EB798" s="52"/>
      <c r="EC798" s="52"/>
      <c r="ED798" s="52"/>
      <c r="EE798" s="52"/>
      <c r="EF798" s="52"/>
      <c r="EG798" s="52"/>
      <c r="EH798" s="52"/>
      <c r="EI798" s="52"/>
      <c r="EJ798" s="52"/>
      <c r="EK798" s="52"/>
      <c r="EL798" s="52"/>
      <c r="EM798" s="52"/>
      <c r="EN798" s="52"/>
      <c r="EO798" s="52"/>
      <c r="EP798" s="52"/>
      <c r="EQ798" s="52"/>
      <c r="ER798" s="52"/>
      <c r="ES798" s="52"/>
    </row>
    <row r="799" spans="1:149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3"/>
      <c r="O799" s="103"/>
      <c r="P799" s="103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</row>
    <row r="800" spans="1:149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3"/>
      <c r="O800" s="103"/>
      <c r="P800" s="103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  <c r="EB800" s="52"/>
      <c r="EC800" s="52"/>
      <c r="ED800" s="52"/>
      <c r="EE800" s="52"/>
      <c r="EF800" s="52"/>
      <c r="EG800" s="52"/>
      <c r="EH800" s="52"/>
      <c r="EI800" s="52"/>
      <c r="EJ800" s="52"/>
      <c r="EK800" s="52"/>
      <c r="EL800" s="52"/>
      <c r="EM800" s="52"/>
      <c r="EN800" s="52"/>
      <c r="EO800" s="52"/>
      <c r="EP800" s="52"/>
      <c r="EQ800" s="52"/>
      <c r="ER800" s="52"/>
      <c r="ES800" s="52"/>
    </row>
    <row r="801" spans="1:149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3"/>
      <c r="O801" s="103"/>
      <c r="P801" s="103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</row>
    <row r="802" spans="1:149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3"/>
      <c r="O802" s="103"/>
      <c r="P802" s="103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</row>
    <row r="803" spans="1:149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3"/>
      <c r="O803" s="103"/>
      <c r="P803" s="103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  <c r="EB803" s="52"/>
      <c r="EC803" s="52"/>
      <c r="ED803" s="52"/>
      <c r="EE803" s="52"/>
      <c r="EF803" s="52"/>
      <c r="EG803" s="52"/>
      <c r="EH803" s="52"/>
      <c r="EI803" s="52"/>
      <c r="EJ803" s="52"/>
      <c r="EK803" s="52"/>
      <c r="EL803" s="52"/>
      <c r="EM803" s="52"/>
      <c r="EN803" s="52"/>
      <c r="EO803" s="52"/>
      <c r="EP803" s="52"/>
      <c r="EQ803" s="52"/>
      <c r="ER803" s="52"/>
      <c r="ES803" s="52"/>
    </row>
    <row r="804" spans="1:149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3"/>
      <c r="O804" s="103"/>
      <c r="P804" s="103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  <c r="EB804" s="52"/>
      <c r="EC804" s="52"/>
      <c r="ED804" s="52"/>
      <c r="EE804" s="52"/>
      <c r="EF804" s="52"/>
      <c r="EG804" s="52"/>
      <c r="EH804" s="52"/>
      <c r="EI804" s="52"/>
      <c r="EJ804" s="52"/>
      <c r="EK804" s="52"/>
      <c r="EL804" s="52"/>
      <c r="EM804" s="52"/>
      <c r="EN804" s="52"/>
      <c r="EO804" s="52"/>
      <c r="EP804" s="52"/>
      <c r="EQ804" s="52"/>
      <c r="ER804" s="52"/>
      <c r="ES804" s="52"/>
    </row>
    <row r="805" spans="1:149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3"/>
      <c r="O805" s="103"/>
      <c r="P805" s="103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  <c r="EB805" s="52"/>
      <c r="EC805" s="52"/>
      <c r="ED805" s="52"/>
      <c r="EE805" s="52"/>
      <c r="EF805" s="52"/>
      <c r="EG805" s="52"/>
      <c r="EH805" s="52"/>
      <c r="EI805" s="52"/>
      <c r="EJ805" s="52"/>
      <c r="EK805" s="52"/>
      <c r="EL805" s="52"/>
      <c r="EM805" s="52"/>
      <c r="EN805" s="52"/>
      <c r="EO805" s="52"/>
      <c r="EP805" s="52"/>
      <c r="EQ805" s="52"/>
      <c r="ER805" s="52"/>
      <c r="ES805" s="52"/>
    </row>
    <row r="806" spans="1:149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3"/>
      <c r="O806" s="103"/>
      <c r="P806" s="103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  <c r="EB806" s="52"/>
      <c r="EC806" s="52"/>
      <c r="ED806" s="52"/>
      <c r="EE806" s="52"/>
      <c r="EF806" s="52"/>
      <c r="EG806" s="52"/>
      <c r="EH806" s="52"/>
      <c r="EI806" s="52"/>
      <c r="EJ806" s="52"/>
      <c r="EK806" s="52"/>
      <c r="EL806" s="52"/>
      <c r="EM806" s="52"/>
      <c r="EN806" s="52"/>
      <c r="EO806" s="52"/>
      <c r="EP806" s="52"/>
      <c r="EQ806" s="52"/>
      <c r="ER806" s="52"/>
      <c r="ES806" s="52"/>
    </row>
    <row r="807" spans="1:149" ht="11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3"/>
      <c r="O807" s="103"/>
      <c r="P807" s="103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  <c r="EB807" s="52"/>
      <c r="EC807" s="52"/>
      <c r="ED807" s="52"/>
      <c r="EE807" s="52"/>
      <c r="EF807" s="52"/>
      <c r="EG807" s="52"/>
      <c r="EH807" s="52"/>
      <c r="EI807" s="52"/>
      <c r="EJ807" s="52"/>
      <c r="EK807" s="52"/>
      <c r="EL807" s="52"/>
      <c r="EM807" s="52"/>
      <c r="EN807" s="52"/>
      <c r="EO807" s="52"/>
      <c r="EP807" s="52"/>
      <c r="EQ807" s="52"/>
      <c r="ER807" s="52"/>
      <c r="ES807" s="52"/>
    </row>
    <row r="808" spans="1:149" ht="11.25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03"/>
      <c r="O808" s="103"/>
      <c r="P808" s="103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  <c r="EB808" s="52"/>
      <c r="EC808" s="52"/>
      <c r="ED808" s="52"/>
      <c r="EE808" s="52"/>
      <c r="EF808" s="52"/>
      <c r="EG808" s="52"/>
      <c r="EH808" s="52"/>
      <c r="EI808" s="52"/>
      <c r="EJ808" s="52"/>
      <c r="EK808" s="52"/>
      <c r="EL808" s="52"/>
      <c r="EM808" s="52"/>
      <c r="EN808" s="52"/>
      <c r="EO808" s="52"/>
      <c r="EP808" s="52"/>
      <c r="EQ808" s="52"/>
      <c r="ER808" s="52"/>
      <c r="ES808" s="52"/>
    </row>
    <row r="809" spans="1:149" ht="11.25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03"/>
      <c r="O809" s="103"/>
      <c r="P809" s="103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  <c r="EB809" s="52"/>
      <c r="EC809" s="52"/>
      <c r="ED809" s="52"/>
      <c r="EE809" s="52"/>
      <c r="EF809" s="52"/>
      <c r="EG809" s="52"/>
      <c r="EH809" s="52"/>
      <c r="EI809" s="52"/>
      <c r="EJ809" s="52"/>
      <c r="EK809" s="52"/>
      <c r="EL809" s="52"/>
      <c r="EM809" s="52"/>
      <c r="EN809" s="52"/>
      <c r="EO809" s="52"/>
      <c r="EP809" s="52"/>
      <c r="EQ809" s="52"/>
      <c r="ER809" s="52"/>
      <c r="ES809" s="52"/>
    </row>
    <row r="810" spans="1:149" ht="11.25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03"/>
      <c r="O810" s="103"/>
      <c r="P810" s="103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  <c r="EB810" s="52"/>
      <c r="EC810" s="52"/>
      <c r="ED810" s="52"/>
      <c r="EE810" s="52"/>
      <c r="EF810" s="52"/>
      <c r="EG810" s="52"/>
      <c r="EH810" s="52"/>
      <c r="EI810" s="52"/>
      <c r="EJ810" s="52"/>
      <c r="EK810" s="52"/>
      <c r="EL810" s="52"/>
      <c r="EM810" s="52"/>
      <c r="EN810" s="52"/>
      <c r="EO810" s="52"/>
      <c r="EP810" s="52"/>
      <c r="EQ810" s="52"/>
      <c r="ER810" s="52"/>
      <c r="ES810" s="52"/>
    </row>
    <row r="811" spans="1:149" ht="11.25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03"/>
      <c r="O811" s="103"/>
      <c r="P811" s="103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  <c r="EB811" s="52"/>
      <c r="EC811" s="52"/>
      <c r="ED811" s="52"/>
      <c r="EE811" s="52"/>
      <c r="EF811" s="52"/>
      <c r="EG811" s="52"/>
      <c r="EH811" s="52"/>
      <c r="EI811" s="52"/>
      <c r="EJ811" s="52"/>
      <c r="EK811" s="52"/>
      <c r="EL811" s="52"/>
      <c r="EM811" s="52"/>
      <c r="EN811" s="52"/>
      <c r="EO811" s="52"/>
      <c r="EP811" s="52"/>
      <c r="EQ811" s="52"/>
      <c r="ER811" s="52"/>
      <c r="ES811" s="52"/>
    </row>
    <row r="812" spans="1:149" ht="11.25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03"/>
      <c r="O812" s="103"/>
      <c r="P812" s="103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  <c r="EB812" s="52"/>
      <c r="EC812" s="52"/>
      <c r="ED812" s="52"/>
      <c r="EE812" s="52"/>
      <c r="EF812" s="52"/>
      <c r="EG812" s="52"/>
      <c r="EH812" s="52"/>
      <c r="EI812" s="52"/>
      <c r="EJ812" s="52"/>
      <c r="EK812" s="52"/>
      <c r="EL812" s="52"/>
      <c r="EM812" s="52"/>
      <c r="EN812" s="52"/>
      <c r="EO812" s="52"/>
      <c r="EP812" s="52"/>
      <c r="EQ812" s="52"/>
      <c r="ER812" s="52"/>
      <c r="ES812" s="52"/>
    </row>
    <row r="813" spans="1:149" ht="11.25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03"/>
      <c r="O813" s="103"/>
      <c r="P813" s="103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  <c r="EB813" s="52"/>
      <c r="EC813" s="52"/>
      <c r="ED813" s="52"/>
      <c r="EE813" s="52"/>
      <c r="EF813" s="52"/>
      <c r="EG813" s="52"/>
      <c r="EH813" s="52"/>
      <c r="EI813" s="52"/>
      <c r="EJ813" s="52"/>
      <c r="EK813" s="52"/>
      <c r="EL813" s="52"/>
      <c r="EM813" s="52"/>
      <c r="EN813" s="52"/>
      <c r="EO813" s="52"/>
      <c r="EP813" s="52"/>
      <c r="EQ813" s="52"/>
      <c r="ER813" s="52"/>
      <c r="ES813" s="52"/>
    </row>
    <row r="814" spans="1:149" ht="11.25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03"/>
      <c r="O814" s="103"/>
      <c r="P814" s="103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</row>
    <row r="815" spans="1:149" ht="11.2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03"/>
      <c r="O815" s="103"/>
      <c r="P815" s="103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  <c r="EB815" s="52"/>
      <c r="EC815" s="52"/>
      <c r="ED815" s="52"/>
      <c r="EE815" s="52"/>
      <c r="EF815" s="52"/>
      <c r="EG815" s="52"/>
      <c r="EH815" s="52"/>
      <c r="EI815" s="52"/>
      <c r="EJ815" s="52"/>
      <c r="EK815" s="52"/>
      <c r="EL815" s="52"/>
      <c r="EM815" s="52"/>
      <c r="EN815" s="52"/>
      <c r="EO815" s="52"/>
      <c r="EP815" s="52"/>
      <c r="EQ815" s="52"/>
      <c r="ER815" s="52"/>
      <c r="ES815" s="52"/>
    </row>
    <row r="816" spans="1:149" ht="11.25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03"/>
      <c r="O816" s="103"/>
      <c r="P816" s="103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  <c r="EB816" s="52"/>
      <c r="EC816" s="52"/>
      <c r="ED816" s="52"/>
      <c r="EE816" s="52"/>
      <c r="EF816" s="52"/>
      <c r="EG816" s="52"/>
      <c r="EH816" s="52"/>
      <c r="EI816" s="52"/>
      <c r="EJ816" s="52"/>
      <c r="EK816" s="52"/>
      <c r="EL816" s="52"/>
      <c r="EM816" s="52"/>
      <c r="EN816" s="52"/>
      <c r="EO816" s="52"/>
      <c r="EP816" s="52"/>
      <c r="EQ816" s="52"/>
      <c r="ER816" s="52"/>
      <c r="ES816" s="52"/>
    </row>
    <row r="817" spans="1:149" ht="11.25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03"/>
      <c r="O817" s="103"/>
      <c r="P817" s="103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  <c r="EB817" s="52"/>
      <c r="EC817" s="52"/>
      <c r="ED817" s="52"/>
      <c r="EE817" s="52"/>
      <c r="EF817" s="52"/>
      <c r="EG817" s="52"/>
      <c r="EH817" s="52"/>
      <c r="EI817" s="52"/>
      <c r="EJ817" s="52"/>
      <c r="EK817" s="52"/>
      <c r="EL817" s="52"/>
      <c r="EM817" s="52"/>
      <c r="EN817" s="52"/>
      <c r="EO817" s="52"/>
      <c r="EP817" s="52"/>
      <c r="EQ817" s="52"/>
      <c r="ER817" s="52"/>
      <c r="ES817" s="52"/>
    </row>
    <row r="818" spans="1:149" ht="11.25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03"/>
      <c r="O818" s="103"/>
      <c r="P818" s="103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  <c r="EB818" s="52"/>
      <c r="EC818" s="52"/>
      <c r="ED818" s="52"/>
      <c r="EE818" s="52"/>
      <c r="EF818" s="52"/>
      <c r="EG818" s="52"/>
      <c r="EH818" s="52"/>
      <c r="EI818" s="52"/>
      <c r="EJ818" s="52"/>
      <c r="EK818" s="52"/>
      <c r="EL818" s="52"/>
      <c r="EM818" s="52"/>
      <c r="EN818" s="52"/>
      <c r="EO818" s="52"/>
      <c r="EP818" s="52"/>
      <c r="EQ818" s="52"/>
      <c r="ER818" s="52"/>
      <c r="ES818" s="52"/>
    </row>
    <row r="819" spans="1:149" ht="11.25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03"/>
      <c r="O819" s="103"/>
      <c r="P819" s="103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  <c r="EB819" s="52"/>
      <c r="EC819" s="52"/>
      <c r="ED819" s="52"/>
      <c r="EE819" s="52"/>
      <c r="EF819" s="52"/>
      <c r="EG819" s="52"/>
      <c r="EH819" s="52"/>
      <c r="EI819" s="52"/>
      <c r="EJ819" s="52"/>
      <c r="EK819" s="52"/>
      <c r="EL819" s="52"/>
      <c r="EM819" s="52"/>
      <c r="EN819" s="52"/>
      <c r="EO819" s="52"/>
      <c r="EP819" s="52"/>
      <c r="EQ819" s="52"/>
      <c r="ER819" s="52"/>
      <c r="ES819" s="52"/>
    </row>
    <row r="820" spans="1:149" ht="11.25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03"/>
      <c r="O820" s="103"/>
      <c r="P820" s="103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  <c r="EB820" s="52"/>
      <c r="EC820" s="52"/>
      <c r="ED820" s="52"/>
      <c r="EE820" s="52"/>
      <c r="EF820" s="52"/>
      <c r="EG820" s="52"/>
      <c r="EH820" s="52"/>
      <c r="EI820" s="52"/>
      <c r="EJ820" s="52"/>
      <c r="EK820" s="52"/>
      <c r="EL820" s="52"/>
      <c r="EM820" s="52"/>
      <c r="EN820" s="52"/>
      <c r="EO820" s="52"/>
      <c r="EP820" s="52"/>
      <c r="EQ820" s="52"/>
      <c r="ER820" s="52"/>
      <c r="ES820" s="52"/>
    </row>
    <row r="821" spans="1:149" ht="11.25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03"/>
      <c r="O821" s="103"/>
      <c r="P821" s="103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  <c r="EB821" s="52"/>
      <c r="EC821" s="52"/>
      <c r="ED821" s="52"/>
      <c r="EE821" s="52"/>
      <c r="EF821" s="52"/>
      <c r="EG821" s="52"/>
      <c r="EH821" s="52"/>
      <c r="EI821" s="52"/>
      <c r="EJ821" s="52"/>
      <c r="EK821" s="52"/>
      <c r="EL821" s="52"/>
      <c r="EM821" s="52"/>
      <c r="EN821" s="52"/>
      <c r="EO821" s="52"/>
      <c r="EP821" s="52"/>
      <c r="EQ821" s="52"/>
      <c r="ER821" s="52"/>
      <c r="ES821" s="52"/>
    </row>
    <row r="822" spans="1:149" ht="11.25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03"/>
      <c r="O822" s="103"/>
      <c r="P822" s="103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  <c r="EB822" s="52"/>
      <c r="EC822" s="52"/>
      <c r="ED822" s="52"/>
      <c r="EE822" s="52"/>
      <c r="EF822" s="52"/>
      <c r="EG822" s="52"/>
      <c r="EH822" s="52"/>
      <c r="EI822" s="52"/>
      <c r="EJ822" s="52"/>
      <c r="EK822" s="52"/>
      <c r="EL822" s="52"/>
      <c r="EM822" s="52"/>
      <c r="EN822" s="52"/>
      <c r="EO822" s="52"/>
      <c r="EP822" s="52"/>
      <c r="EQ822" s="52"/>
      <c r="ER822" s="52"/>
      <c r="ES822" s="52"/>
    </row>
    <row r="823" spans="1:149" ht="11.25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03"/>
      <c r="O823" s="103"/>
      <c r="P823" s="103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  <c r="EB823" s="52"/>
      <c r="EC823" s="52"/>
      <c r="ED823" s="52"/>
      <c r="EE823" s="52"/>
      <c r="EF823" s="52"/>
      <c r="EG823" s="52"/>
      <c r="EH823" s="52"/>
      <c r="EI823" s="52"/>
      <c r="EJ823" s="52"/>
      <c r="EK823" s="52"/>
      <c r="EL823" s="52"/>
      <c r="EM823" s="52"/>
      <c r="EN823" s="52"/>
      <c r="EO823" s="52"/>
      <c r="EP823" s="52"/>
      <c r="EQ823" s="52"/>
      <c r="ER823" s="52"/>
      <c r="ES823" s="52"/>
    </row>
    <row r="824" spans="1:149" ht="11.25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03"/>
      <c r="O824" s="103"/>
      <c r="P824" s="103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  <c r="EB824" s="52"/>
      <c r="EC824" s="52"/>
      <c r="ED824" s="52"/>
      <c r="EE824" s="52"/>
      <c r="EF824" s="52"/>
      <c r="EG824" s="52"/>
      <c r="EH824" s="52"/>
      <c r="EI824" s="52"/>
      <c r="EJ824" s="52"/>
      <c r="EK824" s="52"/>
      <c r="EL824" s="52"/>
      <c r="EM824" s="52"/>
      <c r="EN824" s="52"/>
      <c r="EO824" s="52"/>
      <c r="EP824" s="52"/>
      <c r="EQ824" s="52"/>
      <c r="ER824" s="52"/>
      <c r="ES824" s="52"/>
    </row>
    <row r="825" spans="1:149" ht="11.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03"/>
      <c r="O825" s="103"/>
      <c r="P825" s="103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  <c r="EB825" s="52"/>
      <c r="EC825" s="52"/>
      <c r="ED825" s="52"/>
      <c r="EE825" s="52"/>
      <c r="EF825" s="52"/>
      <c r="EG825" s="52"/>
      <c r="EH825" s="52"/>
      <c r="EI825" s="52"/>
      <c r="EJ825" s="52"/>
      <c r="EK825" s="52"/>
      <c r="EL825" s="52"/>
      <c r="EM825" s="52"/>
      <c r="EN825" s="52"/>
      <c r="EO825" s="52"/>
      <c r="EP825" s="52"/>
      <c r="EQ825" s="52"/>
      <c r="ER825" s="52"/>
      <c r="ES825" s="52"/>
    </row>
    <row r="826" spans="1:149" ht="11.25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03"/>
      <c r="O826" s="103"/>
      <c r="P826" s="103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  <c r="EB826" s="52"/>
      <c r="EC826" s="52"/>
      <c r="ED826" s="52"/>
      <c r="EE826" s="52"/>
      <c r="EF826" s="52"/>
      <c r="EG826" s="52"/>
      <c r="EH826" s="52"/>
      <c r="EI826" s="52"/>
      <c r="EJ826" s="52"/>
      <c r="EK826" s="52"/>
      <c r="EL826" s="52"/>
      <c r="EM826" s="52"/>
      <c r="EN826" s="52"/>
      <c r="EO826" s="52"/>
      <c r="EP826" s="52"/>
      <c r="EQ826" s="52"/>
      <c r="ER826" s="52"/>
      <c r="ES826" s="52"/>
    </row>
  </sheetData>
  <sheetProtection/>
  <mergeCells count="19">
    <mergeCell ref="A728:B72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25:D725"/>
    <mergeCell ref="F14:G14"/>
    <mergeCell ref="J2:L2"/>
    <mergeCell ref="A13:P13"/>
    <mergeCell ref="O725:P725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5" r:id="rId1"/>
  <rowBreaks count="1" manualBreakCount="1">
    <brk id="6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2020-07-23T08:20:09Z</cp:lastPrinted>
  <dcterms:created xsi:type="dcterms:W3CDTF">2014-04-22T08:24:49Z</dcterms:created>
  <dcterms:modified xsi:type="dcterms:W3CDTF">2020-09-29T12:51:57Z</dcterms:modified>
  <cp:category/>
  <cp:version/>
  <cp:contentType/>
  <cp:contentStatus/>
</cp:coreProperties>
</file>